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8800" windowHeight="1260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Div 3 (2)...b7db256a_40ITCB" sheetId="17" state="hidden" r:id="rId14"/>
    <sheet name="OSR_300 &amp; 317_1C00ID4" sheetId="19" state="hidden" r:id="rId15"/>
    <sheet name="OSR_300 (2)_c...79cd3046_1TJM0H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0...c51cc666_QIOT67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...09141158_1BG9FGV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3" r:id="rId51"/>
    <sheet name="306" sheetId="67" r:id="rId52"/>
    <sheet name="330" sheetId="24" r:id="rId53"/>
    <sheet name="307" sheetId="68" r:id="rId54"/>
    <sheet name="314" sheetId="73" r:id="rId55"/>
    <sheet name="308" sheetId="27" r:id="rId56"/>
    <sheet name="311" sheetId="70" r:id="rId57"/>
    <sheet name="324" sheetId="82" r:id="rId58"/>
    <sheet name="331" sheetId="30" r:id="rId59"/>
    <sheet name="315" sheetId="74" r:id="rId60"/>
    <sheet name="326" sheetId="84" r:id="rId61"/>
    <sheet name="332" sheetId="33" r:id="rId62"/>
    <sheet name="316" sheetId="75" r:id="rId63"/>
    <sheet name="320" sheetId="78" r:id="rId64"/>
    <sheet name="Div 6" sheetId="51" r:id="rId65"/>
    <sheet name="317" sheetId="76" r:id="rId66"/>
    <sheet name="310" sheetId="21" r:id="rId67"/>
    <sheet name="309" sheetId="69" r:id="rId68"/>
    <sheet name="313" sheetId="72" r:id="rId69"/>
    <sheet name="321" sheetId="79" r:id="rId70"/>
    <sheet name="322" sheetId="80" r:id="rId71"/>
    <sheet name="325" sheetId="83" r:id="rId72"/>
    <sheet name="327" sheetId="85" r:id="rId73"/>
    <sheet name="Div 4" sheetId="36" r:id="rId74"/>
    <sheet name="310 &amp; 491" sheetId="39" r:id="rId75"/>
    <sheet name="491" sheetId="42" r:id="rId76"/>
    <sheet name="405" sheetId="87" r:id="rId77"/>
    <sheet name="406" sheetId="88" r:id="rId78"/>
    <sheet name="411" sheetId="91" r:id="rId79"/>
    <sheet name="412" sheetId="92" r:id="rId80"/>
    <sheet name="413" sheetId="93" r:id="rId81"/>
    <sheet name="414" sheetId="94" r:id="rId82"/>
    <sheet name="415" sheetId="95" r:id="rId83"/>
    <sheet name="418" sheetId="97" r:id="rId84"/>
    <sheet name="420" sheetId="98" r:id="rId85"/>
    <sheet name="423" sheetId="99" r:id="rId86"/>
    <sheet name="424" sheetId="100" r:id="rId87"/>
    <sheet name="425" sheetId="101" r:id="rId88"/>
    <sheet name="455" sheetId="108" r:id="rId89"/>
    <sheet name="492" sheetId="45" r:id="rId90"/>
    <sheet name="430" sheetId="102" r:id="rId91"/>
    <sheet name="433" sheetId="103" r:id="rId92"/>
    <sheet name="435" sheetId="104" r:id="rId93"/>
    <sheet name="444" sheetId="105" r:id="rId94"/>
    <sheet name="450" sheetId="107" r:id="rId95"/>
    <sheet name="Div 5" sheetId="48" r:id="rId96"/>
    <sheet name="501" sheetId="109" r:id="rId97"/>
    <sheet name="Dept" sheetId="110" state="hidden" r:id="rId98"/>
    <sheet name="OSR_Dept_Y0WUKY" sheetId="111" state="hidden" r:id="rId99"/>
    <sheet name="OSR_Summary (...56e5d78f_5JEYZH" sheetId="112" state="hidden" r:id="rId100"/>
  </sheets>
  <definedNames>
    <definedName name="OSRRefD13x_0" localSheetId="48">'300'!$D$13:$D$104</definedName>
    <definedName name="OSRRefD13x_0" localSheetId="49">'300 &amp; 317'!$D$13:$D$122</definedName>
    <definedName name="OSRRefD13x_0" localSheetId="53">'307'!$D$13:$D$42</definedName>
    <definedName name="OSRRefD13x_0" localSheetId="55">'308'!$D$13:$D$40</definedName>
    <definedName name="OSRRefD13x_0" localSheetId="67">'309'!$D$13:$D$14</definedName>
    <definedName name="OSRRefD13x_0" localSheetId="66">'310'!$D$13:$D$20</definedName>
    <definedName name="OSRRefD13x_0" localSheetId="74">'310 &amp; 491'!$D$13:$D$27</definedName>
    <definedName name="OSRRefD13x_0" localSheetId="56">'311'!$D$13:$D$39</definedName>
    <definedName name="OSRRefD13x_0" localSheetId="68">'313'!$D$13:$D$17</definedName>
    <definedName name="OSRRefD13x_0" localSheetId="54">'314'!$D$13:$D$32</definedName>
    <definedName name="OSRRefD13x_0" localSheetId="59">'315'!$D$13:$D$50</definedName>
    <definedName name="OSRRefD13x_0" localSheetId="62">'316'!$D$13:$D$24</definedName>
    <definedName name="OSRRefD13x_0" localSheetId="65">'317'!$D$13:$D$37</definedName>
    <definedName name="OSRRefD13x_0" localSheetId="63">'320'!$D$13:$D$15</definedName>
    <definedName name="OSRRefD13x_0" localSheetId="69">'321'!$D$13:$D$14</definedName>
    <definedName name="OSRRefD13x_0" localSheetId="70">'322'!$D$13:$D$14</definedName>
    <definedName name="OSRRefD13x_0" localSheetId="57">'324'!$D$13:$D$15</definedName>
    <definedName name="OSRRefD13x_0" localSheetId="71">'325'!$D$13:$D$14</definedName>
    <definedName name="OSRRefD13x_0" localSheetId="60">'326'!$D$13:$D$36</definedName>
    <definedName name="OSRRefD13x_0" localSheetId="72">'327'!$D$13</definedName>
    <definedName name="OSRRefD13x_0" localSheetId="52">'330'!$D$13:$D$47</definedName>
    <definedName name="OSRRefD13x_0" localSheetId="58">'331'!$D$13:$D$53</definedName>
    <definedName name="OSRRefD13x_0" localSheetId="61">'332'!$D$13:$D$27</definedName>
    <definedName name="OSRRefD13x_0" localSheetId="76">'405'!$D$13:$D$14</definedName>
    <definedName name="OSRRefD13x_0" localSheetId="77">'406'!$D$13:$D$14</definedName>
    <definedName name="OSRRefD13x_0" localSheetId="79">'412'!$D$13:$D$14</definedName>
    <definedName name="OSRRefD13x_0" localSheetId="80">'413'!$D$13:$D$14</definedName>
    <definedName name="OSRRefD13x_0" localSheetId="81">'414'!$D$13:$D$14</definedName>
    <definedName name="OSRRefD13x_0" localSheetId="82">'415'!$D$13:$D$14</definedName>
    <definedName name="OSRRefD13x_0" localSheetId="83">'418'!$D$13:$D$14</definedName>
    <definedName name="OSRRefD13x_0" localSheetId="84">'420'!$D$13:$D$14</definedName>
    <definedName name="OSRRefD13x_0" localSheetId="86">'424'!$D$13</definedName>
    <definedName name="OSRRefD13x_0" localSheetId="87">'425'!$D$13:$D$14</definedName>
    <definedName name="OSRRefD13x_0" localSheetId="91">'433'!$D$13:$D$15</definedName>
    <definedName name="OSRRefD13x_0" localSheetId="92">'435'!$D$13:$D$15</definedName>
    <definedName name="OSRRefD13x_0" localSheetId="93">'444'!$D$13:$D$15</definedName>
    <definedName name="OSRRefD13x_0" localSheetId="94">'450'!$D$13:$D$15</definedName>
    <definedName name="OSRRefD13x_0" localSheetId="75">'491'!$D$13:$D$21</definedName>
    <definedName name="OSRRefD13x_0" localSheetId="89">'492'!$D$13:$D$17</definedName>
    <definedName name="OSRRefD13x_0" localSheetId="96">'501'!$D$13</definedName>
    <definedName name="OSRRefD13x_0" localSheetId="47">'Div 3'!$D$13:$D$107</definedName>
    <definedName name="OSRRefD13x_0" localSheetId="73">'Div 4'!$D$13:$D$22</definedName>
    <definedName name="OSRRefD13x_0" localSheetId="95">'Div 5'!$D$13</definedName>
    <definedName name="OSRRefD13x_0" localSheetId="64">'Div 6'!$D$13:$D$37</definedName>
    <definedName name="OSRRefD13x_0" localSheetId="2">Summary!$D$13:$D$132</definedName>
    <definedName name="OSRRefD16x_0" localSheetId="48">'300'!$D$107:$D$156</definedName>
    <definedName name="OSRRefD16x_0" localSheetId="49">'300 &amp; 317'!$D$125:$D$181</definedName>
    <definedName name="OSRRefD16x_0" localSheetId="53">'307'!$D$45:$D$63</definedName>
    <definedName name="OSRRefD16x_0" localSheetId="55">'308'!$D$43:$D$57</definedName>
    <definedName name="OSRRefD16x_0" localSheetId="67">'309'!$D$17:$D$18</definedName>
    <definedName name="OSRRefD16x_0" localSheetId="66">'310'!$D$23:$D$24</definedName>
    <definedName name="OSRRefD16x_0" localSheetId="74">'310 &amp; 491'!$D$30:$D$31</definedName>
    <definedName name="OSRRefD16x_0" localSheetId="56">'311'!$D$42:$D$56</definedName>
    <definedName name="OSRRefD16x_0" localSheetId="68">'313'!$D$20:$D$21</definedName>
    <definedName name="OSRRefD16x_0" localSheetId="54">'314'!$D$35:$D$49</definedName>
    <definedName name="OSRRefD16x_0" localSheetId="59">'315'!$D$53:$D$75</definedName>
    <definedName name="OSRRefD16x_0" localSheetId="65">'317'!$D$40:$D$52</definedName>
    <definedName name="OSRRefD16x_0" localSheetId="63">'320'!$D$18:$D$22</definedName>
    <definedName name="OSRRefD16x_0" localSheetId="69">'321'!$D$17:$D$18</definedName>
    <definedName name="OSRRefD16x_0" localSheetId="70">'322'!$D$17:$D$18</definedName>
    <definedName name="OSRRefD16x_0" localSheetId="57">'324'!$D$18:$D$19</definedName>
    <definedName name="OSRRefD16x_0" localSheetId="71">'325'!$D$17:$D$18</definedName>
    <definedName name="OSRRefD16x_0" localSheetId="60">'326'!$D$39:$D$52</definedName>
    <definedName name="OSRRefD16x_0" localSheetId="72">'327'!$D$16</definedName>
    <definedName name="OSRRefD16x_0" localSheetId="52">'330'!$D$50:$D$72</definedName>
    <definedName name="OSRRefD16x_0" localSheetId="58">'331'!$D$56:$D$82</definedName>
    <definedName name="OSRRefD16x_0" localSheetId="61">'332'!$D$30:$D$34</definedName>
    <definedName name="OSRRefD16x_0" localSheetId="76">'405'!$D$17:$D$18</definedName>
    <definedName name="OSRRefD16x_0" localSheetId="77">'406'!$D$17:$D$18</definedName>
    <definedName name="OSRRefD16x_0" localSheetId="79">'412'!$D$17</definedName>
    <definedName name="OSRRefD16x_0" localSheetId="80">'413'!$D$17:$D$18</definedName>
    <definedName name="OSRRefD16x_0" localSheetId="81">'414'!$D$17:$D$18</definedName>
    <definedName name="OSRRefD16x_0" localSheetId="82">'415'!$D$17:$D$18</definedName>
    <definedName name="OSRRefD16x_0" localSheetId="83">'418'!$D$17:$D$18</definedName>
    <definedName name="OSRRefD16x_0" localSheetId="85">'423'!$D$15</definedName>
    <definedName name="OSRRefD16x_0" localSheetId="86">'424'!$D$16:$D$17</definedName>
    <definedName name="OSRRefD16x_0" localSheetId="87">'425'!$D$17:$D$18</definedName>
    <definedName name="OSRRefD16x_0" localSheetId="91">'433'!$D$18:$D$19</definedName>
    <definedName name="OSRRefD16x_0" localSheetId="92">'435'!$D$18:$D$19</definedName>
    <definedName name="OSRRefD16x_0" localSheetId="93">'444'!$D$18:$D$19</definedName>
    <definedName name="OSRRefD16x_0" localSheetId="94">'450'!$D$18:$D$19</definedName>
    <definedName name="OSRRefD16x_0" localSheetId="75">'491'!$D$24:$D$25</definedName>
    <definedName name="OSRRefD16x_0" localSheetId="89">'492'!$D$20:$D$21</definedName>
    <definedName name="OSRRefD16x_0" localSheetId="47">'Div 3'!$D$110:$D$161</definedName>
    <definedName name="OSRRefD16x_0" localSheetId="73">'Div 4'!$D$25:$D$26</definedName>
    <definedName name="OSRRefD16x_0" localSheetId="64">'Div 6'!$D$40:$D$52</definedName>
    <definedName name="OSRRefD16x_0" localSheetId="2">Summary!$D$135:$D$193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'203'!$D$20:$D$29</definedName>
    <definedName name="OSRRefD22_0x_0" localSheetId="44">'204'!$D$20:$D$28</definedName>
    <definedName name="OSRRefD22_0x_0" localSheetId="45">'205'!$D$20:$D$27</definedName>
    <definedName name="OSRRefD22_0x_0" localSheetId="46">'206'!$D$20:$D$26</definedName>
    <definedName name="OSRRefD22_0x_0" localSheetId="48">'300'!$D$162:$D$171</definedName>
    <definedName name="OSRRefD22_0x_0" localSheetId="49">'300 &amp; 317'!$D$187:$D$196</definedName>
    <definedName name="OSRRefD22_0x_0" localSheetId="50">'301'!$D$20:$D$28</definedName>
    <definedName name="OSRRefD22_0x_0" localSheetId="51">'306'!$D$20:$D$28</definedName>
    <definedName name="OSRRefD22_0x_0" localSheetId="53">'307'!$D$69:$D$76</definedName>
    <definedName name="OSRRefD22_0x_0" localSheetId="55">'308'!$D$63:$D$71</definedName>
    <definedName name="OSRRefD22_0x_0" localSheetId="67">'309'!$D$24:$D$31</definedName>
    <definedName name="OSRRefD22_0x_0" localSheetId="66">'310'!$D$30:$D$37</definedName>
    <definedName name="OSRRefD22_0x_0" localSheetId="74">'310 &amp; 491'!$D$37:$D$45</definedName>
    <definedName name="OSRRefD22_0x_0" localSheetId="56">'311'!$D$62:$D$70</definedName>
    <definedName name="OSRRefD22_0x_0" localSheetId="68">'313'!$D$27:$D$34</definedName>
    <definedName name="OSRRefD22_0x_0" localSheetId="54">'314'!$D$55:$D$61</definedName>
    <definedName name="OSRRefD22_0x_0" localSheetId="59">'315'!$D$81:$D$88</definedName>
    <definedName name="OSRRefD22_0x_0" localSheetId="62">'316'!$D$32:$D$39</definedName>
    <definedName name="OSRRefD22_0x_0" localSheetId="65">'317'!$D$58:$D$66</definedName>
    <definedName name="OSRRefD22_0x_0" localSheetId="63">'320'!$D$28:$D$34</definedName>
    <definedName name="OSRRefD22_0x_0" localSheetId="69">'321'!$D$24:$D$31</definedName>
    <definedName name="OSRRefD22_0x_0" localSheetId="70">'322'!$D$24:$D$31</definedName>
    <definedName name="OSRRefD22_0x_0" localSheetId="71">'325'!$D$24:$D$31</definedName>
    <definedName name="OSRRefD22_0x_0" localSheetId="60">'326'!$D$58:$D$65</definedName>
    <definedName name="OSRRefD22_0x_0" localSheetId="72">'327'!$D$22</definedName>
    <definedName name="OSRRefD22_0x_0" localSheetId="52">'330'!$D$78:$D$85</definedName>
    <definedName name="OSRRefD22_0x_0" localSheetId="58">'331'!$D$88:$D$95</definedName>
    <definedName name="OSRRefD22_0x_0" localSheetId="61">'332'!$D$40:$D$47</definedName>
    <definedName name="OSRRefD22_0x_0" localSheetId="76">'405'!$D$24:$D$31</definedName>
    <definedName name="OSRRefD22_0x_0" localSheetId="77">'406'!$D$24:$D$31</definedName>
    <definedName name="OSRRefD22_0x_0" localSheetId="78">'411'!$D$20:$D$28</definedName>
    <definedName name="OSRRefD22_0x_0" localSheetId="79">'412'!$D$23:$D$30</definedName>
    <definedName name="OSRRefD22_0x_0" localSheetId="80">'413'!$D$24:$D$31</definedName>
    <definedName name="OSRRefD22_0x_0" localSheetId="81">'414'!$D$24:$D$30</definedName>
    <definedName name="OSRRefD22_0x_0" localSheetId="82">'415'!$D$24:$D$31</definedName>
    <definedName name="OSRRefD22_0x_0" localSheetId="83">'418'!$D$24:$D$31</definedName>
    <definedName name="OSRRefD22_0x_0" localSheetId="84">'420'!$D$22:$D$28</definedName>
    <definedName name="OSRRefD22_0x_0" localSheetId="85">'423'!$D$21:$D$28</definedName>
    <definedName name="OSRRefD22_0x_0" localSheetId="86">'424'!$D$23:$D$24</definedName>
    <definedName name="OSRRefD22_0x_0" localSheetId="87">'425'!$D$24:$D$31</definedName>
    <definedName name="OSRRefD22_0x_0" localSheetId="90">'430'!$D$20:$D$27</definedName>
    <definedName name="OSRRefD22_0x_0" localSheetId="91">'433'!$D$25:$D$33</definedName>
    <definedName name="OSRRefD22_0x_0" localSheetId="92">'435'!$D$25:$D$27</definedName>
    <definedName name="OSRRefD22_0x_0" localSheetId="93">'444'!$D$25:$D$33</definedName>
    <definedName name="OSRRefD22_0x_0" localSheetId="94">'450'!$D$25:$D$33</definedName>
    <definedName name="OSRRefD22_0x_0" localSheetId="88">'455'!$D$20:$D$26</definedName>
    <definedName name="OSRRefD22_0x_0" localSheetId="75">'491'!$D$31:$D$39</definedName>
    <definedName name="OSRRefD22_0x_0" localSheetId="89">'492'!$D$27:$D$35</definedName>
    <definedName name="OSRRefD22_0x_0" localSheetId="96">'501'!$D$21:$D$29</definedName>
    <definedName name="OSRRefD22_0x_0" localSheetId="39">'Div 2'!$D$20:$D$30</definedName>
    <definedName name="OSRRefD22_0x_0" localSheetId="47">'Div 3'!$D$167:$D$176</definedName>
    <definedName name="OSRRefD22_0x_0" localSheetId="73">'Div 4'!$D$32:$D$40</definedName>
    <definedName name="OSRRefD22_0x_0" localSheetId="95">'Div 5'!$D$21:$D$29</definedName>
    <definedName name="OSRRefD22_0x_0" localSheetId="64">'Div 6'!$D$58:$D$66</definedName>
    <definedName name="OSRRefD22_0x_0" localSheetId="2">Summary!$D$199:$D$208</definedName>
    <definedName name="OSRRefD22_10x_0" localSheetId="41">'201'!$D$51:$D$53</definedName>
    <definedName name="OSRRefD22_10x_0" localSheetId="42">'202'!$D$53:$D$55</definedName>
    <definedName name="OSRRefD22_10x_0" localSheetId="43">'203'!$D$53:$D$54</definedName>
    <definedName name="OSRRefD22_10x_0" localSheetId="44">'204'!$D$55:$D$56</definedName>
    <definedName name="OSRRefD22_10x_0" localSheetId="48">'300'!$D$200:$D$201</definedName>
    <definedName name="OSRRefD22_10x_0" localSheetId="49">'300 &amp; 317'!$D$225:$D$226</definedName>
    <definedName name="OSRRefD22_10x_0" localSheetId="50">'301'!$D$57</definedName>
    <definedName name="OSRRefD22_10x_0" localSheetId="53">'307'!$D$104</definedName>
    <definedName name="OSRRefD22_10x_0" localSheetId="55">'308'!$D$99</definedName>
    <definedName name="OSRRefD22_10x_0" localSheetId="67">'309'!$D$60</definedName>
    <definedName name="OSRRefD22_10x_0" localSheetId="66">'310'!$D$63</definedName>
    <definedName name="OSRRefD22_10x_0" localSheetId="74">'310 &amp; 491'!$D$73:$D$74</definedName>
    <definedName name="OSRRefD22_10x_0" localSheetId="56">'311'!$D$98</definedName>
    <definedName name="OSRRefD22_10x_0" localSheetId="68">'313'!$D$60:$D$64</definedName>
    <definedName name="OSRRefD22_10x_0" localSheetId="59">'315'!$D$121</definedName>
    <definedName name="OSRRefD22_10x_0" localSheetId="62">'316'!$D$68</definedName>
    <definedName name="OSRRefD22_10x_0" localSheetId="65">'317'!$D$93</definedName>
    <definedName name="OSRRefD22_10x_0" localSheetId="69">'321'!$D$62</definedName>
    <definedName name="OSRRefD22_10x_0" localSheetId="70">'322'!$D$57:$D$61</definedName>
    <definedName name="OSRRefD22_10x_0" localSheetId="71">'325'!$D$56</definedName>
    <definedName name="OSRRefD22_10x_0" localSheetId="60">'326'!$D$89</definedName>
    <definedName name="OSRRefD22_10x_0" localSheetId="52">'330'!$D$112</definedName>
    <definedName name="OSRRefD22_10x_0" localSheetId="58">'331'!$D$122</definedName>
    <definedName name="OSRRefD22_10x_0" localSheetId="61">'332'!$D$72</definedName>
    <definedName name="OSRRefD22_10x_0" localSheetId="76">'405'!$D$55:$D$56</definedName>
    <definedName name="OSRRefD22_10x_0" localSheetId="77">'406'!$D$57:$D$61</definedName>
    <definedName name="OSRRefD22_10x_0" localSheetId="78">'411'!$D$55</definedName>
    <definedName name="OSRRefD22_10x_0" localSheetId="79">'412'!$D$57:$D$62</definedName>
    <definedName name="OSRRefD22_10x_0" localSheetId="80">'413'!$D$61</definedName>
    <definedName name="OSRRefD22_10x_0" localSheetId="81">'414'!$D$54</definedName>
    <definedName name="OSRRefD22_10x_0" localSheetId="82">'415'!$D$56</definedName>
    <definedName name="OSRRefD22_10x_0" localSheetId="83">'418'!$D$60:$D$62</definedName>
    <definedName name="OSRRefD22_10x_0" localSheetId="86">'424'!$D$48</definedName>
    <definedName name="OSRRefD22_10x_0" localSheetId="87">'425'!$D$57</definedName>
    <definedName name="OSRRefD22_10x_0" localSheetId="91">'433'!$D$58</definedName>
    <definedName name="OSRRefD22_10x_0" localSheetId="93">'444'!$D$58</definedName>
    <definedName name="OSRRefD22_10x_0" localSheetId="94">'450'!$D$58</definedName>
    <definedName name="OSRRefD22_10x_0" localSheetId="75">'491'!$D$67:$D$68</definedName>
    <definedName name="OSRRefD22_10x_0" localSheetId="89">'492'!$D$61</definedName>
    <definedName name="OSRRefD22_10x_0" localSheetId="96">'501'!$D$58</definedName>
    <definedName name="OSRRefD22_10x_0" localSheetId="39">'Div 2'!$D$57</definedName>
    <definedName name="OSRRefD22_10x_0" localSheetId="47">'Div 3'!$D$205:$D$206</definedName>
    <definedName name="OSRRefD22_10x_0" localSheetId="73">'Div 4'!$D$68:$D$69</definedName>
    <definedName name="OSRRefD22_10x_0" localSheetId="95">'Div 5'!$D$58</definedName>
    <definedName name="OSRRefD22_10x_0" localSheetId="64">'Div 6'!$D$93</definedName>
    <definedName name="OSRRefD22_10x_0" localSheetId="2">Summary!$D$238:$D$239</definedName>
    <definedName name="OSRRefD22_11x_0" localSheetId="41">'201'!$D$55</definedName>
    <definedName name="OSRRefD22_11x_0" localSheetId="42">'202'!$D$57</definedName>
    <definedName name="OSRRefD22_11x_0" localSheetId="43">'203'!$D$56</definedName>
    <definedName name="OSRRefD22_11x_0" localSheetId="48">'300'!$D$203</definedName>
    <definedName name="OSRRefD22_11x_0" localSheetId="49">'300 &amp; 317'!$D$228</definedName>
    <definedName name="OSRRefD22_11x_0" localSheetId="50">'301'!$D$59</definedName>
    <definedName name="OSRRefD22_11x_0" localSheetId="53">'307'!$D$106</definedName>
    <definedName name="OSRRefD22_11x_0" localSheetId="55">'308'!$D$101:$D$103</definedName>
    <definedName name="OSRRefD22_11x_0" localSheetId="66">'310'!$D$65</definedName>
    <definedName name="OSRRefD22_11x_0" localSheetId="74">'310 &amp; 491'!$D$76:$D$77</definedName>
    <definedName name="OSRRefD22_11x_0" localSheetId="56">'311'!$D$100:$D$102</definedName>
    <definedName name="OSRRefD22_11x_0" localSheetId="68">'313'!$D$66</definedName>
    <definedName name="OSRRefD22_11x_0" localSheetId="59">'315'!$D$123</definedName>
    <definedName name="OSRRefD22_11x_0" localSheetId="62">'316'!$D$70</definedName>
    <definedName name="OSRRefD22_11x_0" localSheetId="65">'317'!$D$95</definedName>
    <definedName name="OSRRefD22_11x_0" localSheetId="69">'321'!$D$64</definedName>
    <definedName name="OSRRefD22_11x_0" localSheetId="70">'322'!$D$63</definedName>
    <definedName name="OSRRefD22_11x_0" localSheetId="71">'325'!$D$58:$D$60</definedName>
    <definedName name="OSRRefD22_11x_0" localSheetId="60">'326'!$D$91</definedName>
    <definedName name="OSRRefD22_11x_0" localSheetId="52">'330'!$D$114:$D$116</definedName>
    <definedName name="OSRRefD22_11x_0" localSheetId="58">'331'!$D$124</definedName>
    <definedName name="OSRRefD22_11x_0" localSheetId="61">'332'!$D$74:$D$79</definedName>
    <definedName name="OSRRefD22_11x_0" localSheetId="76">'405'!$D$58</definedName>
    <definedName name="OSRRefD22_11x_0" localSheetId="77">'406'!$D$63</definedName>
    <definedName name="OSRRefD22_11x_0" localSheetId="78">'411'!$D$57</definedName>
    <definedName name="OSRRefD22_11x_0" localSheetId="79">'412'!$D$64</definedName>
    <definedName name="OSRRefD22_11x_0" localSheetId="81">'414'!$D$56</definedName>
    <definedName name="OSRRefD22_11x_0" localSheetId="82">'415'!$D$58:$D$60</definedName>
    <definedName name="OSRRefD22_11x_0" localSheetId="83">'418'!$D$64</definedName>
    <definedName name="OSRRefD22_11x_0" localSheetId="86">'424'!$D$50:$D$52</definedName>
    <definedName name="OSRRefD22_11x_0" localSheetId="87">'425'!$D$59:$D$60</definedName>
    <definedName name="OSRRefD22_11x_0" localSheetId="91">'433'!$D$60:$D$62</definedName>
    <definedName name="OSRRefD22_11x_0" localSheetId="93">'444'!$D$60:$D$62</definedName>
    <definedName name="OSRRefD22_11x_0" localSheetId="94">'450'!$D$60</definedName>
    <definedName name="OSRRefD22_11x_0" localSheetId="75">'491'!$D$70</definedName>
    <definedName name="OSRRefD22_11x_0" localSheetId="89">'492'!$D$63</definedName>
    <definedName name="OSRRefD22_11x_0" localSheetId="39">'Div 2'!$D$59</definedName>
    <definedName name="OSRRefD22_11x_0" localSheetId="47">'Div 3'!$D$208</definedName>
    <definedName name="OSRRefD22_11x_0" localSheetId="73">'Div 4'!$D$71</definedName>
    <definedName name="OSRRefD22_11x_0" localSheetId="64">'Div 6'!$D$95</definedName>
    <definedName name="OSRRefD22_11x_0" localSheetId="2">Summary!$D$241:$D$242</definedName>
    <definedName name="OSRRefD22_12x_0" localSheetId="41">'201'!$D$57:$D$60</definedName>
    <definedName name="OSRRefD22_12x_0" localSheetId="42">'202'!$D$59</definedName>
    <definedName name="OSRRefD22_12x_0" localSheetId="43">'203'!$D$58:$D$61</definedName>
    <definedName name="OSRRefD22_12x_0" localSheetId="48">'300'!$D$205</definedName>
    <definedName name="OSRRefD22_12x_0" localSheetId="49">'300 &amp; 317'!$D$230</definedName>
    <definedName name="OSRRefD22_12x_0" localSheetId="50">'301'!$D$61</definedName>
    <definedName name="OSRRefD22_12x_0" localSheetId="55">'308'!$D$105:$D$106</definedName>
    <definedName name="OSRRefD22_12x_0" localSheetId="66">'310'!$D$67</definedName>
    <definedName name="OSRRefD22_12x_0" localSheetId="74">'310 &amp; 491'!$D$79</definedName>
    <definedName name="OSRRefD22_12x_0" localSheetId="56">'311'!$D$104:$D$105</definedName>
    <definedName name="OSRRefD22_12x_0" localSheetId="68">'313'!$D$68</definedName>
    <definedName name="OSRRefD22_12x_0" localSheetId="59">'315'!$D$125:$D$126</definedName>
    <definedName name="OSRRefD22_12x_0" localSheetId="65">'317'!$D$97</definedName>
    <definedName name="OSRRefD22_12x_0" localSheetId="70">'322'!$D$65</definedName>
    <definedName name="OSRRefD22_12x_0" localSheetId="71">'325'!$D$62:$D$64</definedName>
    <definedName name="OSRRefD22_12x_0" localSheetId="60">'326'!$D$93:$D$94</definedName>
    <definedName name="OSRRefD22_12x_0" localSheetId="52">'330'!$D$118</definedName>
    <definedName name="OSRRefD22_12x_0" localSheetId="58">'331'!$D$126</definedName>
    <definedName name="OSRRefD22_12x_0" localSheetId="61">'332'!$D$81</definedName>
    <definedName name="OSRRefD22_12x_0" localSheetId="76">'405'!$D$60:$D$62</definedName>
    <definedName name="OSRRefD22_12x_0" localSheetId="77">'406'!$D$65</definedName>
    <definedName name="OSRRefD22_12x_0" localSheetId="78">'411'!$D$59:$D$60</definedName>
    <definedName name="OSRRefD22_12x_0" localSheetId="79">'412'!$D$66</definedName>
    <definedName name="OSRRefD22_12x_0" localSheetId="81">'414'!$D$58</definedName>
    <definedName name="OSRRefD22_12x_0" localSheetId="82">'415'!$D$62:$D$66</definedName>
    <definedName name="OSRRefD22_12x_0" localSheetId="83">'418'!$D$66:$D$71</definedName>
    <definedName name="OSRRefD22_12x_0" localSheetId="86">'424'!$D$54</definedName>
    <definedName name="OSRRefD22_12x_0" localSheetId="87">'425'!$D$62:$D$68</definedName>
    <definedName name="OSRRefD22_12x_0" localSheetId="91">'433'!$D$64:$D$66</definedName>
    <definedName name="OSRRefD22_12x_0" localSheetId="93">'444'!$D$64:$D$66</definedName>
    <definedName name="OSRRefD22_12x_0" localSheetId="94">'450'!$D$62</definedName>
    <definedName name="OSRRefD22_12x_0" localSheetId="75">'491'!$D$72</definedName>
    <definedName name="OSRRefD22_12x_0" localSheetId="89">'492'!$D$65:$D$67</definedName>
    <definedName name="OSRRefD22_12x_0" localSheetId="39">'Div 2'!$D$61:$D$64</definedName>
    <definedName name="OSRRefD22_12x_0" localSheetId="47">'Div 3'!$D$210</definedName>
    <definedName name="OSRRefD22_12x_0" localSheetId="73">'Div 4'!$D$73</definedName>
    <definedName name="OSRRefD22_12x_0" localSheetId="64">'Div 6'!$D$97</definedName>
    <definedName name="OSRRefD22_12x_0" localSheetId="2">Summary!$D$244</definedName>
    <definedName name="OSRRefD22_13x_0" localSheetId="41">'201'!$D$62</definedName>
    <definedName name="OSRRefD22_13x_0" localSheetId="42">'202'!$D$61</definedName>
    <definedName name="OSRRefD22_13x_0" localSheetId="43">'203'!$D$63</definedName>
    <definedName name="OSRRefD22_13x_0" localSheetId="48">'300'!$D$207</definedName>
    <definedName name="OSRRefD22_13x_0" localSheetId="49">'300 &amp; 317'!$D$232</definedName>
    <definedName name="OSRRefD22_13x_0" localSheetId="50">'301'!$D$63</definedName>
    <definedName name="OSRRefD22_13x_0" localSheetId="55">'308'!$D$108</definedName>
    <definedName name="OSRRefD22_13x_0" localSheetId="66">'310'!$D$69</definedName>
    <definedName name="OSRRefD22_13x_0" localSheetId="74">'310 &amp; 491'!$D$81</definedName>
    <definedName name="OSRRefD22_13x_0" localSheetId="56">'311'!$D$107</definedName>
    <definedName name="OSRRefD22_13x_0" localSheetId="71">'325'!$D$66</definedName>
    <definedName name="OSRRefD22_13x_0" localSheetId="60">'326'!$D$96:$D$98</definedName>
    <definedName name="OSRRefD22_13x_0" localSheetId="52">'330'!$D$120</definedName>
    <definedName name="OSRRefD22_13x_0" localSheetId="58">'331'!$D$128:$D$129</definedName>
    <definedName name="OSRRefD22_13x_0" localSheetId="61">'332'!$D$83</definedName>
    <definedName name="OSRRefD22_13x_0" localSheetId="76">'405'!$D$64</definedName>
    <definedName name="OSRRefD22_13x_0" localSheetId="78">'411'!$D$62:$D$66</definedName>
    <definedName name="OSRRefD22_13x_0" localSheetId="81">'414'!$D$60:$D$66</definedName>
    <definedName name="OSRRefD22_13x_0" localSheetId="82">'415'!$D$68</definedName>
    <definedName name="OSRRefD22_13x_0" localSheetId="83">'418'!$D$73</definedName>
    <definedName name="OSRRefD22_13x_0" localSheetId="87">'425'!$D$70</definedName>
    <definedName name="OSRRefD22_13x_0" localSheetId="91">'433'!$D$68:$D$75</definedName>
    <definedName name="OSRRefD22_13x_0" localSheetId="93">'444'!$D$68</definedName>
    <definedName name="OSRRefD22_13x_0" localSheetId="94">'450'!$D$64:$D$66</definedName>
    <definedName name="OSRRefD22_13x_0" localSheetId="75">'491'!$D$74</definedName>
    <definedName name="OSRRefD22_13x_0" localSheetId="89">'492'!$D$69:$D$71</definedName>
    <definedName name="OSRRefD22_13x_0" localSheetId="39">'Div 2'!$D$66:$D$68</definedName>
    <definedName name="OSRRefD22_13x_0" localSheetId="47">'Div 3'!$D$212</definedName>
    <definedName name="OSRRefD22_13x_0" localSheetId="73">'Div 4'!$D$75</definedName>
    <definedName name="OSRRefD22_13x_0" localSheetId="2">Summary!$D$246</definedName>
    <definedName name="OSRRefD22_14x_0" localSheetId="41">'201'!$D$64</definedName>
    <definedName name="OSRRefD22_14x_0" localSheetId="43">'203'!$D$65</definedName>
    <definedName name="OSRRefD22_14x_0" localSheetId="48">'300'!$D$209</definedName>
    <definedName name="OSRRefD22_14x_0" localSheetId="49">'300 &amp; 317'!$D$234</definedName>
    <definedName name="OSRRefD22_14x_0" localSheetId="50">'301'!$D$65</definedName>
    <definedName name="OSRRefD22_14x_0" localSheetId="55">'308'!$D$110</definedName>
    <definedName name="OSRRefD22_14x_0" localSheetId="66">'310'!$D$71:$D$73</definedName>
    <definedName name="OSRRefD22_14x_0" localSheetId="74">'310 &amp; 491'!$D$83</definedName>
    <definedName name="OSRRefD22_14x_0" localSheetId="56">'311'!$D$109</definedName>
    <definedName name="OSRRefD22_14x_0" localSheetId="71">'325'!$D$68:$D$72</definedName>
    <definedName name="OSRRefD22_14x_0" localSheetId="60">'326'!$D$100</definedName>
    <definedName name="OSRRefD22_14x_0" localSheetId="58">'331'!$D$131:$D$132</definedName>
    <definedName name="OSRRefD22_14x_0" localSheetId="61">'332'!$D$85</definedName>
    <definedName name="OSRRefD22_14x_0" localSheetId="76">'405'!$D$66:$D$72</definedName>
    <definedName name="OSRRefD22_14x_0" localSheetId="78">'411'!$D$68:$D$73</definedName>
    <definedName name="OSRRefD22_14x_0" localSheetId="81">'414'!$D$68</definedName>
    <definedName name="OSRRefD22_14x_0" localSheetId="82">'415'!$D$70:$D$77</definedName>
    <definedName name="OSRRefD22_14x_0" localSheetId="83">'418'!$D$75</definedName>
    <definedName name="OSRRefD22_14x_0" localSheetId="87">'425'!$D$72</definedName>
    <definedName name="OSRRefD22_14x_0" localSheetId="91">'433'!$D$77</definedName>
    <definedName name="OSRRefD22_14x_0" localSheetId="93">'444'!$D$70:$D$78</definedName>
    <definedName name="OSRRefD22_14x_0" localSheetId="94">'450'!$D$68:$D$73</definedName>
    <definedName name="OSRRefD22_14x_0" localSheetId="75">'491'!$D$76</definedName>
    <definedName name="OSRRefD22_14x_0" localSheetId="89">'492'!$D$73</definedName>
    <definedName name="OSRRefD22_14x_0" localSheetId="39">'Div 2'!$D$70:$D$71</definedName>
    <definedName name="OSRRefD22_14x_0" localSheetId="47">'Div 3'!$D$214</definedName>
    <definedName name="OSRRefD22_14x_0" localSheetId="73">'Div 4'!$D$77</definedName>
    <definedName name="OSRRefD22_14x_0" localSheetId="2">Summary!$D$248</definedName>
    <definedName name="OSRRefD22_15x_0" localSheetId="41">'201'!$D$66</definedName>
    <definedName name="OSRRefD22_15x_0" localSheetId="43">'203'!$D$67</definedName>
    <definedName name="OSRRefD22_15x_0" localSheetId="48">'300'!$D$211</definedName>
    <definedName name="OSRRefD22_15x_0" localSheetId="49">'300 &amp; 317'!$D$236</definedName>
    <definedName name="OSRRefD22_15x_0" localSheetId="50">'301'!$D$67:$D$70</definedName>
    <definedName name="OSRRefD22_15x_0" localSheetId="66">'310'!$D$75</definedName>
    <definedName name="OSRRefD22_15x_0" localSheetId="74">'310 &amp; 491'!$D$85</definedName>
    <definedName name="OSRRefD22_15x_0" localSheetId="71">'325'!$D$74</definedName>
    <definedName name="OSRRefD22_15x_0" localSheetId="60">'326'!$D$102:$D$105</definedName>
    <definedName name="OSRRefD22_15x_0" localSheetId="58">'331'!$D$134:$D$136</definedName>
    <definedName name="OSRRefD22_15x_0" localSheetId="76">'405'!$D$74</definedName>
    <definedName name="OSRRefD22_15x_0" localSheetId="78">'411'!$D$75</definedName>
    <definedName name="OSRRefD22_15x_0" localSheetId="81">'414'!$D$70</definedName>
    <definedName name="OSRRefD22_15x_0" localSheetId="82">'415'!$D$79</definedName>
    <definedName name="OSRRefD22_15x_0" localSheetId="91">'433'!$D$79</definedName>
    <definedName name="OSRRefD22_15x_0" localSheetId="93">'444'!$D$80</definedName>
    <definedName name="OSRRefD22_15x_0" localSheetId="94">'450'!$D$75</definedName>
    <definedName name="OSRRefD22_15x_0" localSheetId="75">'491'!$D$78:$D$80</definedName>
    <definedName name="OSRRefD22_15x_0" localSheetId="89">'492'!$D$75:$D$83</definedName>
    <definedName name="OSRRefD22_15x_0" localSheetId="39">'Div 2'!$D$73</definedName>
    <definedName name="OSRRefD22_15x_0" localSheetId="47">'Div 3'!$D$216</definedName>
    <definedName name="OSRRefD22_15x_0" localSheetId="73">'Div 4'!$D$79</definedName>
    <definedName name="OSRRefD22_15x_0" localSheetId="2">Summary!$D$250</definedName>
    <definedName name="OSRRefD22_16x_0" localSheetId="48">'300'!$D$213:$D$216</definedName>
    <definedName name="OSRRefD22_16x_0" localSheetId="49">'300 &amp; 317'!$D$238:$D$241</definedName>
    <definedName name="OSRRefD22_16x_0" localSheetId="50">'301'!$D$72:$D$74</definedName>
    <definedName name="OSRRefD22_16x_0" localSheetId="66">'310'!$D$77:$D$80</definedName>
    <definedName name="OSRRefD22_16x_0" localSheetId="74">'310 &amp; 491'!$D$87:$D$89</definedName>
    <definedName name="OSRRefD22_16x_0" localSheetId="71">'325'!$D$76</definedName>
    <definedName name="OSRRefD22_16x_0" localSheetId="60">'326'!$D$107</definedName>
    <definedName name="OSRRefD22_16x_0" localSheetId="58">'331'!$D$138:$D$139</definedName>
    <definedName name="OSRRefD22_16x_0" localSheetId="76">'405'!$D$76</definedName>
    <definedName name="OSRRefD22_16x_0" localSheetId="78">'411'!$D$77</definedName>
    <definedName name="OSRRefD22_16x_0" localSheetId="82">'415'!$D$81</definedName>
    <definedName name="OSRRefD22_16x_0" localSheetId="91">'433'!$D$81</definedName>
    <definedName name="OSRRefD22_16x_0" localSheetId="93">'444'!$D$82</definedName>
    <definedName name="OSRRefD22_16x_0" localSheetId="94">'450'!$D$77</definedName>
    <definedName name="OSRRefD22_16x_0" localSheetId="75">'491'!$D$82:$D$83</definedName>
    <definedName name="OSRRefD22_16x_0" localSheetId="89">'492'!$D$85</definedName>
    <definedName name="OSRRefD22_16x_0" localSheetId="39">'Div 2'!$D$75:$D$79</definedName>
    <definedName name="OSRRefD22_16x_0" localSheetId="47">'Div 3'!$D$218</definedName>
    <definedName name="OSRRefD22_16x_0" localSheetId="73">'Div 4'!$D$81:$D$83</definedName>
    <definedName name="OSRRefD22_16x_0" localSheetId="2">Summary!$D$252</definedName>
    <definedName name="OSRRefD22_17x_0" localSheetId="48">'300'!$D$218:$D$220</definedName>
    <definedName name="OSRRefD22_17x_0" localSheetId="49">'300 &amp; 317'!$D$243:$D$245</definedName>
    <definedName name="OSRRefD22_17x_0" localSheetId="50">'301'!$D$76</definedName>
    <definedName name="OSRRefD22_17x_0" localSheetId="66">'310'!$D$82</definedName>
    <definedName name="OSRRefD22_17x_0" localSheetId="74">'310 &amp; 491'!$D$91:$D$92</definedName>
    <definedName name="OSRRefD22_17x_0" localSheetId="60">'326'!$D$109</definedName>
    <definedName name="OSRRefD22_17x_0" localSheetId="58">'331'!$D$141:$D$146</definedName>
    <definedName name="OSRRefD22_17x_0" localSheetId="76">'405'!$D$78</definedName>
    <definedName name="OSRRefD22_17x_0" localSheetId="78">'411'!$D$79:$D$81</definedName>
    <definedName name="OSRRefD22_17x_0" localSheetId="82">'415'!$D$83</definedName>
    <definedName name="OSRRefD22_17x_0" localSheetId="93">'444'!$D$84</definedName>
    <definedName name="OSRRefD22_17x_0" localSheetId="94">'450'!$D$79</definedName>
    <definedName name="OSRRefD22_17x_0" localSheetId="75">'491'!$D$85:$D$89</definedName>
    <definedName name="OSRRefD22_17x_0" localSheetId="89">'492'!$D$87</definedName>
    <definedName name="OSRRefD22_17x_0" localSheetId="39">'Div 2'!$D$81:$D$82</definedName>
    <definedName name="OSRRefD22_17x_0" localSheetId="47">'Div 3'!$D$220:$D$223</definedName>
    <definedName name="OSRRefD22_17x_0" localSheetId="73">'Div 4'!$D$85:$D$86</definedName>
    <definedName name="OSRRefD22_17x_0" localSheetId="2">Summary!$D$254</definedName>
    <definedName name="OSRRefD22_18x_0" localSheetId="48">'300'!$D$222:$D$225</definedName>
    <definedName name="OSRRefD22_18x_0" localSheetId="49">'300 &amp; 317'!$D$247:$D$250</definedName>
    <definedName name="OSRRefD22_18x_0" localSheetId="50">'301'!$D$78:$D$83</definedName>
    <definedName name="OSRRefD22_18x_0" localSheetId="66">'310'!$D$84:$D$90</definedName>
    <definedName name="OSRRefD22_18x_0" localSheetId="74">'310 &amp; 491'!$D$94:$D$98</definedName>
    <definedName name="OSRRefD22_18x_0" localSheetId="60">'326'!$D$111</definedName>
    <definedName name="OSRRefD22_18x_0" localSheetId="58">'331'!$D$148</definedName>
    <definedName name="OSRRefD22_18x_0" localSheetId="78">'411'!$D$83</definedName>
    <definedName name="OSRRefD22_18x_0" localSheetId="75">'491'!$D$91</definedName>
    <definedName name="OSRRefD22_18x_0" localSheetId="89">'492'!$D$89</definedName>
    <definedName name="OSRRefD22_18x_0" localSheetId="39">'Div 2'!$D$84</definedName>
    <definedName name="OSRRefD22_18x_0" localSheetId="47">'Div 3'!$D$225:$D$227</definedName>
    <definedName name="OSRRefD22_18x_0" localSheetId="73">'Div 4'!$D$88:$D$92</definedName>
    <definedName name="OSRRefD22_18x_0" localSheetId="2">Summary!$D$256:$D$259</definedName>
    <definedName name="OSRRefD22_19x_0" localSheetId="48">'300'!$D$227:$D$228</definedName>
    <definedName name="OSRRefD22_19x_0" localSheetId="49">'300 &amp; 317'!$D$252:$D$253</definedName>
    <definedName name="OSRRefD22_19x_0" localSheetId="50">'301'!$D$85</definedName>
    <definedName name="OSRRefD22_19x_0" localSheetId="66">'310'!$D$92</definedName>
    <definedName name="OSRRefD22_19x_0" localSheetId="74">'310 &amp; 491'!$D$100</definedName>
    <definedName name="OSRRefD22_19x_0" localSheetId="58">'331'!$D$150</definedName>
    <definedName name="OSRRefD22_19x_0" localSheetId="75">'491'!$D$93:$D$101</definedName>
    <definedName name="OSRRefD22_19x_0" localSheetId="39">'Div 2'!$D$86:$D$87</definedName>
    <definedName name="OSRRefD22_19x_0" localSheetId="47">'Div 3'!$D$229:$D$233</definedName>
    <definedName name="OSRRefD22_19x_0" localSheetId="73">'Div 4'!$D$94:$D$95</definedName>
    <definedName name="OSRRefD22_19x_0" localSheetId="2">Summary!$D$261:$D$263</definedName>
    <definedName name="OSRRefD22_1x_0" localSheetId="40">'200'!$D$22</definedName>
    <definedName name="OSRRefD22_1x_0" localSheetId="41">'201'!$D$29:$D$31</definedName>
    <definedName name="OSRRefD22_1x_0" localSheetId="42">'202'!$D$29:$D$32</definedName>
    <definedName name="OSRRefD22_1x_0" localSheetId="43">'203'!$D$31:$D$34</definedName>
    <definedName name="OSRRefD22_1x_0" localSheetId="44">'204'!$D$30:$D$34</definedName>
    <definedName name="OSRRefD22_1x_0" localSheetId="45">'205'!$D$29</definedName>
    <definedName name="OSRRefD22_1x_0" localSheetId="46">'206'!$D$28:$D$31</definedName>
    <definedName name="OSRRefD22_1x_0" localSheetId="48">'300'!$D$173:$D$179</definedName>
    <definedName name="OSRRefD22_1x_0" localSheetId="49">'300 &amp; 317'!$D$198:$D$204</definedName>
    <definedName name="OSRRefD22_1x_0" localSheetId="50">'301'!$D$30:$D$36</definedName>
    <definedName name="OSRRefD22_1x_0" localSheetId="51">'306'!$D$30:$D$35</definedName>
    <definedName name="OSRRefD22_1x_0" localSheetId="53">'307'!$D$78:$D$81</definedName>
    <definedName name="OSRRefD22_1x_0" localSheetId="55">'308'!$D$73:$D$78</definedName>
    <definedName name="OSRRefD22_1x_0" localSheetId="67">'309'!$D$33:$D$37</definedName>
    <definedName name="OSRRefD22_1x_0" localSheetId="66">'310'!$D$39:$D$44</definedName>
    <definedName name="OSRRefD22_1x_0" localSheetId="74">'310 &amp; 491'!$D$47:$D$53</definedName>
    <definedName name="OSRRefD22_1x_0" localSheetId="56">'311'!$D$72:$D$77</definedName>
    <definedName name="OSRRefD22_1x_0" localSheetId="68">'313'!$D$36:$D$40</definedName>
    <definedName name="OSRRefD22_1x_0" localSheetId="54">'314'!$D$63:$D$65</definedName>
    <definedName name="OSRRefD22_1x_0" localSheetId="59">'315'!$D$90:$D$95</definedName>
    <definedName name="OSRRefD22_1x_0" localSheetId="62">'316'!$D$41:$D$43</definedName>
    <definedName name="OSRRefD22_1x_0" localSheetId="65">'317'!$D$68:$D$72</definedName>
    <definedName name="OSRRefD22_1x_0" localSheetId="63">'320'!$D$36:$D$38</definedName>
    <definedName name="OSRRefD22_1x_0" localSheetId="69">'321'!$D$33:$D$37</definedName>
    <definedName name="OSRRefD22_1x_0" localSheetId="70">'322'!$D$33:$D$36</definedName>
    <definedName name="OSRRefD22_1x_0" localSheetId="71">'325'!$D$33:$D$37</definedName>
    <definedName name="OSRRefD22_1x_0" localSheetId="60">'326'!$D$67:$D$71</definedName>
    <definedName name="OSRRefD22_1x_0" localSheetId="72">'327'!$D$24</definedName>
    <definedName name="OSRRefD22_1x_0" localSheetId="52">'330'!$D$87:$D$91</definedName>
    <definedName name="OSRRefD22_1x_0" localSheetId="58">'331'!$D$97:$D$102</definedName>
    <definedName name="OSRRefD22_1x_0" localSheetId="61">'332'!$D$49:$D$52</definedName>
    <definedName name="OSRRefD22_1x_0" localSheetId="76">'405'!$D$33:$D$36</definedName>
    <definedName name="OSRRefD22_1x_0" localSheetId="77">'406'!$D$33:$D$37</definedName>
    <definedName name="OSRRefD22_1x_0" localSheetId="78">'411'!$D$30:$D$35</definedName>
    <definedName name="OSRRefD22_1x_0" localSheetId="79">'412'!$D$32:$D$37</definedName>
    <definedName name="OSRRefD22_1x_0" localSheetId="80">'413'!$D$33:$D$36</definedName>
    <definedName name="OSRRefD22_1x_0" localSheetId="81">'414'!$D$32:$D$35</definedName>
    <definedName name="OSRRefD22_1x_0" localSheetId="82">'415'!$D$33:$D$37</definedName>
    <definedName name="OSRRefD22_1x_0" localSheetId="83">'418'!$D$33:$D$38</definedName>
    <definedName name="OSRRefD22_1x_0" localSheetId="84">'420'!$D$30:$D$33</definedName>
    <definedName name="OSRRefD22_1x_0" localSheetId="85">'423'!$D$30</definedName>
    <definedName name="OSRRefD22_1x_0" localSheetId="86">'424'!$D$26:$D$29</definedName>
    <definedName name="OSRRefD22_1x_0" localSheetId="87">'425'!$D$33:$D$37</definedName>
    <definedName name="OSRRefD22_1x_0" localSheetId="90">'430'!$D$29</definedName>
    <definedName name="OSRRefD22_1x_0" localSheetId="91">'433'!$D$35:$D$40</definedName>
    <definedName name="OSRRefD22_1x_0" localSheetId="92">'435'!$D$29:$D$30</definedName>
    <definedName name="OSRRefD22_1x_0" localSheetId="93">'444'!$D$35:$D$40</definedName>
    <definedName name="OSRRefD22_1x_0" localSheetId="94">'450'!$D$35:$D$40</definedName>
    <definedName name="OSRRefD22_1x_0" localSheetId="88">'455'!$D$28:$D$29</definedName>
    <definedName name="OSRRefD22_1x_0" localSheetId="75">'491'!$D$41:$D$47</definedName>
    <definedName name="OSRRefD22_1x_0" localSheetId="89">'492'!$D$37:$D$43</definedName>
    <definedName name="OSRRefD22_1x_0" localSheetId="96">'501'!$D$31:$D$35</definedName>
    <definedName name="OSRRefD22_1x_0" localSheetId="39">'Div 2'!$D$32:$D$38</definedName>
    <definedName name="OSRRefD22_1x_0" localSheetId="47">'Div 3'!$D$178:$D$184</definedName>
    <definedName name="OSRRefD22_1x_0" localSheetId="73">'Div 4'!$D$42:$D$48</definedName>
    <definedName name="OSRRefD22_1x_0" localSheetId="95">'Div 5'!$D$31:$D$35</definedName>
    <definedName name="OSRRefD22_1x_0" localSheetId="64">'Div 6'!$D$68:$D$72</definedName>
    <definedName name="OSRRefD22_1x_0" localSheetId="2">Summary!$D$210:$D$216</definedName>
    <definedName name="OSRRefD22_20x_0" localSheetId="48">'300'!$D$230:$D$236</definedName>
    <definedName name="OSRRefD22_20x_0" localSheetId="49">'300 &amp; 317'!$D$255:$D$261</definedName>
    <definedName name="OSRRefD22_20x_0" localSheetId="50">'301'!$D$87</definedName>
    <definedName name="OSRRefD22_20x_0" localSheetId="66">'310'!$D$94</definedName>
    <definedName name="OSRRefD22_20x_0" localSheetId="74">'310 &amp; 491'!$D$102:$D$110</definedName>
    <definedName name="OSRRefD22_20x_0" localSheetId="58">'331'!$D$152:$D$153</definedName>
    <definedName name="OSRRefD22_20x_0" localSheetId="75">'491'!$D$103</definedName>
    <definedName name="OSRRefD22_20x_0" localSheetId="47">'Div 3'!$D$235:$D$236</definedName>
    <definedName name="OSRRefD22_20x_0" localSheetId="73">'Div 4'!$D$97:$D$105</definedName>
    <definedName name="OSRRefD22_20x_0" localSheetId="2">Summary!$D$265:$D$269</definedName>
    <definedName name="OSRRefD22_21x_0" localSheetId="48">'300'!$D$238:$D$239</definedName>
    <definedName name="OSRRefD22_21x_0" localSheetId="49">'300 &amp; 317'!$D$263:$D$264</definedName>
    <definedName name="OSRRefD22_21x_0" localSheetId="50">'301'!$D$89:$D$91</definedName>
    <definedName name="OSRRefD22_21x_0" localSheetId="66">'310'!$D$96</definedName>
    <definedName name="OSRRefD22_21x_0" localSheetId="74">'310 &amp; 491'!$D$112</definedName>
    <definedName name="OSRRefD22_21x_0" localSheetId="58">'331'!$D$155</definedName>
    <definedName name="OSRRefD22_21x_0" localSheetId="75">'491'!$D$105</definedName>
    <definedName name="OSRRefD22_21x_0" localSheetId="47">'Div 3'!$D$238:$D$244</definedName>
    <definedName name="OSRRefD22_21x_0" localSheetId="73">'Div 4'!$D$107</definedName>
    <definedName name="OSRRefD22_21x_0" localSheetId="2">Summary!$D$271:$D$272</definedName>
    <definedName name="OSRRefD22_22x_0" localSheetId="48">'300'!$D$241</definedName>
    <definedName name="OSRRefD22_22x_0" localSheetId="49">'300 &amp; 317'!$D$266</definedName>
    <definedName name="OSRRefD22_22x_0" localSheetId="50">'301'!$D$93</definedName>
    <definedName name="OSRRefD22_22x_0" localSheetId="74">'310 &amp; 491'!$D$114</definedName>
    <definedName name="OSRRefD22_22x_0" localSheetId="75">'491'!$D$107:$D$109</definedName>
    <definedName name="OSRRefD22_22x_0" localSheetId="47">'Div 3'!$D$246:$D$247</definedName>
    <definedName name="OSRRefD22_22x_0" localSheetId="73">'Div 4'!$D$109</definedName>
    <definedName name="OSRRefD22_22x_0" localSheetId="2">Summary!$D$274:$D$282</definedName>
    <definedName name="OSRRefD22_23x_0" localSheetId="48">'300'!$D$243:$D$245</definedName>
    <definedName name="OSRRefD22_23x_0" localSheetId="49">'300 &amp; 317'!$D$268:$D$270</definedName>
    <definedName name="OSRRefD22_23x_0" localSheetId="74">'310 &amp; 491'!$D$116:$D$118</definedName>
    <definedName name="OSRRefD22_23x_0" localSheetId="75">'491'!$D$111</definedName>
    <definedName name="OSRRefD22_23x_0" localSheetId="47">'Div 3'!$D$249</definedName>
    <definedName name="OSRRefD22_23x_0" localSheetId="73">'Div 4'!$D$111:$D$113</definedName>
    <definedName name="OSRRefD22_23x_0" localSheetId="2">Summary!$D$284:$D$285</definedName>
    <definedName name="OSRRefD22_24x_0" localSheetId="48">'300'!$D$247</definedName>
    <definedName name="OSRRefD22_24x_0" localSheetId="49">'300 &amp; 317'!$D$272</definedName>
    <definedName name="OSRRefD22_24x_0" localSheetId="74">'310 &amp; 491'!$D$120</definedName>
    <definedName name="OSRRefD22_24x_0" localSheetId="47">'Div 3'!$D$251:$D$253</definedName>
    <definedName name="OSRRefD22_24x_0" localSheetId="73">'Div 4'!$D$115</definedName>
    <definedName name="OSRRefD22_24x_0" localSheetId="2">Summary!$D$287</definedName>
    <definedName name="OSRRefD22_25x_0" localSheetId="47">'Div 3'!$D$255</definedName>
    <definedName name="OSRRefD22_25x_0" localSheetId="2">Summary!$D$289:$D$291</definedName>
    <definedName name="OSRRefD22_26x_0" localSheetId="2">Summary!$D$293</definedName>
    <definedName name="OSRRefD22_2x_0" localSheetId="40">'200'!$D$24</definedName>
    <definedName name="OSRRefD22_2x_0" localSheetId="41">'201'!$D$33</definedName>
    <definedName name="OSRRefD22_2x_0" localSheetId="42">'202'!$D$34</definedName>
    <definedName name="OSRRefD22_2x_0" localSheetId="43">'203'!$D$36</definedName>
    <definedName name="OSRRefD22_2x_0" localSheetId="44">'204'!$D$36</definedName>
    <definedName name="OSRRefD22_2x_0" localSheetId="45">'205'!$D$31</definedName>
    <definedName name="OSRRefD22_2x_0" localSheetId="46">'206'!$D$33</definedName>
    <definedName name="OSRRefD22_2x_0" localSheetId="48">'300'!$D$181</definedName>
    <definedName name="OSRRefD22_2x_0" localSheetId="49">'300 &amp; 317'!$D$206</definedName>
    <definedName name="OSRRefD22_2x_0" localSheetId="50">'301'!$D$38</definedName>
    <definedName name="OSRRefD22_2x_0" localSheetId="51">'306'!$D$37</definedName>
    <definedName name="OSRRefD22_2x_0" localSheetId="53">'307'!$D$83</definedName>
    <definedName name="OSRRefD22_2x_0" localSheetId="55">'308'!$D$80</definedName>
    <definedName name="OSRRefD22_2x_0" localSheetId="67">'309'!$D$39</definedName>
    <definedName name="OSRRefD22_2x_0" localSheetId="66">'310'!$D$46</definedName>
    <definedName name="OSRRefD22_2x_0" localSheetId="74">'310 &amp; 491'!$D$55</definedName>
    <definedName name="OSRRefD22_2x_0" localSheetId="56">'311'!$D$79</definedName>
    <definedName name="OSRRefD22_2x_0" localSheetId="68">'313'!$D$42</definedName>
    <definedName name="OSRRefD22_2x_0" localSheetId="54">'314'!$D$67</definedName>
    <definedName name="OSRRefD22_2x_0" localSheetId="59">'315'!$D$97</definedName>
    <definedName name="OSRRefD22_2x_0" localSheetId="62">'316'!$D$45</definedName>
    <definedName name="OSRRefD22_2x_0" localSheetId="65">'317'!$D$74</definedName>
    <definedName name="OSRRefD22_2x_0" localSheetId="63">'320'!$D$40</definedName>
    <definedName name="OSRRefD22_2x_0" localSheetId="69">'321'!$D$39</definedName>
    <definedName name="OSRRefD22_2x_0" localSheetId="70">'322'!$D$38</definedName>
    <definedName name="OSRRefD22_2x_0" localSheetId="71">'325'!$D$39</definedName>
    <definedName name="OSRRefD22_2x_0" localSheetId="60">'326'!$D$73</definedName>
    <definedName name="OSRRefD22_2x_0" localSheetId="72">'327'!$D$26</definedName>
    <definedName name="OSRRefD22_2x_0" localSheetId="52">'330'!$D$93</definedName>
    <definedName name="OSRRefD22_2x_0" localSheetId="58">'331'!$D$104</definedName>
    <definedName name="OSRRefD22_2x_0" localSheetId="61">'332'!$D$54</definedName>
    <definedName name="OSRRefD22_2x_0" localSheetId="76">'405'!$D$38</definedName>
    <definedName name="OSRRefD22_2x_0" localSheetId="77">'406'!$D$39</definedName>
    <definedName name="OSRRefD22_2x_0" localSheetId="78">'411'!$D$37</definedName>
    <definedName name="OSRRefD22_2x_0" localSheetId="79">'412'!$D$39</definedName>
    <definedName name="OSRRefD22_2x_0" localSheetId="80">'413'!$D$38</definedName>
    <definedName name="OSRRefD22_2x_0" localSheetId="81">'414'!$D$37</definedName>
    <definedName name="OSRRefD22_2x_0" localSheetId="82">'415'!$D$39</definedName>
    <definedName name="OSRRefD22_2x_0" localSheetId="83">'418'!$D$40</definedName>
    <definedName name="OSRRefD22_2x_0" localSheetId="84">'420'!$D$35</definedName>
    <definedName name="OSRRefD22_2x_0" localSheetId="85">'423'!$D$32</definedName>
    <definedName name="OSRRefD22_2x_0" localSheetId="86">'424'!$D$31</definedName>
    <definedName name="OSRRefD22_2x_0" localSheetId="87">'425'!$D$39</definedName>
    <definedName name="OSRRefD22_2x_0" localSheetId="90">'430'!$D$31</definedName>
    <definedName name="OSRRefD22_2x_0" localSheetId="91">'433'!$D$42</definedName>
    <definedName name="OSRRefD22_2x_0" localSheetId="92">'435'!$D$32</definedName>
    <definedName name="OSRRefD22_2x_0" localSheetId="93">'444'!$D$42</definedName>
    <definedName name="OSRRefD22_2x_0" localSheetId="94">'450'!$D$42</definedName>
    <definedName name="OSRRefD22_2x_0" localSheetId="75">'491'!$D$49</definedName>
    <definedName name="OSRRefD22_2x_0" localSheetId="89">'492'!$D$45</definedName>
    <definedName name="OSRRefD22_2x_0" localSheetId="96">'501'!$D$37</definedName>
    <definedName name="OSRRefD22_2x_0" localSheetId="39">'Div 2'!$D$40</definedName>
    <definedName name="OSRRefD22_2x_0" localSheetId="47">'Div 3'!$D$186</definedName>
    <definedName name="OSRRefD22_2x_0" localSheetId="73">'Div 4'!$D$50</definedName>
    <definedName name="OSRRefD22_2x_0" localSheetId="95">'Div 5'!$D$37</definedName>
    <definedName name="OSRRefD22_2x_0" localSheetId="64">'Div 6'!$D$74</definedName>
    <definedName name="OSRRefD22_2x_0" localSheetId="2">Summary!$D$218</definedName>
    <definedName name="OSRRefD22_3x_0" localSheetId="40">'200'!$D$26</definedName>
    <definedName name="OSRRefD22_3x_0" localSheetId="41">'201'!$D$35</definedName>
    <definedName name="OSRRefD22_3x_0" localSheetId="42">'202'!$D$36</definedName>
    <definedName name="OSRRefD22_3x_0" localSheetId="43">'203'!$D$38</definedName>
    <definedName name="OSRRefD22_3x_0" localSheetId="44">'204'!$D$38</definedName>
    <definedName name="OSRRefD22_3x_0" localSheetId="45">'205'!$D$33</definedName>
    <definedName name="OSRRefD22_3x_0" localSheetId="46">'206'!$D$35</definedName>
    <definedName name="OSRRefD22_3x_0" localSheetId="48">'300'!$D$183:$D$184</definedName>
    <definedName name="OSRRefD22_3x_0" localSheetId="49">'300 &amp; 317'!$D$208:$D$209</definedName>
    <definedName name="OSRRefD22_3x_0" localSheetId="50">'301'!$D$40:$D$41</definedName>
    <definedName name="OSRRefD22_3x_0" localSheetId="51">'306'!$D$39</definedName>
    <definedName name="OSRRefD22_3x_0" localSheetId="53">'307'!$D$85</definedName>
    <definedName name="OSRRefD22_3x_0" localSheetId="55">'308'!$D$82:$D$83</definedName>
    <definedName name="OSRRefD22_3x_0" localSheetId="67">'309'!$D$41</definedName>
    <definedName name="OSRRefD22_3x_0" localSheetId="66">'310'!$D$48</definedName>
    <definedName name="OSRRefD22_3x_0" localSheetId="74">'310 &amp; 491'!$D$57</definedName>
    <definedName name="OSRRefD22_3x_0" localSheetId="56">'311'!$D$81:$D$82</definedName>
    <definedName name="OSRRefD22_3x_0" localSheetId="68">'313'!$D$44</definedName>
    <definedName name="OSRRefD22_3x_0" localSheetId="54">'314'!$D$69:$D$70</definedName>
    <definedName name="OSRRefD22_3x_0" localSheetId="59">'315'!$D$99:$D$100</definedName>
    <definedName name="OSRRefD22_3x_0" localSheetId="62">'316'!$D$47</definedName>
    <definedName name="OSRRefD22_3x_0" localSheetId="65">'317'!$D$76</definedName>
    <definedName name="OSRRefD22_3x_0" localSheetId="63">'320'!$D$42</definedName>
    <definedName name="OSRRefD22_3x_0" localSheetId="69">'321'!$D$41</definedName>
    <definedName name="OSRRefD22_3x_0" localSheetId="70">'322'!$D$40</definedName>
    <definedName name="OSRRefD22_3x_0" localSheetId="71">'325'!$D$41</definedName>
    <definedName name="OSRRefD22_3x_0" localSheetId="60">'326'!$D$75</definedName>
    <definedName name="OSRRefD22_3x_0" localSheetId="52">'330'!$D$95</definedName>
    <definedName name="OSRRefD22_3x_0" localSheetId="58">'331'!$D$106</definedName>
    <definedName name="OSRRefD22_3x_0" localSheetId="61">'332'!$D$56</definedName>
    <definedName name="OSRRefD22_3x_0" localSheetId="76">'405'!$D$40</definedName>
    <definedName name="OSRRefD22_3x_0" localSheetId="77">'406'!$D$41</definedName>
    <definedName name="OSRRefD22_3x_0" localSheetId="78">'411'!$D$39</definedName>
    <definedName name="OSRRefD22_3x_0" localSheetId="79">'412'!$D$41</definedName>
    <definedName name="OSRRefD22_3x_0" localSheetId="80">'413'!$D$40</definedName>
    <definedName name="OSRRefD22_3x_0" localSheetId="81">'414'!$D$39</definedName>
    <definedName name="OSRRefD22_3x_0" localSheetId="82">'415'!$D$41</definedName>
    <definedName name="OSRRefD22_3x_0" localSheetId="83">'418'!$D$42</definedName>
    <definedName name="OSRRefD22_3x_0" localSheetId="84">'420'!$D$37</definedName>
    <definedName name="OSRRefD22_3x_0" localSheetId="85">'423'!$D$34</definedName>
    <definedName name="OSRRefD22_3x_0" localSheetId="86">'424'!$D$33</definedName>
    <definedName name="OSRRefD22_3x_0" localSheetId="87">'425'!$D$41</definedName>
    <definedName name="OSRRefD22_3x_0" localSheetId="90">'430'!$D$33</definedName>
    <definedName name="OSRRefD22_3x_0" localSheetId="91">'433'!$D$44</definedName>
    <definedName name="OSRRefD22_3x_0" localSheetId="92">'435'!$D$34</definedName>
    <definedName name="OSRRefD22_3x_0" localSheetId="93">'444'!$D$44</definedName>
    <definedName name="OSRRefD22_3x_0" localSheetId="94">'450'!$D$44</definedName>
    <definedName name="OSRRefD22_3x_0" localSheetId="75">'491'!$D$51</definedName>
    <definedName name="OSRRefD22_3x_0" localSheetId="89">'492'!$D$47</definedName>
    <definedName name="OSRRefD22_3x_0" localSheetId="96">'501'!$D$39</definedName>
    <definedName name="OSRRefD22_3x_0" localSheetId="39">'Div 2'!$D$42</definedName>
    <definedName name="OSRRefD22_3x_0" localSheetId="47">'Div 3'!$D$188:$D$189</definedName>
    <definedName name="OSRRefD22_3x_0" localSheetId="73">'Div 4'!$D$52</definedName>
    <definedName name="OSRRefD22_3x_0" localSheetId="95">'Div 5'!$D$39</definedName>
    <definedName name="OSRRefD22_3x_0" localSheetId="64">'Div 6'!$D$76</definedName>
    <definedName name="OSRRefD22_3x_0" localSheetId="2">Summary!$D$220:$D$221</definedName>
    <definedName name="OSRRefD22_4x_0" localSheetId="40">'200'!$D$28:$D$29</definedName>
    <definedName name="OSRRefD22_4x_0" localSheetId="41">'201'!$D$37</definedName>
    <definedName name="OSRRefD22_4x_0" localSheetId="42">'202'!$D$38:$D$39</definedName>
    <definedName name="OSRRefD22_4x_0" localSheetId="43">'203'!$D$40</definedName>
    <definedName name="OSRRefD22_4x_0" localSheetId="44">'204'!$D$40</definedName>
    <definedName name="OSRRefD22_4x_0" localSheetId="45">'205'!$D$35:$D$36</definedName>
    <definedName name="OSRRefD22_4x_0" localSheetId="46">'206'!$D$37</definedName>
    <definedName name="OSRRefD22_4x_0" localSheetId="48">'300'!$D$186</definedName>
    <definedName name="OSRRefD22_4x_0" localSheetId="49">'300 &amp; 317'!$D$211</definedName>
    <definedName name="OSRRefD22_4x_0" localSheetId="50">'301'!$D$43</definedName>
    <definedName name="OSRRefD22_4x_0" localSheetId="51">'306'!$D$41</definedName>
    <definedName name="OSRRefD22_4x_0" localSheetId="53">'307'!$D$87:$D$88</definedName>
    <definedName name="OSRRefD22_4x_0" localSheetId="55">'308'!$D$85</definedName>
    <definedName name="OSRRefD22_4x_0" localSheetId="67">'309'!$D$43</definedName>
    <definedName name="OSRRefD22_4x_0" localSheetId="66">'310'!$D$50</definedName>
    <definedName name="OSRRefD22_4x_0" localSheetId="74">'310 &amp; 491'!$D$59</definedName>
    <definedName name="OSRRefD22_4x_0" localSheetId="56">'311'!$D$84</definedName>
    <definedName name="OSRRefD22_4x_0" localSheetId="68">'313'!$D$46</definedName>
    <definedName name="OSRRefD22_4x_0" localSheetId="54">'314'!$D$72</definedName>
    <definedName name="OSRRefD22_4x_0" localSheetId="59">'315'!$D$102</definedName>
    <definedName name="OSRRefD22_4x_0" localSheetId="62">'316'!$D$49</definedName>
    <definedName name="OSRRefD22_4x_0" localSheetId="65">'317'!$D$78</definedName>
    <definedName name="OSRRefD22_4x_0" localSheetId="63">'320'!$D$44:$D$45</definedName>
    <definedName name="OSRRefD22_4x_0" localSheetId="69">'321'!$D$43</definedName>
    <definedName name="OSRRefD22_4x_0" localSheetId="70">'322'!$D$42</definedName>
    <definedName name="OSRRefD22_4x_0" localSheetId="71">'325'!$D$43</definedName>
    <definedName name="OSRRefD22_4x_0" localSheetId="60">'326'!$D$77</definedName>
    <definedName name="OSRRefD22_4x_0" localSheetId="52">'330'!$D$97:$D$98</definedName>
    <definedName name="OSRRefD22_4x_0" localSheetId="58">'331'!$D$108</definedName>
    <definedName name="OSRRefD22_4x_0" localSheetId="61">'332'!$D$58</definedName>
    <definedName name="OSRRefD22_4x_0" localSheetId="76">'405'!$D$42</definedName>
    <definedName name="OSRRefD22_4x_0" localSheetId="77">'406'!$D$43</definedName>
    <definedName name="OSRRefD22_4x_0" localSheetId="78">'411'!$D$41:$D$43</definedName>
    <definedName name="OSRRefD22_4x_0" localSheetId="79">'412'!$D$43</definedName>
    <definedName name="OSRRefD22_4x_0" localSheetId="80">'413'!$D$42</definedName>
    <definedName name="OSRRefD22_4x_0" localSheetId="81">'414'!$D$41</definedName>
    <definedName name="OSRRefD22_4x_0" localSheetId="82">'415'!$D$43</definedName>
    <definedName name="OSRRefD22_4x_0" localSheetId="83">'418'!$D$44</definedName>
    <definedName name="OSRRefD22_4x_0" localSheetId="84">'420'!$D$39</definedName>
    <definedName name="OSRRefD22_4x_0" localSheetId="85">'423'!$D$36</definedName>
    <definedName name="OSRRefD22_4x_0" localSheetId="86">'424'!$D$35</definedName>
    <definedName name="OSRRefD22_4x_0" localSheetId="87">'425'!$D$43</definedName>
    <definedName name="OSRRefD22_4x_0" localSheetId="90">'430'!$D$35:$D$36</definedName>
    <definedName name="OSRRefD22_4x_0" localSheetId="91">'433'!$D$46</definedName>
    <definedName name="OSRRefD22_4x_0" localSheetId="92">'435'!$D$36</definedName>
    <definedName name="OSRRefD22_4x_0" localSheetId="93">'444'!$D$46</definedName>
    <definedName name="OSRRefD22_4x_0" localSheetId="94">'450'!$D$46</definedName>
    <definedName name="OSRRefD22_4x_0" localSheetId="75">'491'!$D$53</definedName>
    <definedName name="OSRRefD22_4x_0" localSheetId="89">'492'!$D$49</definedName>
    <definedName name="OSRRefD22_4x_0" localSheetId="96">'501'!$D$41</definedName>
    <definedName name="OSRRefD22_4x_0" localSheetId="39">'Div 2'!$D$44</definedName>
    <definedName name="OSRRefD22_4x_0" localSheetId="47">'Div 3'!$D$191</definedName>
    <definedName name="OSRRefD22_4x_0" localSheetId="73">'Div 4'!$D$54</definedName>
    <definedName name="OSRRefD22_4x_0" localSheetId="95">'Div 5'!$D$41</definedName>
    <definedName name="OSRRefD22_4x_0" localSheetId="64">'Div 6'!$D$78</definedName>
    <definedName name="OSRRefD22_4x_0" localSheetId="2">Summary!$D$223</definedName>
    <definedName name="OSRRefD22_5x_0" localSheetId="41">'201'!$D$39</definedName>
    <definedName name="OSRRefD22_5x_0" localSheetId="42">'202'!$D$41</definedName>
    <definedName name="OSRRefD22_5x_0" localSheetId="43">'203'!$D$42</definedName>
    <definedName name="OSRRefD22_5x_0" localSheetId="44">'204'!$D$42</definedName>
    <definedName name="OSRRefD22_5x_0" localSheetId="45">'205'!$D$38</definedName>
    <definedName name="OSRRefD22_5x_0" localSheetId="46">'206'!$D$39:$D$40</definedName>
    <definedName name="OSRRefD22_5x_0" localSheetId="48">'300'!$D$188:$D$189</definedName>
    <definedName name="OSRRefD22_5x_0" localSheetId="49">'300 &amp; 317'!$D$213:$D$214</definedName>
    <definedName name="OSRRefD22_5x_0" localSheetId="50">'301'!$D$45:$D$46</definedName>
    <definedName name="OSRRefD22_5x_0" localSheetId="51">'306'!$D$43</definedName>
    <definedName name="OSRRefD22_5x_0" localSheetId="53">'307'!$D$90</definedName>
    <definedName name="OSRRefD22_5x_0" localSheetId="55">'308'!$D$87</definedName>
    <definedName name="OSRRefD22_5x_0" localSheetId="67">'309'!$D$45</definedName>
    <definedName name="OSRRefD22_5x_0" localSheetId="66">'310'!$D$52:$D$53</definedName>
    <definedName name="OSRRefD22_5x_0" localSheetId="74">'310 &amp; 491'!$D$61:$D$63</definedName>
    <definedName name="OSRRefD22_5x_0" localSheetId="56">'311'!$D$86</definedName>
    <definedName name="OSRRefD22_5x_0" localSheetId="68">'313'!$D$48</definedName>
    <definedName name="OSRRefD22_5x_0" localSheetId="54">'314'!$D$74</definedName>
    <definedName name="OSRRefD22_5x_0" localSheetId="59">'315'!$D$104:$D$105</definedName>
    <definedName name="OSRRefD22_5x_0" localSheetId="62">'316'!$D$51:$D$52</definedName>
    <definedName name="OSRRefD22_5x_0" localSheetId="65">'317'!$D$80:$D$81</definedName>
    <definedName name="OSRRefD22_5x_0" localSheetId="63">'320'!$D$47</definedName>
    <definedName name="OSRRefD22_5x_0" localSheetId="69">'321'!$D$45</definedName>
    <definedName name="OSRRefD22_5x_0" localSheetId="70">'322'!$D$44</definedName>
    <definedName name="OSRRefD22_5x_0" localSheetId="71">'325'!$D$45:$D$46</definedName>
    <definedName name="OSRRefD22_5x_0" localSheetId="60">'326'!$D$79</definedName>
    <definedName name="OSRRefD22_5x_0" localSheetId="52">'330'!$D$100</definedName>
    <definedName name="OSRRefD22_5x_0" localSheetId="58">'331'!$D$110:$D$111</definedName>
    <definedName name="OSRRefD22_5x_0" localSheetId="61">'332'!$D$60</definedName>
    <definedName name="OSRRefD22_5x_0" localSheetId="76">'405'!$D$44:$D$45</definedName>
    <definedName name="OSRRefD22_5x_0" localSheetId="77">'406'!$D$45</definedName>
    <definedName name="OSRRefD22_5x_0" localSheetId="78">'411'!$D$45</definedName>
    <definedName name="OSRRefD22_5x_0" localSheetId="79">'412'!$D$45</definedName>
    <definedName name="OSRRefD22_5x_0" localSheetId="80">'413'!$D$44</definedName>
    <definedName name="OSRRefD22_5x_0" localSheetId="81">'414'!$D$43</definedName>
    <definedName name="OSRRefD22_5x_0" localSheetId="82">'415'!$D$45:$D$46</definedName>
    <definedName name="OSRRefD22_5x_0" localSheetId="83">'418'!$D$46:$D$47</definedName>
    <definedName name="OSRRefD22_5x_0" localSheetId="85">'423'!$D$38</definedName>
    <definedName name="OSRRefD22_5x_0" localSheetId="86">'424'!$D$37</definedName>
    <definedName name="OSRRefD22_5x_0" localSheetId="87">'425'!$D$45</definedName>
    <definedName name="OSRRefD22_5x_0" localSheetId="90">'430'!$D$38</definedName>
    <definedName name="OSRRefD22_5x_0" localSheetId="91">'433'!$D$48</definedName>
    <definedName name="OSRRefD22_5x_0" localSheetId="92">'435'!$D$38</definedName>
    <definedName name="OSRRefD22_5x_0" localSheetId="93">'444'!$D$48</definedName>
    <definedName name="OSRRefD22_5x_0" localSheetId="94">'450'!$D$48</definedName>
    <definedName name="OSRRefD22_5x_0" localSheetId="75">'491'!$D$55:$D$57</definedName>
    <definedName name="OSRRefD22_5x_0" localSheetId="89">'492'!$D$51</definedName>
    <definedName name="OSRRefD22_5x_0" localSheetId="96">'501'!$D$43:$D$44</definedName>
    <definedName name="OSRRefD22_5x_0" localSheetId="39">'Div 2'!$D$46</definedName>
    <definedName name="OSRRefD22_5x_0" localSheetId="47">'Div 3'!$D$193:$D$194</definedName>
    <definedName name="OSRRefD22_5x_0" localSheetId="73">'Div 4'!$D$56:$D$58</definedName>
    <definedName name="OSRRefD22_5x_0" localSheetId="95">'Div 5'!$D$43:$D$44</definedName>
    <definedName name="OSRRefD22_5x_0" localSheetId="64">'Div 6'!$D$80:$D$81</definedName>
    <definedName name="OSRRefD22_5x_0" localSheetId="2">Summary!$D$225:$D$227</definedName>
    <definedName name="OSRRefD22_6x_0" localSheetId="41">'201'!$D$41</definedName>
    <definedName name="OSRRefD22_6x_0" localSheetId="42">'202'!$D$43</definedName>
    <definedName name="OSRRefD22_6x_0" localSheetId="43">'203'!$D$44</definedName>
    <definedName name="OSRRefD22_6x_0" localSheetId="44">'204'!$D$44:$D$46</definedName>
    <definedName name="OSRRefD22_6x_0" localSheetId="45">'205'!$D$40:$D$42</definedName>
    <definedName name="OSRRefD22_6x_0" localSheetId="46">'206'!$D$42</definedName>
    <definedName name="OSRRefD22_6x_0" localSheetId="48">'300'!$D$191:$D$192</definedName>
    <definedName name="OSRRefD22_6x_0" localSheetId="49">'300 &amp; 317'!$D$216:$D$217</definedName>
    <definedName name="OSRRefD22_6x_0" localSheetId="50">'301'!$D$48:$D$49</definedName>
    <definedName name="OSRRefD22_6x_0" localSheetId="51">'306'!$D$45:$D$46</definedName>
    <definedName name="OSRRefD22_6x_0" localSheetId="53">'307'!$D$92</definedName>
    <definedName name="OSRRefD22_6x_0" localSheetId="55">'308'!$D$89:$D$90</definedName>
    <definedName name="OSRRefD22_6x_0" localSheetId="67">'309'!$D$47</definedName>
    <definedName name="OSRRefD22_6x_0" localSheetId="66">'310'!$D$55</definedName>
    <definedName name="OSRRefD22_6x_0" localSheetId="74">'310 &amp; 491'!$D$65</definedName>
    <definedName name="OSRRefD22_6x_0" localSheetId="56">'311'!$D$88:$D$89</definedName>
    <definedName name="OSRRefD22_6x_0" localSheetId="68">'313'!$D$50</definedName>
    <definedName name="OSRRefD22_6x_0" localSheetId="54">'314'!$D$76</definedName>
    <definedName name="OSRRefD22_6x_0" localSheetId="59">'315'!$D$107</definedName>
    <definedName name="OSRRefD22_6x_0" localSheetId="62">'316'!$D$54:$D$55</definedName>
    <definedName name="OSRRefD22_6x_0" localSheetId="65">'317'!$D$83</definedName>
    <definedName name="OSRRefD22_6x_0" localSheetId="63">'320'!$D$49</definedName>
    <definedName name="OSRRefD22_6x_0" localSheetId="69">'321'!$D$47:$D$49</definedName>
    <definedName name="OSRRefD22_6x_0" localSheetId="70">'322'!$D$46</definedName>
    <definedName name="OSRRefD22_6x_0" localSheetId="71">'325'!$D$48</definedName>
    <definedName name="OSRRefD22_6x_0" localSheetId="60">'326'!$D$81</definedName>
    <definedName name="OSRRefD22_6x_0" localSheetId="52">'330'!$D$102</definedName>
    <definedName name="OSRRefD22_6x_0" localSheetId="58">'331'!$D$113</definedName>
    <definedName name="OSRRefD22_6x_0" localSheetId="61">'332'!$D$62:$D$63</definedName>
    <definedName name="OSRRefD22_6x_0" localSheetId="76">'405'!$D$47</definedName>
    <definedName name="OSRRefD22_6x_0" localSheetId="77">'406'!$D$47</definedName>
    <definedName name="OSRRefD22_6x_0" localSheetId="78">'411'!$D$47</definedName>
    <definedName name="OSRRefD22_6x_0" localSheetId="79">'412'!$D$47</definedName>
    <definedName name="OSRRefD22_6x_0" localSheetId="80">'413'!$D$46</definedName>
    <definedName name="OSRRefD22_6x_0" localSheetId="81">'414'!$D$45</definedName>
    <definedName name="OSRRefD22_6x_0" localSheetId="82">'415'!$D$48</definedName>
    <definedName name="OSRRefD22_6x_0" localSheetId="83">'418'!$D$49</definedName>
    <definedName name="OSRRefD22_6x_0" localSheetId="86">'424'!$D$39</definedName>
    <definedName name="OSRRefD22_6x_0" localSheetId="87">'425'!$D$47</definedName>
    <definedName name="OSRRefD22_6x_0" localSheetId="90">'430'!$D$40</definedName>
    <definedName name="OSRRefD22_6x_0" localSheetId="91">'433'!$D$50</definedName>
    <definedName name="OSRRefD22_6x_0" localSheetId="92">'435'!$D$40:$D$42</definedName>
    <definedName name="OSRRefD22_6x_0" localSheetId="93">'444'!$D$50</definedName>
    <definedName name="OSRRefD22_6x_0" localSheetId="94">'450'!$D$50</definedName>
    <definedName name="OSRRefD22_6x_0" localSheetId="75">'491'!$D$59</definedName>
    <definedName name="OSRRefD22_6x_0" localSheetId="89">'492'!$D$53</definedName>
    <definedName name="OSRRefD22_6x_0" localSheetId="96">'501'!$D$46</definedName>
    <definedName name="OSRRefD22_6x_0" localSheetId="39">'Div 2'!$D$48</definedName>
    <definedName name="OSRRefD22_6x_0" localSheetId="47">'Div 3'!$D$196:$D$197</definedName>
    <definedName name="OSRRefD22_6x_0" localSheetId="73">'Div 4'!$D$60</definedName>
    <definedName name="OSRRefD22_6x_0" localSheetId="95">'Div 5'!$D$46</definedName>
    <definedName name="OSRRefD22_6x_0" localSheetId="64">'Div 6'!$D$83</definedName>
    <definedName name="OSRRefD22_6x_0" localSheetId="2">Summary!$D$229:$D$230</definedName>
    <definedName name="OSRRefD22_7x_0" localSheetId="41">'201'!$D$43</definedName>
    <definedName name="OSRRefD22_7x_0" localSheetId="42">'202'!$D$45:$D$47</definedName>
    <definedName name="OSRRefD22_7x_0" localSheetId="43">'203'!$D$46</definedName>
    <definedName name="OSRRefD22_7x_0" localSheetId="44">'204'!$D$48</definedName>
    <definedName name="OSRRefD22_7x_0" localSheetId="45">'205'!$D$44</definedName>
    <definedName name="OSRRefD22_7x_0" localSheetId="46">'206'!$D$44</definedName>
    <definedName name="OSRRefD22_7x_0" localSheetId="48">'300'!$D$194</definedName>
    <definedName name="OSRRefD22_7x_0" localSheetId="49">'300 &amp; 317'!$D$219</definedName>
    <definedName name="OSRRefD22_7x_0" localSheetId="50">'301'!$D$51</definedName>
    <definedName name="OSRRefD22_7x_0" localSheetId="51">'306'!$D$48:$D$50</definedName>
    <definedName name="OSRRefD22_7x_0" localSheetId="53">'307'!$D$94:$D$95</definedName>
    <definedName name="OSRRefD22_7x_0" localSheetId="55">'308'!$D$92</definedName>
    <definedName name="OSRRefD22_7x_0" localSheetId="67">'309'!$D$49:$D$50</definedName>
    <definedName name="OSRRefD22_7x_0" localSheetId="66">'310'!$D$57</definedName>
    <definedName name="OSRRefD22_7x_0" localSheetId="74">'310 &amp; 491'!$D$67</definedName>
    <definedName name="OSRRefD22_7x_0" localSheetId="56">'311'!$D$91</definedName>
    <definedName name="OSRRefD22_7x_0" localSheetId="68">'313'!$D$52</definedName>
    <definedName name="OSRRefD22_7x_0" localSheetId="59">'315'!$D$109:$D$110</definedName>
    <definedName name="OSRRefD22_7x_0" localSheetId="62">'316'!$D$57</definedName>
    <definedName name="OSRRefD22_7x_0" localSheetId="65">'317'!$D$85</definedName>
    <definedName name="OSRRefD22_7x_0" localSheetId="63">'320'!$D$51:$D$52</definedName>
    <definedName name="OSRRefD22_7x_0" localSheetId="69">'321'!$D$51</definedName>
    <definedName name="OSRRefD22_7x_0" localSheetId="70">'322'!$D$48</definedName>
    <definedName name="OSRRefD22_7x_0" localSheetId="71">'325'!$D$50</definedName>
    <definedName name="OSRRefD22_7x_0" localSheetId="60">'326'!$D$83</definedName>
    <definedName name="OSRRefD22_7x_0" localSheetId="52">'330'!$D$104</definedName>
    <definedName name="OSRRefD22_7x_0" localSheetId="58">'331'!$D$115:$D$116</definedName>
    <definedName name="OSRRefD22_7x_0" localSheetId="61">'332'!$D$65</definedName>
    <definedName name="OSRRefD22_7x_0" localSheetId="76">'405'!$D$49</definedName>
    <definedName name="OSRRefD22_7x_0" localSheetId="77">'406'!$D$49</definedName>
    <definedName name="OSRRefD22_7x_0" localSheetId="78">'411'!$D$49</definedName>
    <definedName name="OSRRefD22_7x_0" localSheetId="79">'412'!$D$49</definedName>
    <definedName name="OSRRefD22_7x_0" localSheetId="80">'413'!$D$48:$D$50</definedName>
    <definedName name="OSRRefD22_7x_0" localSheetId="81">'414'!$D$47</definedName>
    <definedName name="OSRRefD22_7x_0" localSheetId="82">'415'!$D$50</definedName>
    <definedName name="OSRRefD22_7x_0" localSheetId="83">'418'!$D$51</definedName>
    <definedName name="OSRRefD22_7x_0" localSheetId="86">'424'!$D$41</definedName>
    <definedName name="OSRRefD22_7x_0" localSheetId="87">'425'!$D$49</definedName>
    <definedName name="OSRRefD22_7x_0" localSheetId="90">'430'!$D$42</definedName>
    <definedName name="OSRRefD22_7x_0" localSheetId="91">'433'!$D$52</definedName>
    <definedName name="OSRRefD22_7x_0" localSheetId="92">'435'!$D$44</definedName>
    <definedName name="OSRRefD22_7x_0" localSheetId="93">'444'!$D$52</definedName>
    <definedName name="OSRRefD22_7x_0" localSheetId="94">'450'!$D$52</definedName>
    <definedName name="OSRRefD22_7x_0" localSheetId="75">'491'!$D$61</definedName>
    <definedName name="OSRRefD22_7x_0" localSheetId="89">'492'!$D$55</definedName>
    <definedName name="OSRRefD22_7x_0" localSheetId="96">'501'!$D$48</definedName>
    <definedName name="OSRRefD22_7x_0" localSheetId="39">'Div 2'!$D$50</definedName>
    <definedName name="OSRRefD22_7x_0" localSheetId="47">'Div 3'!$D$199</definedName>
    <definedName name="OSRRefD22_7x_0" localSheetId="73">'Div 4'!$D$62</definedName>
    <definedName name="OSRRefD22_7x_0" localSheetId="95">'Div 5'!$D$48</definedName>
    <definedName name="OSRRefD22_7x_0" localSheetId="64">'Div 6'!$D$85</definedName>
    <definedName name="OSRRefD22_7x_0" localSheetId="2">Summary!$D$232</definedName>
    <definedName name="OSRRefD22_8x_0" localSheetId="41">'201'!$D$45</definedName>
    <definedName name="OSRRefD22_8x_0" localSheetId="42">'202'!$D$49</definedName>
    <definedName name="OSRRefD22_8x_0" localSheetId="43">'203'!$D$48</definedName>
    <definedName name="OSRRefD22_8x_0" localSheetId="44">'204'!$D$50:$D$51</definedName>
    <definedName name="OSRRefD22_8x_0" localSheetId="45">'205'!$D$46</definedName>
    <definedName name="OSRRefD22_8x_0" localSheetId="48">'300'!$D$196</definedName>
    <definedName name="OSRRefD22_8x_0" localSheetId="49">'300 &amp; 317'!$D$221</definedName>
    <definedName name="OSRRefD22_8x_0" localSheetId="50">'301'!$D$53</definedName>
    <definedName name="OSRRefD22_8x_0" localSheetId="51">'306'!$D$52</definedName>
    <definedName name="OSRRefD22_8x_0" localSheetId="53">'307'!$D$97:$D$98</definedName>
    <definedName name="OSRRefD22_8x_0" localSheetId="55">'308'!$D$94</definedName>
    <definedName name="OSRRefD22_8x_0" localSheetId="67">'309'!$D$52:$D$54</definedName>
    <definedName name="OSRRefD22_8x_0" localSheetId="66">'310'!$D$59</definedName>
    <definedName name="OSRRefD22_8x_0" localSheetId="74">'310 &amp; 491'!$D$69</definedName>
    <definedName name="OSRRefD22_8x_0" localSheetId="56">'311'!$D$93</definedName>
    <definedName name="OSRRefD22_8x_0" localSheetId="68">'313'!$D$54:$D$56</definedName>
    <definedName name="OSRRefD22_8x_0" localSheetId="59">'315'!$D$112:$D$113</definedName>
    <definedName name="OSRRefD22_8x_0" localSheetId="62">'316'!$D$59:$D$64</definedName>
    <definedName name="OSRRefD22_8x_0" localSheetId="65">'317'!$D$87</definedName>
    <definedName name="OSRRefD22_8x_0" localSheetId="63">'320'!$D$54</definedName>
    <definedName name="OSRRefD22_8x_0" localSheetId="69">'321'!$D$53:$D$55</definedName>
    <definedName name="OSRRefD22_8x_0" localSheetId="70">'322'!$D$50:$D$51</definedName>
    <definedName name="OSRRefD22_8x_0" localSheetId="71">'325'!$D$52</definedName>
    <definedName name="OSRRefD22_8x_0" localSheetId="60">'326'!$D$85</definedName>
    <definedName name="OSRRefD22_8x_0" localSheetId="52">'330'!$D$106:$D$107</definedName>
    <definedName name="OSRRefD22_8x_0" localSheetId="58">'331'!$D$118</definedName>
    <definedName name="OSRRefD22_8x_0" localSheetId="61">'332'!$D$67</definedName>
    <definedName name="OSRRefD22_8x_0" localSheetId="76">'405'!$D$51</definedName>
    <definedName name="OSRRefD22_8x_0" localSheetId="77">'406'!$D$51:$D$53</definedName>
    <definedName name="OSRRefD22_8x_0" localSheetId="78">'411'!$D$51</definedName>
    <definedName name="OSRRefD22_8x_0" localSheetId="79">'412'!$D$51:$D$52</definedName>
    <definedName name="OSRRefD22_8x_0" localSheetId="80">'413'!$D$52:$D$53</definedName>
    <definedName name="OSRRefD22_8x_0" localSheetId="81">'414'!$D$49</definedName>
    <definedName name="OSRRefD22_8x_0" localSheetId="82">'415'!$D$52</definedName>
    <definedName name="OSRRefD22_8x_0" localSheetId="83">'418'!$D$53:$D$54</definedName>
    <definedName name="OSRRefD22_8x_0" localSheetId="86">'424'!$D$43:$D$44</definedName>
    <definedName name="OSRRefD22_8x_0" localSheetId="87">'425'!$D$51</definedName>
    <definedName name="OSRRefD22_8x_0" localSheetId="91">'433'!$D$54</definedName>
    <definedName name="OSRRefD22_8x_0" localSheetId="93">'444'!$D$54</definedName>
    <definedName name="OSRRefD22_8x_0" localSheetId="94">'450'!$D$54</definedName>
    <definedName name="OSRRefD22_8x_0" localSheetId="75">'491'!$D$63</definedName>
    <definedName name="OSRRefD22_8x_0" localSheetId="89">'492'!$D$57</definedName>
    <definedName name="OSRRefD22_8x_0" localSheetId="96">'501'!$D$50:$D$52</definedName>
    <definedName name="OSRRefD22_8x_0" localSheetId="39">'Div 2'!$D$52</definedName>
    <definedName name="OSRRefD22_8x_0" localSheetId="47">'Div 3'!$D$201</definedName>
    <definedName name="OSRRefD22_8x_0" localSheetId="73">'Div 4'!$D$64</definedName>
    <definedName name="OSRRefD22_8x_0" localSheetId="95">'Div 5'!$D$50:$D$52</definedName>
    <definedName name="OSRRefD22_8x_0" localSheetId="64">'Div 6'!$D$87</definedName>
    <definedName name="OSRRefD22_8x_0" localSheetId="2">Summary!$D$234</definedName>
    <definedName name="OSRRefD22_9x_0" localSheetId="41">'201'!$D$47:$D$49</definedName>
    <definedName name="OSRRefD22_9x_0" localSheetId="42">'202'!$D$51</definedName>
    <definedName name="OSRRefD22_9x_0" localSheetId="43">'203'!$D$50:$D$51</definedName>
    <definedName name="OSRRefD22_9x_0" localSheetId="44">'204'!$D$53</definedName>
    <definedName name="OSRRefD22_9x_0" localSheetId="48">'300'!$D$198</definedName>
    <definedName name="OSRRefD22_9x_0" localSheetId="49">'300 &amp; 317'!$D$223</definedName>
    <definedName name="OSRRefD22_9x_0" localSheetId="50">'301'!$D$55</definedName>
    <definedName name="OSRRefD22_9x_0" localSheetId="51">'306'!$D$54</definedName>
    <definedName name="OSRRefD22_9x_0" localSheetId="53">'307'!$D$100:$D$102</definedName>
    <definedName name="OSRRefD22_9x_0" localSheetId="55">'308'!$D$96:$D$97</definedName>
    <definedName name="OSRRefD22_9x_0" localSheetId="67">'309'!$D$56:$D$58</definedName>
    <definedName name="OSRRefD22_9x_0" localSheetId="66">'310'!$D$61</definedName>
    <definedName name="OSRRefD22_9x_0" localSheetId="74">'310 &amp; 491'!$D$71</definedName>
    <definedName name="OSRRefD22_9x_0" localSheetId="56">'311'!$D$95:$D$96</definedName>
    <definedName name="OSRRefD22_9x_0" localSheetId="68">'313'!$D$58</definedName>
    <definedName name="OSRRefD22_9x_0" localSheetId="59">'315'!$D$115:$D$119</definedName>
    <definedName name="OSRRefD22_9x_0" localSheetId="62">'316'!$D$66</definedName>
    <definedName name="OSRRefD22_9x_0" localSheetId="65">'317'!$D$89:$D$91</definedName>
    <definedName name="OSRRefD22_9x_0" localSheetId="69">'321'!$D$57:$D$60</definedName>
    <definedName name="OSRRefD22_9x_0" localSheetId="70">'322'!$D$53:$D$55</definedName>
    <definedName name="OSRRefD22_9x_0" localSheetId="71">'325'!$D$54</definedName>
    <definedName name="OSRRefD22_9x_0" localSheetId="60">'326'!$D$87</definedName>
    <definedName name="OSRRefD22_9x_0" localSheetId="52">'330'!$D$109:$D$110</definedName>
    <definedName name="OSRRefD22_9x_0" localSheetId="58">'331'!$D$120</definedName>
    <definedName name="OSRRefD22_9x_0" localSheetId="61">'332'!$D$69:$D$70</definedName>
    <definedName name="OSRRefD22_9x_0" localSheetId="76">'405'!$D$53</definedName>
    <definedName name="OSRRefD22_9x_0" localSheetId="77">'406'!$D$55</definedName>
    <definedName name="OSRRefD22_9x_0" localSheetId="78">'411'!$D$53</definedName>
    <definedName name="OSRRefD22_9x_0" localSheetId="79">'412'!$D$54:$D$55</definedName>
    <definedName name="OSRRefD22_9x_0" localSheetId="80">'413'!$D$55:$D$59</definedName>
    <definedName name="OSRRefD22_9x_0" localSheetId="81">'414'!$D$51:$D$52</definedName>
    <definedName name="OSRRefD22_9x_0" localSheetId="82">'415'!$D$54</definedName>
    <definedName name="OSRRefD22_9x_0" localSheetId="83">'418'!$D$56:$D$58</definedName>
    <definedName name="OSRRefD22_9x_0" localSheetId="86">'424'!$D$46</definedName>
    <definedName name="OSRRefD22_9x_0" localSheetId="87">'425'!$D$53:$D$55</definedName>
    <definedName name="OSRRefD22_9x_0" localSheetId="91">'433'!$D$56</definedName>
    <definedName name="OSRRefD22_9x_0" localSheetId="93">'444'!$D$56</definedName>
    <definedName name="OSRRefD22_9x_0" localSheetId="94">'450'!$D$56</definedName>
    <definedName name="OSRRefD22_9x_0" localSheetId="75">'491'!$D$65</definedName>
    <definedName name="OSRRefD22_9x_0" localSheetId="89">'492'!$D$59</definedName>
    <definedName name="OSRRefD22_9x_0" localSheetId="96">'501'!$D$54:$D$56</definedName>
    <definedName name="OSRRefD22_9x_0" localSheetId="39">'Div 2'!$D$54:$D$55</definedName>
    <definedName name="OSRRefD22_9x_0" localSheetId="47">'Div 3'!$D$203</definedName>
    <definedName name="OSRRefD22_9x_0" localSheetId="73">'Div 4'!$D$66</definedName>
    <definedName name="OSRRefD22_9x_0" localSheetId="95">'Div 5'!$D$54:$D$56</definedName>
    <definedName name="OSRRefD22_9x_0" localSheetId="64">'Div 6'!$D$89:$D$91</definedName>
    <definedName name="OSRRefD22_9x_0" localSheetId="2">Summary!$D$236</definedName>
    <definedName name="OSRRefD22x_0" localSheetId="40">'200'!$D$20,'200'!$D$22,'200'!$D$24,'200'!$D$26,'200'!$D$28:$D$29</definedName>
    <definedName name="OSRRefD22x_0" localSheetId="41">'201'!$D$20:$D$27,'201'!$D$29:$D$31,'201'!$D$33,'201'!$D$35,'201'!$D$37,'201'!$D$39,'201'!$D$41,'201'!$D$43,'201'!$D$45,'201'!$D$47:$D$49,'201'!$D$51:$D$53,'201'!$D$55,'201'!$D$57:$D$60,'201'!$D$62,'201'!$D$64,'201'!$D$66</definedName>
    <definedName name="OSRRefD22x_0" localSheetId="42">'202'!$D$20:$D$27,'202'!$D$29:$D$32,'202'!$D$34,'202'!$D$36,'202'!$D$38:$D$39,'202'!$D$41,'202'!$D$43,'202'!$D$45:$D$47,'202'!$D$49,'202'!$D$51,'202'!$D$53:$D$55,'202'!$D$57,'202'!$D$59,'202'!$D$61</definedName>
    <definedName name="OSRRefD22x_0" localSheetId="43">'203'!$D$20:$D$29,'203'!$D$31:$D$34,'203'!$D$36,'203'!$D$38,'203'!$D$40,'203'!$D$42,'203'!$D$44,'203'!$D$46,'203'!$D$48,'203'!$D$50:$D$51,'203'!$D$53:$D$54,'203'!$D$56,'203'!$D$58:$D$61,'203'!$D$63,'203'!$D$65,'203'!$D$67</definedName>
    <definedName name="OSRRefD22x_0" localSheetId="44">'204'!$D$20:$D$28,'204'!$D$30:$D$34,'204'!$D$36,'204'!$D$38,'204'!$D$40,'204'!$D$42,'204'!$D$44:$D$46,'204'!$D$48,'204'!$D$50:$D$51,'204'!$D$53,'204'!$D$55:$D$56</definedName>
    <definedName name="OSRRefD22x_0" localSheetId="45">'205'!$D$20:$D$27,'205'!$D$29,'205'!$D$31,'205'!$D$33,'205'!$D$35:$D$36,'205'!$D$38,'205'!$D$40:$D$42,'205'!$D$44,'205'!$D$46</definedName>
    <definedName name="OSRRefD22x_0" localSheetId="46">'206'!$D$20:$D$26,'206'!$D$28:$D$31,'206'!$D$33,'206'!$D$35,'206'!$D$37,'206'!$D$39:$D$40,'206'!$D$42,'206'!$D$44</definedName>
    <definedName name="OSRRefD22x_0" localSheetId="48">'300'!$D$162:$D$171,'300'!$D$173:$D$179,'300'!$D$181,'300'!$D$183:$D$184,'300'!$D$186,'300'!$D$188:$D$189,'300'!$D$191:$D$192,'300'!$D$194,'300'!$D$196,'300'!$D$198,'300'!$D$200:$D$201,'300'!$D$203,'300'!$D$205,'300'!$D$207,'300'!$D$209,'300'!$D$211,'300'!$D$213:$D$216,'300'!$D$218:$D$220,'300'!$D$222:$D$225,'300'!$D$227:$D$228,'300'!$D$230:$D$236,'300'!$D$238:$D$239,'300'!$D$241,'300'!$D$243:$D$245,'300'!$D$247</definedName>
    <definedName name="OSRRefD22x_0" localSheetId="49">'300 &amp; 317'!$D$187:$D$196,'300 &amp; 317'!$D$198:$D$204,'300 &amp; 317'!$D$206,'300 &amp; 317'!$D$208:$D$209,'300 &amp; 317'!$D$211,'300 &amp; 317'!$D$213:$D$214,'300 &amp; 317'!$D$216:$D$217,'300 &amp; 317'!$D$219,'300 &amp; 317'!$D$221,'300 &amp; 317'!$D$223,'300 &amp; 317'!$D$225:$D$226,'300 &amp; 317'!$D$228,'300 &amp; 317'!$D$230,'300 &amp; 317'!$D$232,'300 &amp; 317'!$D$234,'300 &amp; 317'!$D$236,'300 &amp; 317'!$D$238:$D$241,'300 &amp; 317'!$D$243:$D$245,'300 &amp; 317'!$D$247:$D$250,'300 &amp; 317'!$D$252:$D$253,'300 &amp; 317'!$D$255:$D$261,'300 &amp; 317'!$D$263:$D$264,'300 &amp; 317'!$D$266,'300 &amp; 317'!$D$268:$D$270,'300 &amp; 317'!$D$272</definedName>
    <definedName name="OSRRefD22x_0" localSheetId="50">'301'!$D$20:$D$28,'301'!$D$30:$D$36,'301'!$D$38,'301'!$D$40:$D$41,'301'!$D$43,'301'!$D$45:$D$46,'301'!$D$48:$D$49,'301'!$D$51,'301'!$D$53,'301'!$D$55,'301'!$D$57,'301'!$D$59,'301'!$D$61,'301'!$D$63,'301'!$D$65,'301'!$D$67:$D$70,'301'!$D$72:$D$74,'301'!$D$76,'301'!$D$78:$D$83,'301'!$D$85,'301'!$D$87,'301'!$D$89:$D$91,'301'!$D$93</definedName>
    <definedName name="OSRRefD22x_0" localSheetId="51">'306'!$D$20:$D$28,'306'!$D$30:$D$35,'306'!$D$37,'306'!$D$39,'306'!$D$41,'306'!$D$43,'306'!$D$45:$D$46,'306'!$D$48:$D$50,'306'!$D$52,'306'!$D$54</definedName>
    <definedName name="OSRRefD22x_0" localSheetId="53">'307'!$D$69:$D$76,'307'!$D$78:$D$81,'307'!$D$83,'307'!$D$85,'307'!$D$87:$D$88,'307'!$D$90,'307'!$D$92,'307'!$D$94:$D$95,'307'!$D$97:$D$98,'307'!$D$100:$D$102,'307'!$D$104,'307'!$D$106</definedName>
    <definedName name="OSRRefD22x_0" localSheetId="55">'308'!$D$63:$D$71,'308'!$D$73:$D$78,'308'!$D$80,'308'!$D$82:$D$83,'308'!$D$85,'308'!$D$87,'308'!$D$89:$D$90,'308'!$D$92,'308'!$D$94,'308'!$D$96:$D$97,'308'!$D$99,'308'!$D$101:$D$103,'308'!$D$105:$D$106,'308'!$D$108,'308'!$D$110</definedName>
    <definedName name="OSRRefD22x_0" localSheetId="67">'309'!$D$24:$D$31,'309'!$D$33:$D$37,'309'!$D$39,'309'!$D$41,'309'!$D$43,'309'!$D$45,'309'!$D$47,'309'!$D$49:$D$50,'309'!$D$52:$D$54,'309'!$D$56:$D$58,'309'!$D$60</definedName>
    <definedName name="OSRRefD22x_0" localSheetId="66">'310'!$D$30:$D$37,'310'!$D$39:$D$44,'310'!$D$46,'310'!$D$48,'310'!$D$50,'310'!$D$52:$D$53,'310'!$D$55,'310'!$D$57,'310'!$D$59,'310'!$D$61,'310'!$D$63,'310'!$D$65,'310'!$D$67,'310'!$D$69,'310'!$D$71:$D$73,'310'!$D$75,'310'!$D$77:$D$80,'310'!$D$82,'310'!$D$84:$D$90,'310'!$D$92,'310'!$D$94,'310'!$D$96</definedName>
    <definedName name="OSRRefD22x_0" localSheetId="74">'310 &amp; 491'!$D$37:$D$45,'310 &amp; 491'!$D$47:$D$53,'310 &amp; 491'!$D$55,'310 &amp; 491'!$D$57,'310 &amp; 491'!$D$59,'310 &amp; 491'!$D$61:$D$63,'310 &amp; 491'!$D$65,'310 &amp; 491'!$D$67,'310 &amp; 491'!$D$69,'310 &amp; 491'!$D$71,'310 &amp; 491'!$D$73:$D$74,'310 &amp; 491'!$D$76:$D$77,'310 &amp; 491'!$D$79,'310 &amp; 491'!$D$81,'310 &amp; 491'!$D$83,'310 &amp; 491'!$D$85,'310 &amp; 491'!$D$87:$D$89,'310 &amp; 491'!$D$91:$D$92,'310 &amp; 491'!$D$94:$D$98,'310 &amp; 491'!$D$100,'310 &amp; 491'!$D$102:$D$110,'310 &amp; 491'!$D$112,'310 &amp; 491'!$D$114,'310 &amp; 491'!$D$116:$D$118,'310 &amp; 491'!$D$120</definedName>
    <definedName name="OSRRefD22x_0" localSheetId="56">'311'!$D$62:$D$70,'311'!$D$72:$D$77,'311'!$D$79,'311'!$D$81:$D$82,'311'!$D$84,'311'!$D$86,'311'!$D$88:$D$89,'311'!$D$91,'311'!$D$93,'311'!$D$95:$D$96,'311'!$D$98,'311'!$D$100:$D$102,'311'!$D$104:$D$105,'311'!$D$107,'311'!$D$109</definedName>
    <definedName name="OSRRefD22x_0" localSheetId="68">'313'!$D$27:$D$34,'313'!$D$36:$D$40,'313'!$D$42,'313'!$D$44,'313'!$D$46,'313'!$D$48,'313'!$D$50,'313'!$D$52,'313'!$D$54:$D$56,'313'!$D$58,'313'!$D$60:$D$64,'313'!$D$66,'313'!$D$68</definedName>
    <definedName name="OSRRefD22x_0" localSheetId="54">'314'!$D$55:$D$61,'314'!$D$63:$D$65,'314'!$D$67,'314'!$D$69:$D$70,'314'!$D$72,'314'!$D$74,'314'!$D$76</definedName>
    <definedName name="OSRRefD22x_0" localSheetId="59">'315'!$D$81:$D$88,'315'!$D$90:$D$95,'315'!$D$97,'315'!$D$99:$D$100,'315'!$D$102,'315'!$D$104:$D$105,'315'!$D$107,'315'!$D$109:$D$110,'315'!$D$112:$D$113,'315'!$D$115:$D$119,'315'!$D$121,'315'!$D$123,'315'!$D$125:$D$126</definedName>
    <definedName name="OSRRefD22x_0" localSheetId="62">'316'!$D$32:$D$39,'316'!$D$41:$D$43,'316'!$D$45,'316'!$D$47,'316'!$D$49,'316'!$D$51:$D$52,'316'!$D$54:$D$55,'316'!$D$57,'316'!$D$59:$D$64,'316'!$D$66,'316'!$D$68,'316'!$D$70</definedName>
    <definedName name="OSRRefD22x_0" localSheetId="65">'317'!$D$58:$D$66,'317'!$D$68:$D$72,'317'!$D$74,'317'!$D$76,'317'!$D$78,'317'!$D$80:$D$81,'317'!$D$83,'317'!$D$85,'317'!$D$87,'317'!$D$89:$D$91,'317'!$D$93,'317'!$D$95,'317'!$D$97</definedName>
    <definedName name="OSRRefD22x_0" localSheetId="63">'320'!$D$28:$D$34,'320'!$D$36:$D$38,'320'!$D$40,'320'!$D$42,'320'!$D$44:$D$45,'320'!$D$47,'320'!$D$49,'320'!$D$51:$D$52,'320'!$D$54</definedName>
    <definedName name="OSRRefD22x_0" localSheetId="69">'321'!$D$24:$D$31,'321'!$D$33:$D$37,'321'!$D$39,'321'!$D$41,'321'!$D$43,'321'!$D$45,'321'!$D$47:$D$49,'321'!$D$51,'321'!$D$53:$D$55,'321'!$D$57:$D$60,'321'!$D$62,'321'!$D$64</definedName>
    <definedName name="OSRRefD22x_0" localSheetId="70">'322'!$D$24:$D$31,'322'!$D$33:$D$36,'322'!$D$38,'322'!$D$40,'322'!$D$42,'322'!$D$44,'322'!$D$46,'322'!$D$48,'322'!$D$50:$D$51,'322'!$D$53:$D$55,'322'!$D$57:$D$61,'322'!$D$63,'322'!$D$65</definedName>
    <definedName name="OSRRefD22x_0" localSheetId="71">'325'!$D$24:$D$31,'325'!$D$33:$D$37,'325'!$D$39,'325'!$D$41,'325'!$D$43,'325'!$D$45:$D$46,'325'!$D$48,'325'!$D$50,'325'!$D$52,'325'!$D$54,'325'!$D$56,'325'!$D$58:$D$60,'325'!$D$62:$D$64,'325'!$D$66,'325'!$D$68:$D$72,'325'!$D$74,'325'!$D$76</definedName>
    <definedName name="OSRRefD22x_0" localSheetId="60">'326'!$D$58:$D$65,'326'!$D$67:$D$71,'326'!$D$73,'326'!$D$75,'326'!$D$77,'326'!$D$79,'326'!$D$81,'326'!$D$83,'326'!$D$85,'326'!$D$87,'326'!$D$89,'326'!$D$91,'326'!$D$93:$D$94,'326'!$D$96:$D$98,'326'!$D$100,'326'!$D$102:$D$105,'326'!$D$107,'326'!$D$109,'326'!$D$111</definedName>
    <definedName name="OSRRefD22x_0" localSheetId="72">'327'!$D$22,'327'!$D$24,'327'!$D$26</definedName>
    <definedName name="OSRRefD22x_0" localSheetId="52">'330'!$D$78:$D$85,'330'!$D$87:$D$91,'330'!$D$93,'330'!$D$95,'330'!$D$97:$D$98,'330'!$D$100,'330'!$D$102,'330'!$D$104,'330'!$D$106:$D$107,'330'!$D$109:$D$110,'330'!$D$112,'330'!$D$114:$D$116,'330'!$D$118,'330'!$D$120</definedName>
    <definedName name="OSRRefD22x_0" localSheetId="58">'331'!$D$88:$D$95,'331'!$D$97:$D$102,'331'!$D$104,'331'!$D$106,'331'!$D$108,'331'!$D$110:$D$111,'331'!$D$113,'331'!$D$115:$D$116,'331'!$D$118,'331'!$D$120,'331'!$D$122,'331'!$D$124,'331'!$D$126,'331'!$D$128:$D$129,'331'!$D$131:$D$132,'331'!$D$134:$D$136,'331'!$D$138:$D$139,'331'!$D$141:$D$146,'331'!$D$148,'331'!$D$150,'331'!$D$152:$D$153,'331'!$D$155</definedName>
    <definedName name="OSRRefD22x_0" localSheetId="61">'332'!$D$40:$D$47,'332'!$D$49:$D$52,'332'!$D$54,'332'!$D$56,'332'!$D$58,'332'!$D$60,'332'!$D$62:$D$63,'332'!$D$65,'332'!$D$67,'332'!$D$69:$D$70,'332'!$D$72,'332'!$D$74:$D$79,'332'!$D$81,'332'!$D$83,'332'!$D$85</definedName>
    <definedName name="OSRRefD22x_0" localSheetId="76">'405'!$D$24:$D$31,'405'!$D$33:$D$36,'405'!$D$38,'405'!$D$40,'405'!$D$42,'405'!$D$44:$D$45,'405'!$D$47,'405'!$D$49,'405'!$D$51,'405'!$D$53,'405'!$D$55:$D$56,'405'!$D$58,'405'!$D$60:$D$62,'405'!$D$64,'405'!$D$66:$D$72,'405'!$D$74,'405'!$D$76,'405'!$D$78</definedName>
    <definedName name="OSRRefD22x_0" localSheetId="77">'406'!$D$24:$D$31,'406'!$D$33:$D$37,'406'!$D$39,'406'!$D$41,'406'!$D$43,'406'!$D$45,'406'!$D$47,'406'!$D$49,'406'!$D$51:$D$53,'406'!$D$55,'406'!$D$57:$D$61,'406'!$D$63,'406'!$D$65</definedName>
    <definedName name="OSRRefD22x_0" localSheetId="78">'411'!$D$20:$D$28,'411'!$D$30:$D$35,'411'!$D$37,'411'!$D$39,'411'!$D$41:$D$43,'411'!$D$45,'411'!$D$47,'411'!$D$49,'411'!$D$51,'411'!$D$53,'411'!$D$55,'411'!$D$57,'411'!$D$59:$D$60,'411'!$D$62:$D$66,'411'!$D$68:$D$73,'411'!$D$75,'411'!$D$77,'411'!$D$79:$D$81,'411'!$D$83</definedName>
    <definedName name="OSRRefD22x_0" localSheetId="79">'412'!$D$23:$D$30,'412'!$D$32:$D$37,'412'!$D$39,'412'!$D$41,'412'!$D$43,'412'!$D$45,'412'!$D$47,'412'!$D$49,'412'!$D$51:$D$52,'412'!$D$54:$D$55,'412'!$D$57:$D$62,'412'!$D$64,'412'!$D$66</definedName>
    <definedName name="OSRRefD22x_0" localSheetId="80">'413'!$D$24:$D$31,'413'!$D$33:$D$36,'413'!$D$38,'413'!$D$40,'413'!$D$42,'413'!$D$44,'413'!$D$46,'413'!$D$48:$D$50,'413'!$D$52:$D$53,'413'!$D$55:$D$59,'413'!$D$61</definedName>
    <definedName name="OSRRefD22x_0" localSheetId="81">'414'!$D$24:$D$30,'414'!$D$32:$D$35,'414'!$D$37,'414'!$D$39,'414'!$D$41,'414'!$D$43,'414'!$D$45,'414'!$D$47,'414'!$D$49,'414'!$D$51:$D$52,'414'!$D$54,'414'!$D$56,'414'!$D$58,'414'!$D$60:$D$66,'414'!$D$68,'414'!$D$70</definedName>
    <definedName name="OSRRefD22x_0" localSheetId="82">'415'!$D$24:$D$31,'415'!$D$33:$D$37,'415'!$D$39,'415'!$D$41,'415'!$D$43,'415'!$D$45:$D$46,'415'!$D$48,'415'!$D$50,'415'!$D$52,'415'!$D$54,'415'!$D$56,'415'!$D$58:$D$60,'415'!$D$62:$D$66,'415'!$D$68,'415'!$D$70:$D$77,'415'!$D$79,'415'!$D$81,'415'!$D$83</definedName>
    <definedName name="OSRRefD22x_0" localSheetId="83">'418'!$D$24:$D$31,'418'!$D$33:$D$38,'418'!$D$40,'418'!$D$42,'418'!$D$44,'418'!$D$46:$D$47,'418'!$D$49,'418'!$D$51,'418'!$D$53:$D$54,'418'!$D$56:$D$58,'418'!$D$60:$D$62,'418'!$D$64,'418'!$D$66:$D$71,'418'!$D$73,'418'!$D$75</definedName>
    <definedName name="OSRRefD22x_0" localSheetId="84">'420'!$D$22:$D$28,'420'!$D$30:$D$33,'420'!$D$35,'420'!$D$37,'420'!$D$39</definedName>
    <definedName name="OSRRefD22x_0" localSheetId="85">'423'!$D$21:$D$28,'423'!$D$30,'423'!$D$32,'423'!$D$34,'423'!$D$36,'423'!$D$38</definedName>
    <definedName name="OSRRefD22x_0" localSheetId="86">'424'!$D$23:$D$24,'424'!$D$26:$D$29,'424'!$D$31,'424'!$D$33,'424'!$D$35,'424'!$D$37,'424'!$D$39,'424'!$D$41,'424'!$D$43:$D$44,'424'!$D$46,'424'!$D$48,'424'!$D$50:$D$52,'424'!$D$54</definedName>
    <definedName name="OSRRefD22x_0" localSheetId="87">'425'!$D$24:$D$31,'425'!$D$33:$D$37,'425'!$D$39,'425'!$D$41,'425'!$D$43,'425'!$D$45,'425'!$D$47,'425'!$D$49,'425'!$D$51,'425'!$D$53:$D$55,'425'!$D$57,'425'!$D$59:$D$60,'425'!$D$62:$D$68,'425'!$D$70,'425'!$D$72</definedName>
    <definedName name="OSRRefD22x_0" localSheetId="90">'430'!$D$20:$D$27,'430'!$D$29,'430'!$D$31,'430'!$D$33,'430'!$D$35:$D$36,'430'!$D$38,'430'!$D$40,'430'!$D$42</definedName>
    <definedName name="OSRRefD22x_0" localSheetId="91">'433'!$D$25:$D$33,'433'!$D$35:$D$40,'433'!$D$42,'433'!$D$44,'433'!$D$46,'433'!$D$48,'433'!$D$50,'433'!$D$52,'433'!$D$54,'433'!$D$56,'433'!$D$58,'433'!$D$60:$D$62,'433'!$D$64:$D$66,'433'!$D$68:$D$75,'433'!$D$77,'433'!$D$79,'433'!$D$81</definedName>
    <definedName name="OSRRefD22x_0" localSheetId="92">'435'!$D$25:$D$27,'435'!$D$29:$D$30,'435'!$D$32,'435'!$D$34,'435'!$D$36,'435'!$D$38,'435'!$D$40:$D$42,'435'!$D$44</definedName>
    <definedName name="OSRRefD22x_0" localSheetId="93">'444'!$D$25:$D$33,'444'!$D$35:$D$40,'444'!$D$42,'444'!$D$44,'444'!$D$46,'444'!$D$48,'444'!$D$50,'444'!$D$52,'444'!$D$54,'444'!$D$56,'444'!$D$58,'444'!$D$60:$D$62,'444'!$D$64:$D$66,'444'!$D$68,'444'!$D$70:$D$78,'444'!$D$80,'444'!$D$82,'444'!$D$84</definedName>
    <definedName name="OSRRefD22x_0" localSheetId="94">'450'!$D$25:$D$33,'450'!$D$35:$D$40,'450'!$D$42,'450'!$D$44,'450'!$D$46,'450'!$D$48,'450'!$D$50,'450'!$D$52,'450'!$D$54,'450'!$D$56,'450'!$D$58,'450'!$D$60,'450'!$D$62,'450'!$D$64:$D$66,'450'!$D$68:$D$73,'450'!$D$75,'450'!$D$77,'450'!$D$79</definedName>
    <definedName name="OSRRefD22x_0" localSheetId="88">'455'!$D$20:$D$26,'455'!$D$28:$D$29</definedName>
    <definedName name="OSRRefD22x_0" localSheetId="75">'491'!$D$31:$D$39,'491'!$D$41:$D$47,'491'!$D$49,'491'!$D$51,'491'!$D$53,'491'!$D$55:$D$57,'491'!$D$59,'491'!$D$61,'491'!$D$63,'491'!$D$65,'491'!$D$67:$D$68,'491'!$D$70,'491'!$D$72,'491'!$D$74,'491'!$D$76,'491'!$D$78:$D$80,'491'!$D$82:$D$83,'491'!$D$85:$D$89,'491'!$D$91,'491'!$D$93:$D$101,'491'!$D$103,'491'!$D$105,'491'!$D$107:$D$109,'491'!$D$111</definedName>
    <definedName name="OSRRefD22x_0" localSheetId="89">'492'!$D$27:$D$35,'492'!$D$37:$D$43,'492'!$D$45,'492'!$D$47,'492'!$D$49,'492'!$D$51,'492'!$D$53,'492'!$D$55,'492'!$D$57,'492'!$D$59,'492'!$D$61,'492'!$D$63,'492'!$D$65:$D$67,'492'!$D$69:$D$71,'492'!$D$73,'492'!$D$75:$D$83,'492'!$D$85,'492'!$D$87,'492'!$D$89</definedName>
    <definedName name="OSRRefD22x_0" localSheetId="96">'501'!$D$21:$D$29,'501'!$D$31:$D$35,'501'!$D$37,'501'!$D$39,'501'!$D$41,'501'!$D$43:$D$44,'501'!$D$46,'501'!$D$48,'501'!$D$50:$D$52,'501'!$D$54:$D$56,'501'!$D$58</definedName>
    <definedName name="OSRRefD22x_0" localSheetId="39">'Div 2'!$D$20:$D$30,'Div 2'!$D$32:$D$38,'Div 2'!$D$40,'Div 2'!$D$42,'Div 2'!$D$44,'Div 2'!$D$46,'Div 2'!$D$48,'Div 2'!$D$50,'Div 2'!$D$52,'Div 2'!$D$54:$D$55,'Div 2'!$D$57,'Div 2'!$D$59,'Div 2'!$D$61:$D$64,'Div 2'!$D$66:$D$68,'Div 2'!$D$70:$D$71,'Div 2'!$D$73,'Div 2'!$D$75:$D$79,'Div 2'!$D$81:$D$82,'Div 2'!$D$84,'Div 2'!$D$86:$D$87</definedName>
    <definedName name="OSRRefD22x_0" localSheetId="47">'Div 3'!$D$167:$D$176,'Div 3'!$D$178:$D$184,'Div 3'!$D$186,'Div 3'!$D$188:$D$189,'Div 3'!$D$191,'Div 3'!$D$193:$D$194,'Div 3'!$D$196:$D$197,'Div 3'!$D$199,'Div 3'!$D$201,'Div 3'!$D$203,'Div 3'!$D$205:$D$206,'Div 3'!$D$208,'Div 3'!$D$210,'Div 3'!$D$212,'Div 3'!$D$214,'Div 3'!$D$216,'Div 3'!$D$218,'Div 3'!$D$220:$D$223,'Div 3'!$D$225:$D$227,'Div 3'!$D$229:$D$233,'Div 3'!$D$235:$D$236,'Div 3'!$D$238:$D$244,'Div 3'!$D$246:$D$247,'Div 3'!$D$249,'Div 3'!$D$251:$D$253,'Div 3'!$D$255</definedName>
    <definedName name="OSRRefD22x_0" localSheetId="73">'Div 4'!$D$32:$D$40,'Div 4'!$D$42:$D$48,'Div 4'!$D$50,'Div 4'!$D$52,'Div 4'!$D$54,'Div 4'!$D$56:$D$58,'Div 4'!$D$60,'Div 4'!$D$62,'Div 4'!$D$64,'Div 4'!$D$66,'Div 4'!$D$68:$D$69,'Div 4'!$D$71,'Div 4'!$D$73,'Div 4'!$D$75,'Div 4'!$D$77,'Div 4'!$D$79,'Div 4'!$D$81:$D$83,'Div 4'!$D$85:$D$86,'Div 4'!$D$88:$D$92,'Div 4'!$D$94:$D$95,'Div 4'!$D$97:$D$105,'Div 4'!$D$107,'Div 4'!$D$109,'Div 4'!$D$111:$D$113,'Div 4'!$D$115</definedName>
    <definedName name="OSRRefD22x_0" localSheetId="95">'Div 5'!$D$21:$D$29,'Div 5'!$D$31:$D$35,'Div 5'!$D$37,'Div 5'!$D$39,'Div 5'!$D$41,'Div 5'!$D$43:$D$44,'Div 5'!$D$46,'Div 5'!$D$48,'Div 5'!$D$50:$D$52,'Div 5'!$D$54:$D$56,'Div 5'!$D$58</definedName>
    <definedName name="OSRRefD22x_0" localSheetId="64">'Div 6'!$D$58:$D$66,'Div 6'!$D$68:$D$72,'Div 6'!$D$74,'Div 6'!$D$76,'Div 6'!$D$78,'Div 6'!$D$80:$D$81,'Div 6'!$D$83,'Div 6'!$D$85,'Div 6'!$D$87,'Div 6'!$D$89:$D$91,'Div 6'!$D$93,'Div 6'!$D$95,'Div 6'!$D$97</definedName>
    <definedName name="OSRRefD22x_0" localSheetId="2">Summary!$D$199:$D$208,Summary!$D$210:$D$216,Summary!$D$218,Summary!$D$220:$D$221,Summary!$D$223,Summary!$D$225:$D$227,Summary!$D$229:$D$230,Summary!$D$232,Summary!$D$234,Summary!$D$236,Summary!$D$238:$D$239,Summary!$D$241:$D$242,Summary!$D$244,Summary!$D$246,Summary!$D$248,Summary!$D$250,Summary!$D$252,Summary!$D$254,Summary!$D$256:$D$259,Summary!$D$261:$D$263,Summary!$D$265:$D$269,Summary!$D$271:$D$272,Summary!$D$274:$D$282,Summary!$D$284:$D$285,Summary!$D$287,Summary!$D$289:$D$291,Summary!$D$293</definedName>
    <definedName name="OSRRefD25x_0" localSheetId="48">'300'!$D$250:$D$258</definedName>
    <definedName name="OSRRefD25x_0" localSheetId="49">'300 &amp; 317'!$D$275:$D$285</definedName>
    <definedName name="OSRRefD25x_0" localSheetId="50">'301'!$D$96:$D$98</definedName>
    <definedName name="OSRRefD25x_0" localSheetId="55">'308'!$D$113:$D$115</definedName>
    <definedName name="OSRRefD25x_0" localSheetId="74">'310 &amp; 491'!$D$123:$D$125</definedName>
    <definedName name="OSRRefD25x_0" localSheetId="56">'311'!$D$112:$D$114</definedName>
    <definedName name="OSRRefD25x_0" localSheetId="59">'315'!$D$129:$D$130</definedName>
    <definedName name="OSRRefD25x_0" localSheetId="62">'316'!$D$73</definedName>
    <definedName name="OSRRefD25x_0" localSheetId="65">'317'!$D$100:$D$102</definedName>
    <definedName name="OSRRefD25x_0" localSheetId="63">'320'!$D$57:$D$61</definedName>
    <definedName name="OSRRefD25x_0" localSheetId="58">'331'!$D$158:$D$159</definedName>
    <definedName name="OSRRefD25x_0" localSheetId="61">'332'!$D$88:$D$93</definedName>
    <definedName name="OSRRefD25x_0" localSheetId="78">'411'!$D$86:$D$87</definedName>
    <definedName name="OSRRefD25x_0" localSheetId="80">'413'!$D$64</definedName>
    <definedName name="OSRRefD25x_0" localSheetId="83">'418'!$D$78</definedName>
    <definedName name="OSRRefD25x_0" localSheetId="85">'423'!$D$41</definedName>
    <definedName name="OSRRefD25x_0" localSheetId="86">'424'!$D$57</definedName>
    <definedName name="OSRRefD25x_0" localSheetId="87">'425'!$D$75</definedName>
    <definedName name="OSRRefD25x_0" localSheetId="88">'455'!$D$32:$D$33</definedName>
    <definedName name="OSRRefD25x_0" localSheetId="75">'491'!$D$114:$D$116</definedName>
    <definedName name="OSRRefD25x_0" localSheetId="96">'501'!$D$61</definedName>
    <definedName name="OSRRefD25x_0" localSheetId="47">'Div 3'!$D$258:$D$266</definedName>
    <definedName name="OSRRefD25x_0" localSheetId="73">'Div 4'!$D$118:$D$120</definedName>
    <definedName name="OSRRefD25x_0" localSheetId="95">'Div 5'!$D$61</definedName>
    <definedName name="OSRRefD25x_0" localSheetId="64">'Div 6'!$D$100:$D$102</definedName>
    <definedName name="OSRRefD25x_0" localSheetId="2">Summary!$D$296:$D$307</definedName>
    <definedName name="OSRRefH13x_0" localSheetId="48">'300'!$H$13:$H$104</definedName>
    <definedName name="OSRRefH13x_0" localSheetId="49">'300 &amp; 317'!$H$13:$H$122</definedName>
    <definedName name="OSRRefH13x_0" localSheetId="53">'307'!$H$13:$H$42</definedName>
    <definedName name="OSRRefH13x_0" localSheetId="55">'308'!$H$13:$H$40</definedName>
    <definedName name="OSRRefH13x_0" localSheetId="67">'309'!$H$13:$H$14</definedName>
    <definedName name="OSRRefH13x_0" localSheetId="66">'310'!$H$13:$H$20</definedName>
    <definedName name="OSRRefH13x_0" localSheetId="74">'310 &amp; 491'!$H$13:$H$27</definedName>
    <definedName name="OSRRefH13x_0" localSheetId="56">'311'!$H$13:$H$39</definedName>
    <definedName name="OSRRefH13x_0" localSheetId="68">'313'!$H$13:$H$17</definedName>
    <definedName name="OSRRefH13x_0" localSheetId="54">'314'!$H$13:$H$32</definedName>
    <definedName name="OSRRefH13x_0" localSheetId="59">'315'!$H$13:$H$50</definedName>
    <definedName name="OSRRefH13x_0" localSheetId="62">'316'!$H$13:$H$24</definedName>
    <definedName name="OSRRefH13x_0" localSheetId="65">'317'!$H$13:$H$37</definedName>
    <definedName name="OSRRefH13x_0" localSheetId="63">'320'!$H$13:$H$15</definedName>
    <definedName name="OSRRefH13x_0" localSheetId="69">'321'!$H$13:$H$14</definedName>
    <definedName name="OSRRefH13x_0" localSheetId="70">'322'!$H$13:$H$14</definedName>
    <definedName name="OSRRefH13x_0" localSheetId="57">'324'!$H$13:$H$15</definedName>
    <definedName name="OSRRefH13x_0" localSheetId="71">'325'!$H$13:$H$14</definedName>
    <definedName name="OSRRefH13x_0" localSheetId="60">'326'!$H$13:$H$36</definedName>
    <definedName name="OSRRefH13x_0" localSheetId="72">'327'!$H$13</definedName>
    <definedName name="OSRRefH13x_0" localSheetId="52">'330'!$H$13:$H$47</definedName>
    <definedName name="OSRRefH13x_0" localSheetId="58">'331'!$H$13:$H$53</definedName>
    <definedName name="OSRRefH13x_0" localSheetId="61">'332'!$H$13:$H$27</definedName>
    <definedName name="OSRRefH13x_0" localSheetId="76">'405'!$H$13:$H$14</definedName>
    <definedName name="OSRRefH13x_0" localSheetId="77">'406'!$H$13:$H$14</definedName>
    <definedName name="OSRRefH13x_0" localSheetId="79">'412'!$H$13:$H$14</definedName>
    <definedName name="OSRRefH13x_0" localSheetId="80">'413'!$H$13:$H$14</definedName>
    <definedName name="OSRRefH13x_0" localSheetId="81">'414'!$H$13:$H$14</definedName>
    <definedName name="OSRRefH13x_0" localSheetId="82">'415'!$H$13:$H$14</definedName>
    <definedName name="OSRRefH13x_0" localSheetId="83">'418'!$H$13:$H$14</definedName>
    <definedName name="OSRRefH13x_0" localSheetId="84">'420'!$H$13:$H$14</definedName>
    <definedName name="OSRRefH13x_0" localSheetId="86">'424'!$H$13</definedName>
    <definedName name="OSRRefH13x_0" localSheetId="87">'425'!$H$13:$H$14</definedName>
    <definedName name="OSRRefH13x_0" localSheetId="91">'433'!$H$13:$H$15</definedName>
    <definedName name="OSRRefH13x_0" localSheetId="92">'435'!$H$13:$H$15</definedName>
    <definedName name="OSRRefH13x_0" localSheetId="93">'444'!$H$13:$H$15</definedName>
    <definedName name="OSRRefH13x_0" localSheetId="94">'450'!$H$13:$H$15</definedName>
    <definedName name="OSRRefH13x_0" localSheetId="75">'491'!$H$13:$H$21</definedName>
    <definedName name="OSRRefH13x_0" localSheetId="89">'492'!$H$13:$H$17</definedName>
    <definedName name="OSRRefH13x_0" localSheetId="96">'501'!$H$13</definedName>
    <definedName name="OSRRefH13x_0" localSheetId="47">'Div 3'!$H$13:$H$107</definedName>
    <definedName name="OSRRefH13x_0" localSheetId="73">'Div 4'!$H$13:$H$22</definedName>
    <definedName name="OSRRefH13x_0" localSheetId="95">'Div 5'!$H$13</definedName>
    <definedName name="OSRRefH13x_0" localSheetId="64">'Div 6'!$H$13:$H$37</definedName>
    <definedName name="OSRRefH13x_0" localSheetId="2">Summary!$H$13:$H$132</definedName>
    <definedName name="OSRRefH16x_0" localSheetId="48">'300'!$H$107:$H$156</definedName>
    <definedName name="OSRRefH16x_0" localSheetId="49">'300 &amp; 317'!$H$125:$H$181</definedName>
    <definedName name="OSRRefH16x_0" localSheetId="53">'307'!$H$45:$H$63</definedName>
    <definedName name="OSRRefH16x_0" localSheetId="55">'308'!$H$43:$H$57</definedName>
    <definedName name="OSRRefH16x_0" localSheetId="67">'309'!$H$17:$H$18</definedName>
    <definedName name="OSRRefH16x_0" localSheetId="66">'310'!$H$23:$H$24</definedName>
    <definedName name="OSRRefH16x_0" localSheetId="74">'310 &amp; 491'!$H$30:$H$31</definedName>
    <definedName name="OSRRefH16x_0" localSheetId="56">'311'!$H$42:$H$56</definedName>
    <definedName name="OSRRefH16x_0" localSheetId="68">'313'!$H$20:$H$21</definedName>
    <definedName name="OSRRefH16x_0" localSheetId="54">'314'!$H$35:$H$49</definedName>
    <definedName name="OSRRefH16x_0" localSheetId="59">'315'!$H$53:$H$75</definedName>
    <definedName name="OSRRefH16x_0" localSheetId="65">'317'!$H$40:$H$52</definedName>
    <definedName name="OSRRefH16x_0" localSheetId="63">'320'!$H$18:$H$22</definedName>
    <definedName name="OSRRefH16x_0" localSheetId="69">'321'!$H$17:$H$18</definedName>
    <definedName name="OSRRefH16x_0" localSheetId="70">'322'!$H$17:$H$18</definedName>
    <definedName name="OSRRefH16x_0" localSheetId="57">'324'!$H$18:$H$19</definedName>
    <definedName name="OSRRefH16x_0" localSheetId="71">'325'!$H$17:$H$18</definedName>
    <definedName name="OSRRefH16x_0" localSheetId="60">'326'!$H$39:$H$52</definedName>
    <definedName name="OSRRefH16x_0" localSheetId="72">'327'!$H$16</definedName>
    <definedName name="OSRRefH16x_0" localSheetId="52">'330'!$H$50:$H$72</definedName>
    <definedName name="OSRRefH16x_0" localSheetId="58">'331'!$H$56:$H$82</definedName>
    <definedName name="OSRRefH16x_0" localSheetId="61">'332'!$H$30:$H$34</definedName>
    <definedName name="OSRRefH16x_0" localSheetId="76">'405'!$H$17:$H$18</definedName>
    <definedName name="OSRRefH16x_0" localSheetId="77">'406'!$H$17:$H$18</definedName>
    <definedName name="OSRRefH16x_0" localSheetId="79">'412'!$H$17</definedName>
    <definedName name="OSRRefH16x_0" localSheetId="80">'413'!$H$17:$H$18</definedName>
    <definedName name="OSRRefH16x_0" localSheetId="81">'414'!$H$17:$H$18</definedName>
    <definedName name="OSRRefH16x_0" localSheetId="82">'415'!$H$17:$H$18</definedName>
    <definedName name="OSRRefH16x_0" localSheetId="83">'418'!$H$17:$H$18</definedName>
    <definedName name="OSRRefH16x_0" localSheetId="85">'423'!$H$15</definedName>
    <definedName name="OSRRefH16x_0" localSheetId="86">'424'!$H$16:$H$17</definedName>
    <definedName name="OSRRefH16x_0" localSheetId="87">'425'!$H$17:$H$18</definedName>
    <definedName name="OSRRefH16x_0" localSheetId="91">'433'!$H$18:$H$19</definedName>
    <definedName name="OSRRefH16x_0" localSheetId="92">'435'!$H$18:$H$19</definedName>
    <definedName name="OSRRefH16x_0" localSheetId="93">'444'!$H$18:$H$19</definedName>
    <definedName name="OSRRefH16x_0" localSheetId="94">'450'!$H$18:$H$19</definedName>
    <definedName name="OSRRefH16x_0" localSheetId="75">'491'!$H$24:$H$25</definedName>
    <definedName name="OSRRefH16x_0" localSheetId="89">'492'!$H$20:$H$21</definedName>
    <definedName name="OSRRefH16x_0" localSheetId="47">'Div 3'!$H$110:$H$161</definedName>
    <definedName name="OSRRefH16x_0" localSheetId="73">'Div 4'!$H$25:$H$26</definedName>
    <definedName name="OSRRefH16x_0" localSheetId="64">'Div 6'!$H$40:$H$52</definedName>
    <definedName name="OSRRefH16x_0" localSheetId="2">Summary!$H$135:$H$193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'203'!$H$20:$H$29</definedName>
    <definedName name="OSRRefH22_0x_0" localSheetId="44">'204'!$H$20:$H$28</definedName>
    <definedName name="OSRRefH22_0x_0" localSheetId="45">'205'!$H$20:$H$27</definedName>
    <definedName name="OSRRefH22_0x_0" localSheetId="46">'206'!$H$20:$H$26</definedName>
    <definedName name="OSRRefH22_0x_0" localSheetId="48">'300'!$H$162:$H$171</definedName>
    <definedName name="OSRRefH22_0x_0" localSheetId="49">'300 &amp; 317'!$H$187:$H$196</definedName>
    <definedName name="OSRRefH22_0x_0" localSheetId="50">'301'!$H$20:$H$28</definedName>
    <definedName name="OSRRefH22_0x_0" localSheetId="51">'306'!$H$20:$H$28</definedName>
    <definedName name="OSRRefH22_0x_0" localSheetId="53">'307'!$H$69:$H$76</definedName>
    <definedName name="OSRRefH22_0x_0" localSheetId="55">'308'!$H$63:$H$71</definedName>
    <definedName name="OSRRefH22_0x_0" localSheetId="67">'309'!$H$24:$H$31</definedName>
    <definedName name="OSRRefH22_0x_0" localSheetId="66">'310'!$H$30:$H$37</definedName>
    <definedName name="OSRRefH22_0x_0" localSheetId="74">'310 &amp; 491'!$H$37:$H$45</definedName>
    <definedName name="OSRRefH22_0x_0" localSheetId="56">'311'!$H$62:$H$70</definedName>
    <definedName name="OSRRefH22_0x_0" localSheetId="68">'313'!$H$27:$H$34</definedName>
    <definedName name="OSRRefH22_0x_0" localSheetId="54">'314'!$H$55:$H$61</definedName>
    <definedName name="OSRRefH22_0x_0" localSheetId="59">'315'!$H$81:$H$88</definedName>
    <definedName name="OSRRefH22_0x_0" localSheetId="62">'316'!$H$32:$H$39</definedName>
    <definedName name="OSRRefH22_0x_0" localSheetId="65">'317'!$H$58:$H$66</definedName>
    <definedName name="OSRRefH22_0x_0" localSheetId="63">'320'!$H$28:$H$34</definedName>
    <definedName name="OSRRefH22_0x_0" localSheetId="69">'321'!$H$24:$H$31</definedName>
    <definedName name="OSRRefH22_0x_0" localSheetId="70">'322'!$H$24:$H$31</definedName>
    <definedName name="OSRRefH22_0x_0" localSheetId="71">'325'!$H$24:$H$31</definedName>
    <definedName name="OSRRefH22_0x_0" localSheetId="60">'326'!$H$58:$H$65</definedName>
    <definedName name="OSRRefH22_0x_0" localSheetId="72">'327'!$H$22</definedName>
    <definedName name="OSRRefH22_0x_0" localSheetId="52">'330'!$H$78:$H$85</definedName>
    <definedName name="OSRRefH22_0x_0" localSheetId="58">'331'!$H$88:$H$95</definedName>
    <definedName name="OSRRefH22_0x_0" localSheetId="61">'332'!$H$40:$H$47</definedName>
    <definedName name="OSRRefH22_0x_0" localSheetId="76">'405'!$H$24:$H$31</definedName>
    <definedName name="OSRRefH22_0x_0" localSheetId="77">'406'!$H$24:$H$31</definedName>
    <definedName name="OSRRefH22_0x_0" localSheetId="78">'411'!$H$20:$H$28</definedName>
    <definedName name="OSRRefH22_0x_0" localSheetId="79">'412'!$H$23:$H$30</definedName>
    <definedName name="OSRRefH22_0x_0" localSheetId="80">'413'!$H$24:$H$31</definedName>
    <definedName name="OSRRefH22_0x_0" localSheetId="81">'414'!$H$24:$H$30</definedName>
    <definedName name="OSRRefH22_0x_0" localSheetId="82">'415'!$H$24:$H$31</definedName>
    <definedName name="OSRRefH22_0x_0" localSheetId="83">'418'!$H$24:$H$31</definedName>
    <definedName name="OSRRefH22_0x_0" localSheetId="84">'420'!$H$22:$H$28</definedName>
    <definedName name="OSRRefH22_0x_0" localSheetId="85">'423'!$H$21:$H$28</definedName>
    <definedName name="OSRRefH22_0x_0" localSheetId="86">'424'!$H$23:$H$24</definedName>
    <definedName name="OSRRefH22_0x_0" localSheetId="87">'425'!$H$24:$H$31</definedName>
    <definedName name="OSRRefH22_0x_0" localSheetId="90">'430'!$H$20:$H$27</definedName>
    <definedName name="OSRRefH22_0x_0" localSheetId="91">'433'!$H$25:$H$33</definedName>
    <definedName name="OSRRefH22_0x_0" localSheetId="92">'435'!$H$25:$H$27</definedName>
    <definedName name="OSRRefH22_0x_0" localSheetId="93">'444'!$H$25:$H$33</definedName>
    <definedName name="OSRRefH22_0x_0" localSheetId="94">'450'!$H$25:$H$33</definedName>
    <definedName name="OSRRefH22_0x_0" localSheetId="88">'455'!$H$20:$H$26</definedName>
    <definedName name="OSRRefH22_0x_0" localSheetId="75">'491'!$H$31:$H$39</definedName>
    <definedName name="OSRRefH22_0x_0" localSheetId="89">'492'!$H$27:$H$35</definedName>
    <definedName name="OSRRefH22_0x_0" localSheetId="96">'501'!$H$21:$H$29</definedName>
    <definedName name="OSRRefH22_0x_0" localSheetId="39">'Div 2'!$H$20:$H$30</definedName>
    <definedName name="OSRRefH22_0x_0" localSheetId="47">'Div 3'!$H$167:$H$176</definedName>
    <definedName name="OSRRefH22_0x_0" localSheetId="73">'Div 4'!$H$32:$H$40</definedName>
    <definedName name="OSRRefH22_0x_0" localSheetId="95">'Div 5'!$H$21:$H$29</definedName>
    <definedName name="OSRRefH22_0x_0" localSheetId="64">'Div 6'!$H$58:$H$66</definedName>
    <definedName name="OSRRefH22_0x_0" localSheetId="2">Summary!$H$199:$H$208</definedName>
    <definedName name="OSRRefH22_10x_0" localSheetId="41">'201'!$H$51:$H$53</definedName>
    <definedName name="OSRRefH22_10x_0" localSheetId="42">'202'!$H$53:$H$55</definedName>
    <definedName name="OSRRefH22_10x_0" localSheetId="43">'203'!$H$53:$H$54</definedName>
    <definedName name="OSRRefH22_10x_0" localSheetId="44">'204'!$H$55:$H$56</definedName>
    <definedName name="OSRRefH22_10x_0" localSheetId="48">'300'!$H$200:$H$201</definedName>
    <definedName name="OSRRefH22_10x_0" localSheetId="49">'300 &amp; 317'!$H$225:$H$226</definedName>
    <definedName name="OSRRefH22_10x_0" localSheetId="50">'301'!$H$57</definedName>
    <definedName name="OSRRefH22_10x_0" localSheetId="53">'307'!$H$104</definedName>
    <definedName name="OSRRefH22_10x_0" localSheetId="55">'308'!$H$99</definedName>
    <definedName name="OSRRefH22_10x_0" localSheetId="67">'309'!$H$60</definedName>
    <definedName name="OSRRefH22_10x_0" localSheetId="66">'310'!$H$63</definedName>
    <definedName name="OSRRefH22_10x_0" localSheetId="74">'310 &amp; 491'!$H$73:$H$74</definedName>
    <definedName name="OSRRefH22_10x_0" localSheetId="56">'311'!$H$98</definedName>
    <definedName name="OSRRefH22_10x_0" localSheetId="68">'313'!$H$60:$H$64</definedName>
    <definedName name="OSRRefH22_10x_0" localSheetId="59">'315'!$H$121</definedName>
    <definedName name="OSRRefH22_10x_0" localSheetId="62">'316'!$H$68</definedName>
    <definedName name="OSRRefH22_10x_0" localSheetId="65">'317'!$H$93</definedName>
    <definedName name="OSRRefH22_10x_0" localSheetId="69">'321'!$H$62</definedName>
    <definedName name="OSRRefH22_10x_0" localSheetId="70">'322'!$H$57:$H$61</definedName>
    <definedName name="OSRRefH22_10x_0" localSheetId="71">'325'!$H$56</definedName>
    <definedName name="OSRRefH22_10x_0" localSheetId="60">'326'!$H$89</definedName>
    <definedName name="OSRRefH22_10x_0" localSheetId="52">'330'!$H$112</definedName>
    <definedName name="OSRRefH22_10x_0" localSheetId="58">'331'!$H$122</definedName>
    <definedName name="OSRRefH22_10x_0" localSheetId="61">'332'!$H$72</definedName>
    <definedName name="OSRRefH22_10x_0" localSheetId="76">'405'!$H$55:$H$56</definedName>
    <definedName name="OSRRefH22_10x_0" localSheetId="77">'406'!$H$57:$H$61</definedName>
    <definedName name="OSRRefH22_10x_0" localSheetId="78">'411'!$H$55</definedName>
    <definedName name="OSRRefH22_10x_0" localSheetId="79">'412'!$H$57:$H$62</definedName>
    <definedName name="OSRRefH22_10x_0" localSheetId="80">'413'!$H$61</definedName>
    <definedName name="OSRRefH22_10x_0" localSheetId="81">'414'!$H$54</definedName>
    <definedName name="OSRRefH22_10x_0" localSheetId="82">'415'!$H$56</definedName>
    <definedName name="OSRRefH22_10x_0" localSheetId="83">'418'!$H$60:$H$62</definedName>
    <definedName name="OSRRefH22_10x_0" localSheetId="86">'424'!$H$48</definedName>
    <definedName name="OSRRefH22_10x_0" localSheetId="87">'425'!$H$57</definedName>
    <definedName name="OSRRefH22_10x_0" localSheetId="91">'433'!$H$58</definedName>
    <definedName name="OSRRefH22_10x_0" localSheetId="93">'444'!$H$58</definedName>
    <definedName name="OSRRefH22_10x_0" localSheetId="94">'450'!$H$58</definedName>
    <definedName name="OSRRefH22_10x_0" localSheetId="75">'491'!$H$67:$H$68</definedName>
    <definedName name="OSRRefH22_10x_0" localSheetId="89">'492'!$H$61</definedName>
    <definedName name="OSRRefH22_10x_0" localSheetId="96">'501'!$H$58</definedName>
    <definedName name="OSRRefH22_10x_0" localSheetId="39">'Div 2'!$H$57</definedName>
    <definedName name="OSRRefH22_10x_0" localSheetId="47">'Div 3'!$H$205:$H$206</definedName>
    <definedName name="OSRRefH22_10x_0" localSheetId="73">'Div 4'!$H$68:$H$69</definedName>
    <definedName name="OSRRefH22_10x_0" localSheetId="95">'Div 5'!$H$58</definedName>
    <definedName name="OSRRefH22_10x_0" localSheetId="64">'Div 6'!$H$93</definedName>
    <definedName name="OSRRefH22_10x_0" localSheetId="2">Summary!$H$238:$H$239</definedName>
    <definedName name="OSRRefH22_11x_0" localSheetId="41">'201'!$H$55</definedName>
    <definedName name="OSRRefH22_11x_0" localSheetId="42">'202'!$H$57</definedName>
    <definedName name="OSRRefH22_11x_0" localSheetId="43">'203'!$H$56</definedName>
    <definedName name="OSRRefH22_11x_0" localSheetId="48">'300'!$H$203</definedName>
    <definedName name="OSRRefH22_11x_0" localSheetId="49">'300 &amp; 317'!$H$228</definedName>
    <definedName name="OSRRefH22_11x_0" localSheetId="50">'301'!$H$59</definedName>
    <definedName name="OSRRefH22_11x_0" localSheetId="53">'307'!$H$106</definedName>
    <definedName name="OSRRefH22_11x_0" localSheetId="55">'308'!$H$101:$H$103</definedName>
    <definedName name="OSRRefH22_11x_0" localSheetId="66">'310'!$H$65</definedName>
    <definedName name="OSRRefH22_11x_0" localSheetId="74">'310 &amp; 491'!$H$76:$H$77</definedName>
    <definedName name="OSRRefH22_11x_0" localSheetId="56">'311'!$H$100:$H$102</definedName>
    <definedName name="OSRRefH22_11x_0" localSheetId="68">'313'!$H$66</definedName>
    <definedName name="OSRRefH22_11x_0" localSheetId="59">'315'!$H$123</definedName>
    <definedName name="OSRRefH22_11x_0" localSheetId="62">'316'!$H$70</definedName>
    <definedName name="OSRRefH22_11x_0" localSheetId="65">'317'!$H$95</definedName>
    <definedName name="OSRRefH22_11x_0" localSheetId="69">'321'!$H$64</definedName>
    <definedName name="OSRRefH22_11x_0" localSheetId="70">'322'!$H$63</definedName>
    <definedName name="OSRRefH22_11x_0" localSheetId="71">'325'!$H$58:$H$60</definedName>
    <definedName name="OSRRefH22_11x_0" localSheetId="60">'326'!$H$91</definedName>
    <definedName name="OSRRefH22_11x_0" localSheetId="52">'330'!$H$114:$H$116</definedName>
    <definedName name="OSRRefH22_11x_0" localSheetId="58">'331'!$H$124</definedName>
    <definedName name="OSRRefH22_11x_0" localSheetId="61">'332'!$H$74:$H$79</definedName>
    <definedName name="OSRRefH22_11x_0" localSheetId="76">'405'!$H$58</definedName>
    <definedName name="OSRRefH22_11x_0" localSheetId="77">'406'!$H$63</definedName>
    <definedName name="OSRRefH22_11x_0" localSheetId="78">'411'!$H$57</definedName>
    <definedName name="OSRRefH22_11x_0" localSheetId="79">'412'!$H$64</definedName>
    <definedName name="OSRRefH22_11x_0" localSheetId="81">'414'!$H$56</definedName>
    <definedName name="OSRRefH22_11x_0" localSheetId="82">'415'!$H$58:$H$60</definedName>
    <definedName name="OSRRefH22_11x_0" localSheetId="83">'418'!$H$64</definedName>
    <definedName name="OSRRefH22_11x_0" localSheetId="86">'424'!$H$50:$H$52</definedName>
    <definedName name="OSRRefH22_11x_0" localSheetId="87">'425'!$H$59:$H$60</definedName>
    <definedName name="OSRRefH22_11x_0" localSheetId="91">'433'!$H$60:$H$62</definedName>
    <definedName name="OSRRefH22_11x_0" localSheetId="93">'444'!$H$60:$H$62</definedName>
    <definedName name="OSRRefH22_11x_0" localSheetId="94">'450'!$H$60</definedName>
    <definedName name="OSRRefH22_11x_0" localSheetId="75">'491'!$H$70</definedName>
    <definedName name="OSRRefH22_11x_0" localSheetId="89">'492'!$H$63</definedName>
    <definedName name="OSRRefH22_11x_0" localSheetId="39">'Div 2'!$H$59</definedName>
    <definedName name="OSRRefH22_11x_0" localSheetId="47">'Div 3'!$H$208</definedName>
    <definedName name="OSRRefH22_11x_0" localSheetId="73">'Div 4'!$H$71</definedName>
    <definedName name="OSRRefH22_11x_0" localSheetId="64">'Div 6'!$H$95</definedName>
    <definedName name="OSRRefH22_11x_0" localSheetId="2">Summary!$H$241:$H$242</definedName>
    <definedName name="OSRRefH22_12x_0" localSheetId="41">'201'!$H$57:$H$60</definedName>
    <definedName name="OSRRefH22_12x_0" localSheetId="42">'202'!$H$59</definedName>
    <definedName name="OSRRefH22_12x_0" localSheetId="43">'203'!$H$58:$H$61</definedName>
    <definedName name="OSRRefH22_12x_0" localSheetId="48">'300'!$H$205</definedName>
    <definedName name="OSRRefH22_12x_0" localSheetId="49">'300 &amp; 317'!$H$230</definedName>
    <definedName name="OSRRefH22_12x_0" localSheetId="50">'301'!$H$61</definedName>
    <definedName name="OSRRefH22_12x_0" localSheetId="55">'308'!$H$105:$H$106</definedName>
    <definedName name="OSRRefH22_12x_0" localSheetId="66">'310'!$H$67</definedName>
    <definedName name="OSRRefH22_12x_0" localSheetId="74">'310 &amp; 491'!$H$79</definedName>
    <definedName name="OSRRefH22_12x_0" localSheetId="56">'311'!$H$104:$H$105</definedName>
    <definedName name="OSRRefH22_12x_0" localSheetId="68">'313'!$H$68</definedName>
    <definedName name="OSRRefH22_12x_0" localSheetId="59">'315'!$H$125:$H$126</definedName>
    <definedName name="OSRRefH22_12x_0" localSheetId="65">'317'!$H$97</definedName>
    <definedName name="OSRRefH22_12x_0" localSheetId="70">'322'!$H$65</definedName>
    <definedName name="OSRRefH22_12x_0" localSheetId="71">'325'!$H$62:$H$64</definedName>
    <definedName name="OSRRefH22_12x_0" localSheetId="60">'326'!$H$93:$H$94</definedName>
    <definedName name="OSRRefH22_12x_0" localSheetId="52">'330'!$H$118</definedName>
    <definedName name="OSRRefH22_12x_0" localSheetId="58">'331'!$H$126</definedName>
    <definedName name="OSRRefH22_12x_0" localSheetId="61">'332'!$H$81</definedName>
    <definedName name="OSRRefH22_12x_0" localSheetId="76">'405'!$H$60:$H$62</definedName>
    <definedName name="OSRRefH22_12x_0" localSheetId="77">'406'!$H$65</definedName>
    <definedName name="OSRRefH22_12x_0" localSheetId="78">'411'!$H$59:$H$60</definedName>
    <definedName name="OSRRefH22_12x_0" localSheetId="79">'412'!$H$66</definedName>
    <definedName name="OSRRefH22_12x_0" localSheetId="81">'414'!$H$58</definedName>
    <definedName name="OSRRefH22_12x_0" localSheetId="82">'415'!$H$62:$H$66</definedName>
    <definedName name="OSRRefH22_12x_0" localSheetId="83">'418'!$H$66:$H$71</definedName>
    <definedName name="OSRRefH22_12x_0" localSheetId="86">'424'!$H$54</definedName>
    <definedName name="OSRRefH22_12x_0" localSheetId="87">'425'!$H$62:$H$68</definedName>
    <definedName name="OSRRefH22_12x_0" localSheetId="91">'433'!$H$64:$H$66</definedName>
    <definedName name="OSRRefH22_12x_0" localSheetId="93">'444'!$H$64:$H$66</definedName>
    <definedName name="OSRRefH22_12x_0" localSheetId="94">'450'!$H$62</definedName>
    <definedName name="OSRRefH22_12x_0" localSheetId="75">'491'!$H$72</definedName>
    <definedName name="OSRRefH22_12x_0" localSheetId="89">'492'!$H$65:$H$67</definedName>
    <definedName name="OSRRefH22_12x_0" localSheetId="39">'Div 2'!$H$61:$H$64</definedName>
    <definedName name="OSRRefH22_12x_0" localSheetId="47">'Div 3'!$H$210</definedName>
    <definedName name="OSRRefH22_12x_0" localSheetId="73">'Div 4'!$H$73</definedName>
    <definedName name="OSRRefH22_12x_0" localSheetId="64">'Div 6'!$H$97</definedName>
    <definedName name="OSRRefH22_12x_0" localSheetId="2">Summary!$H$244</definedName>
    <definedName name="OSRRefH22_13x_0" localSheetId="41">'201'!$H$62</definedName>
    <definedName name="OSRRefH22_13x_0" localSheetId="42">'202'!$H$61</definedName>
    <definedName name="OSRRefH22_13x_0" localSheetId="43">'203'!$H$63</definedName>
    <definedName name="OSRRefH22_13x_0" localSheetId="48">'300'!$H$207</definedName>
    <definedName name="OSRRefH22_13x_0" localSheetId="49">'300 &amp; 317'!$H$232</definedName>
    <definedName name="OSRRefH22_13x_0" localSheetId="50">'301'!$H$63</definedName>
    <definedName name="OSRRefH22_13x_0" localSheetId="55">'308'!$H$108</definedName>
    <definedName name="OSRRefH22_13x_0" localSheetId="66">'310'!$H$69</definedName>
    <definedName name="OSRRefH22_13x_0" localSheetId="74">'310 &amp; 491'!$H$81</definedName>
    <definedName name="OSRRefH22_13x_0" localSheetId="56">'311'!$H$107</definedName>
    <definedName name="OSRRefH22_13x_0" localSheetId="71">'325'!$H$66</definedName>
    <definedName name="OSRRefH22_13x_0" localSheetId="60">'326'!$H$96:$H$98</definedName>
    <definedName name="OSRRefH22_13x_0" localSheetId="52">'330'!$H$120</definedName>
    <definedName name="OSRRefH22_13x_0" localSheetId="58">'331'!$H$128:$H$129</definedName>
    <definedName name="OSRRefH22_13x_0" localSheetId="61">'332'!$H$83</definedName>
    <definedName name="OSRRefH22_13x_0" localSheetId="76">'405'!$H$64</definedName>
    <definedName name="OSRRefH22_13x_0" localSheetId="78">'411'!$H$62:$H$66</definedName>
    <definedName name="OSRRefH22_13x_0" localSheetId="81">'414'!$H$60:$H$66</definedName>
    <definedName name="OSRRefH22_13x_0" localSheetId="82">'415'!$H$68</definedName>
    <definedName name="OSRRefH22_13x_0" localSheetId="83">'418'!$H$73</definedName>
    <definedName name="OSRRefH22_13x_0" localSheetId="87">'425'!$H$70</definedName>
    <definedName name="OSRRefH22_13x_0" localSheetId="91">'433'!$H$68:$H$75</definedName>
    <definedName name="OSRRefH22_13x_0" localSheetId="93">'444'!$H$68</definedName>
    <definedName name="OSRRefH22_13x_0" localSheetId="94">'450'!$H$64:$H$66</definedName>
    <definedName name="OSRRefH22_13x_0" localSheetId="75">'491'!$H$74</definedName>
    <definedName name="OSRRefH22_13x_0" localSheetId="89">'492'!$H$69:$H$71</definedName>
    <definedName name="OSRRefH22_13x_0" localSheetId="39">'Div 2'!$H$66:$H$68</definedName>
    <definedName name="OSRRefH22_13x_0" localSheetId="47">'Div 3'!$H$212</definedName>
    <definedName name="OSRRefH22_13x_0" localSheetId="73">'Div 4'!$H$75</definedName>
    <definedName name="OSRRefH22_13x_0" localSheetId="2">Summary!$H$246</definedName>
    <definedName name="OSRRefH22_14x_0" localSheetId="41">'201'!$H$64</definedName>
    <definedName name="OSRRefH22_14x_0" localSheetId="43">'203'!$H$65</definedName>
    <definedName name="OSRRefH22_14x_0" localSheetId="48">'300'!$H$209</definedName>
    <definedName name="OSRRefH22_14x_0" localSheetId="49">'300 &amp; 317'!$H$234</definedName>
    <definedName name="OSRRefH22_14x_0" localSheetId="50">'301'!$H$65</definedName>
    <definedName name="OSRRefH22_14x_0" localSheetId="55">'308'!$H$110</definedName>
    <definedName name="OSRRefH22_14x_0" localSheetId="66">'310'!$H$71:$H$73</definedName>
    <definedName name="OSRRefH22_14x_0" localSheetId="74">'310 &amp; 491'!$H$83</definedName>
    <definedName name="OSRRefH22_14x_0" localSheetId="56">'311'!$H$109</definedName>
    <definedName name="OSRRefH22_14x_0" localSheetId="71">'325'!$H$68:$H$72</definedName>
    <definedName name="OSRRefH22_14x_0" localSheetId="60">'326'!$H$100</definedName>
    <definedName name="OSRRefH22_14x_0" localSheetId="58">'331'!$H$131:$H$132</definedName>
    <definedName name="OSRRefH22_14x_0" localSheetId="61">'332'!$H$85</definedName>
    <definedName name="OSRRefH22_14x_0" localSheetId="76">'405'!$H$66:$H$72</definedName>
    <definedName name="OSRRefH22_14x_0" localSheetId="78">'411'!$H$68:$H$73</definedName>
    <definedName name="OSRRefH22_14x_0" localSheetId="81">'414'!$H$68</definedName>
    <definedName name="OSRRefH22_14x_0" localSheetId="82">'415'!$H$70:$H$77</definedName>
    <definedName name="OSRRefH22_14x_0" localSheetId="83">'418'!$H$75</definedName>
    <definedName name="OSRRefH22_14x_0" localSheetId="87">'425'!$H$72</definedName>
    <definedName name="OSRRefH22_14x_0" localSheetId="91">'433'!$H$77</definedName>
    <definedName name="OSRRefH22_14x_0" localSheetId="93">'444'!$H$70:$H$78</definedName>
    <definedName name="OSRRefH22_14x_0" localSheetId="94">'450'!$H$68:$H$73</definedName>
    <definedName name="OSRRefH22_14x_0" localSheetId="75">'491'!$H$76</definedName>
    <definedName name="OSRRefH22_14x_0" localSheetId="89">'492'!$H$73</definedName>
    <definedName name="OSRRefH22_14x_0" localSheetId="39">'Div 2'!$H$70:$H$71</definedName>
    <definedName name="OSRRefH22_14x_0" localSheetId="47">'Div 3'!$H$214</definedName>
    <definedName name="OSRRefH22_14x_0" localSheetId="73">'Div 4'!$H$77</definedName>
    <definedName name="OSRRefH22_14x_0" localSheetId="2">Summary!$H$248</definedName>
    <definedName name="OSRRefH22_15x_0" localSheetId="41">'201'!$H$66</definedName>
    <definedName name="OSRRefH22_15x_0" localSheetId="43">'203'!$H$67</definedName>
    <definedName name="OSRRefH22_15x_0" localSheetId="48">'300'!$H$211</definedName>
    <definedName name="OSRRefH22_15x_0" localSheetId="49">'300 &amp; 317'!$H$236</definedName>
    <definedName name="OSRRefH22_15x_0" localSheetId="50">'301'!$H$67:$H$70</definedName>
    <definedName name="OSRRefH22_15x_0" localSheetId="66">'310'!$H$75</definedName>
    <definedName name="OSRRefH22_15x_0" localSheetId="74">'310 &amp; 491'!$H$85</definedName>
    <definedName name="OSRRefH22_15x_0" localSheetId="71">'325'!$H$74</definedName>
    <definedName name="OSRRefH22_15x_0" localSheetId="60">'326'!$H$102:$H$105</definedName>
    <definedName name="OSRRefH22_15x_0" localSheetId="58">'331'!$H$134:$H$136</definedName>
    <definedName name="OSRRefH22_15x_0" localSheetId="76">'405'!$H$74</definedName>
    <definedName name="OSRRefH22_15x_0" localSheetId="78">'411'!$H$75</definedName>
    <definedName name="OSRRefH22_15x_0" localSheetId="81">'414'!$H$70</definedName>
    <definedName name="OSRRefH22_15x_0" localSheetId="82">'415'!$H$79</definedName>
    <definedName name="OSRRefH22_15x_0" localSheetId="91">'433'!$H$79</definedName>
    <definedName name="OSRRefH22_15x_0" localSheetId="93">'444'!$H$80</definedName>
    <definedName name="OSRRefH22_15x_0" localSheetId="94">'450'!$H$75</definedName>
    <definedName name="OSRRefH22_15x_0" localSheetId="75">'491'!$H$78:$H$80</definedName>
    <definedName name="OSRRefH22_15x_0" localSheetId="89">'492'!$H$75:$H$83</definedName>
    <definedName name="OSRRefH22_15x_0" localSheetId="39">'Div 2'!$H$73</definedName>
    <definedName name="OSRRefH22_15x_0" localSheetId="47">'Div 3'!$H$216</definedName>
    <definedName name="OSRRefH22_15x_0" localSheetId="73">'Div 4'!$H$79</definedName>
    <definedName name="OSRRefH22_15x_0" localSheetId="2">Summary!$H$250</definedName>
    <definedName name="OSRRefH22_16x_0" localSheetId="48">'300'!$H$213:$H$216</definedName>
    <definedName name="OSRRefH22_16x_0" localSheetId="49">'300 &amp; 317'!$H$238:$H$241</definedName>
    <definedName name="OSRRefH22_16x_0" localSheetId="50">'301'!$H$72:$H$74</definedName>
    <definedName name="OSRRefH22_16x_0" localSheetId="66">'310'!$H$77:$H$80</definedName>
    <definedName name="OSRRefH22_16x_0" localSheetId="74">'310 &amp; 491'!$H$87:$H$89</definedName>
    <definedName name="OSRRefH22_16x_0" localSheetId="71">'325'!$H$76</definedName>
    <definedName name="OSRRefH22_16x_0" localSheetId="60">'326'!$H$107</definedName>
    <definedName name="OSRRefH22_16x_0" localSheetId="58">'331'!$H$138:$H$139</definedName>
    <definedName name="OSRRefH22_16x_0" localSheetId="76">'405'!$H$76</definedName>
    <definedName name="OSRRefH22_16x_0" localSheetId="78">'411'!$H$77</definedName>
    <definedName name="OSRRefH22_16x_0" localSheetId="82">'415'!$H$81</definedName>
    <definedName name="OSRRefH22_16x_0" localSheetId="91">'433'!$H$81</definedName>
    <definedName name="OSRRefH22_16x_0" localSheetId="93">'444'!$H$82</definedName>
    <definedName name="OSRRefH22_16x_0" localSheetId="94">'450'!$H$77</definedName>
    <definedName name="OSRRefH22_16x_0" localSheetId="75">'491'!$H$82:$H$83</definedName>
    <definedName name="OSRRefH22_16x_0" localSheetId="89">'492'!$H$85</definedName>
    <definedName name="OSRRefH22_16x_0" localSheetId="39">'Div 2'!$H$75:$H$79</definedName>
    <definedName name="OSRRefH22_16x_0" localSheetId="47">'Div 3'!$H$218</definedName>
    <definedName name="OSRRefH22_16x_0" localSheetId="73">'Div 4'!$H$81:$H$83</definedName>
    <definedName name="OSRRefH22_16x_0" localSheetId="2">Summary!$H$252</definedName>
    <definedName name="OSRRefH22_17x_0" localSheetId="48">'300'!$H$218:$H$220</definedName>
    <definedName name="OSRRefH22_17x_0" localSheetId="49">'300 &amp; 317'!$H$243:$H$245</definedName>
    <definedName name="OSRRefH22_17x_0" localSheetId="50">'301'!$H$76</definedName>
    <definedName name="OSRRefH22_17x_0" localSheetId="66">'310'!$H$82</definedName>
    <definedName name="OSRRefH22_17x_0" localSheetId="74">'310 &amp; 491'!$H$91:$H$92</definedName>
    <definedName name="OSRRefH22_17x_0" localSheetId="60">'326'!$H$109</definedName>
    <definedName name="OSRRefH22_17x_0" localSheetId="58">'331'!$H$141:$H$146</definedName>
    <definedName name="OSRRefH22_17x_0" localSheetId="76">'405'!$H$78</definedName>
    <definedName name="OSRRefH22_17x_0" localSheetId="78">'411'!$H$79:$H$81</definedName>
    <definedName name="OSRRefH22_17x_0" localSheetId="82">'415'!$H$83</definedName>
    <definedName name="OSRRefH22_17x_0" localSheetId="93">'444'!$H$84</definedName>
    <definedName name="OSRRefH22_17x_0" localSheetId="94">'450'!$H$79</definedName>
    <definedName name="OSRRefH22_17x_0" localSheetId="75">'491'!$H$85:$H$89</definedName>
    <definedName name="OSRRefH22_17x_0" localSheetId="89">'492'!$H$87</definedName>
    <definedName name="OSRRefH22_17x_0" localSheetId="39">'Div 2'!$H$81:$H$82</definedName>
    <definedName name="OSRRefH22_17x_0" localSheetId="47">'Div 3'!$H$220:$H$223</definedName>
    <definedName name="OSRRefH22_17x_0" localSheetId="73">'Div 4'!$H$85:$H$86</definedName>
    <definedName name="OSRRefH22_17x_0" localSheetId="2">Summary!$H$254</definedName>
    <definedName name="OSRRefH22_18x_0" localSheetId="48">'300'!$H$222:$H$225</definedName>
    <definedName name="OSRRefH22_18x_0" localSheetId="49">'300 &amp; 317'!$H$247:$H$250</definedName>
    <definedName name="OSRRefH22_18x_0" localSheetId="50">'301'!$H$78:$H$83</definedName>
    <definedName name="OSRRefH22_18x_0" localSheetId="66">'310'!$H$84:$H$90</definedName>
    <definedName name="OSRRefH22_18x_0" localSheetId="74">'310 &amp; 491'!$H$94:$H$98</definedName>
    <definedName name="OSRRefH22_18x_0" localSheetId="60">'326'!$H$111</definedName>
    <definedName name="OSRRefH22_18x_0" localSheetId="58">'331'!$H$148</definedName>
    <definedName name="OSRRefH22_18x_0" localSheetId="78">'411'!$H$83</definedName>
    <definedName name="OSRRefH22_18x_0" localSheetId="75">'491'!$H$91</definedName>
    <definedName name="OSRRefH22_18x_0" localSheetId="89">'492'!$H$89</definedName>
    <definedName name="OSRRefH22_18x_0" localSheetId="39">'Div 2'!$H$84</definedName>
    <definedName name="OSRRefH22_18x_0" localSheetId="47">'Div 3'!$H$225:$H$227</definedName>
    <definedName name="OSRRefH22_18x_0" localSheetId="73">'Div 4'!$H$88:$H$92</definedName>
    <definedName name="OSRRefH22_18x_0" localSheetId="2">Summary!$H$256:$H$259</definedName>
    <definedName name="OSRRefH22_19x_0" localSheetId="48">'300'!$H$227:$H$228</definedName>
    <definedName name="OSRRefH22_19x_0" localSheetId="49">'300 &amp; 317'!$H$252:$H$253</definedName>
    <definedName name="OSRRefH22_19x_0" localSheetId="50">'301'!$H$85</definedName>
    <definedName name="OSRRefH22_19x_0" localSheetId="66">'310'!$H$92</definedName>
    <definedName name="OSRRefH22_19x_0" localSheetId="74">'310 &amp; 491'!$H$100</definedName>
    <definedName name="OSRRefH22_19x_0" localSheetId="58">'331'!$H$150</definedName>
    <definedName name="OSRRefH22_19x_0" localSheetId="75">'491'!$H$93:$H$101</definedName>
    <definedName name="OSRRefH22_19x_0" localSheetId="39">'Div 2'!$H$86:$H$87</definedName>
    <definedName name="OSRRefH22_19x_0" localSheetId="47">'Div 3'!$H$229:$H$233</definedName>
    <definedName name="OSRRefH22_19x_0" localSheetId="73">'Div 4'!$H$94:$H$95</definedName>
    <definedName name="OSRRefH22_19x_0" localSheetId="2">Summary!$H$261:$H$263</definedName>
    <definedName name="OSRRefH22_1x_0" localSheetId="40">'200'!$H$22</definedName>
    <definedName name="OSRRefH22_1x_0" localSheetId="41">'201'!$H$29:$H$31</definedName>
    <definedName name="OSRRefH22_1x_0" localSheetId="42">'202'!$H$29:$H$32</definedName>
    <definedName name="OSRRefH22_1x_0" localSheetId="43">'203'!$H$31:$H$34</definedName>
    <definedName name="OSRRefH22_1x_0" localSheetId="44">'204'!$H$30:$H$34</definedName>
    <definedName name="OSRRefH22_1x_0" localSheetId="45">'205'!$H$29</definedName>
    <definedName name="OSRRefH22_1x_0" localSheetId="46">'206'!$H$28:$H$31</definedName>
    <definedName name="OSRRefH22_1x_0" localSheetId="48">'300'!$H$173:$H$179</definedName>
    <definedName name="OSRRefH22_1x_0" localSheetId="49">'300 &amp; 317'!$H$198:$H$204</definedName>
    <definedName name="OSRRefH22_1x_0" localSheetId="50">'301'!$H$30:$H$36</definedName>
    <definedName name="OSRRefH22_1x_0" localSheetId="51">'306'!$H$30:$H$35</definedName>
    <definedName name="OSRRefH22_1x_0" localSheetId="53">'307'!$H$78:$H$81</definedName>
    <definedName name="OSRRefH22_1x_0" localSheetId="55">'308'!$H$73:$H$78</definedName>
    <definedName name="OSRRefH22_1x_0" localSheetId="67">'309'!$H$33:$H$37</definedName>
    <definedName name="OSRRefH22_1x_0" localSheetId="66">'310'!$H$39:$H$44</definedName>
    <definedName name="OSRRefH22_1x_0" localSheetId="74">'310 &amp; 491'!$H$47:$H$53</definedName>
    <definedName name="OSRRefH22_1x_0" localSheetId="56">'311'!$H$72:$H$77</definedName>
    <definedName name="OSRRefH22_1x_0" localSheetId="68">'313'!$H$36:$H$40</definedName>
    <definedName name="OSRRefH22_1x_0" localSheetId="54">'314'!$H$63:$H$65</definedName>
    <definedName name="OSRRefH22_1x_0" localSheetId="59">'315'!$H$90:$H$95</definedName>
    <definedName name="OSRRefH22_1x_0" localSheetId="62">'316'!$H$41:$H$43</definedName>
    <definedName name="OSRRefH22_1x_0" localSheetId="65">'317'!$H$68:$H$72</definedName>
    <definedName name="OSRRefH22_1x_0" localSheetId="63">'320'!$H$36:$H$38</definedName>
    <definedName name="OSRRefH22_1x_0" localSheetId="69">'321'!$H$33:$H$37</definedName>
    <definedName name="OSRRefH22_1x_0" localSheetId="70">'322'!$H$33:$H$36</definedName>
    <definedName name="OSRRefH22_1x_0" localSheetId="71">'325'!$H$33:$H$37</definedName>
    <definedName name="OSRRefH22_1x_0" localSheetId="60">'326'!$H$67:$H$71</definedName>
    <definedName name="OSRRefH22_1x_0" localSheetId="72">'327'!$H$24</definedName>
    <definedName name="OSRRefH22_1x_0" localSheetId="52">'330'!$H$87:$H$91</definedName>
    <definedName name="OSRRefH22_1x_0" localSheetId="58">'331'!$H$97:$H$102</definedName>
    <definedName name="OSRRefH22_1x_0" localSheetId="61">'332'!$H$49:$H$52</definedName>
    <definedName name="OSRRefH22_1x_0" localSheetId="76">'405'!$H$33:$H$36</definedName>
    <definedName name="OSRRefH22_1x_0" localSheetId="77">'406'!$H$33:$H$37</definedName>
    <definedName name="OSRRefH22_1x_0" localSheetId="78">'411'!$H$30:$H$35</definedName>
    <definedName name="OSRRefH22_1x_0" localSheetId="79">'412'!$H$32:$H$37</definedName>
    <definedName name="OSRRefH22_1x_0" localSheetId="80">'413'!$H$33:$H$36</definedName>
    <definedName name="OSRRefH22_1x_0" localSheetId="81">'414'!$H$32:$H$35</definedName>
    <definedName name="OSRRefH22_1x_0" localSheetId="82">'415'!$H$33:$H$37</definedName>
    <definedName name="OSRRefH22_1x_0" localSheetId="83">'418'!$H$33:$H$38</definedName>
    <definedName name="OSRRefH22_1x_0" localSheetId="84">'420'!$H$30:$H$33</definedName>
    <definedName name="OSRRefH22_1x_0" localSheetId="85">'423'!$H$30</definedName>
    <definedName name="OSRRefH22_1x_0" localSheetId="86">'424'!$H$26:$H$29</definedName>
    <definedName name="OSRRefH22_1x_0" localSheetId="87">'425'!$H$33:$H$37</definedName>
    <definedName name="OSRRefH22_1x_0" localSheetId="90">'430'!$H$29</definedName>
    <definedName name="OSRRefH22_1x_0" localSheetId="91">'433'!$H$35:$H$40</definedName>
    <definedName name="OSRRefH22_1x_0" localSheetId="92">'435'!$H$29:$H$30</definedName>
    <definedName name="OSRRefH22_1x_0" localSheetId="93">'444'!$H$35:$H$40</definedName>
    <definedName name="OSRRefH22_1x_0" localSheetId="94">'450'!$H$35:$H$40</definedName>
    <definedName name="OSRRefH22_1x_0" localSheetId="88">'455'!$H$28:$H$29</definedName>
    <definedName name="OSRRefH22_1x_0" localSheetId="75">'491'!$H$41:$H$47</definedName>
    <definedName name="OSRRefH22_1x_0" localSheetId="89">'492'!$H$37:$H$43</definedName>
    <definedName name="OSRRefH22_1x_0" localSheetId="96">'501'!$H$31:$H$35</definedName>
    <definedName name="OSRRefH22_1x_0" localSheetId="39">'Div 2'!$H$32:$H$38</definedName>
    <definedName name="OSRRefH22_1x_0" localSheetId="47">'Div 3'!$H$178:$H$184</definedName>
    <definedName name="OSRRefH22_1x_0" localSheetId="73">'Div 4'!$H$42:$H$48</definedName>
    <definedName name="OSRRefH22_1x_0" localSheetId="95">'Div 5'!$H$31:$H$35</definedName>
    <definedName name="OSRRefH22_1x_0" localSheetId="64">'Div 6'!$H$68:$H$72</definedName>
    <definedName name="OSRRefH22_1x_0" localSheetId="2">Summary!$H$210:$H$216</definedName>
    <definedName name="OSRRefH22_20x_0" localSheetId="48">'300'!$H$230:$H$236</definedName>
    <definedName name="OSRRefH22_20x_0" localSheetId="49">'300 &amp; 317'!$H$255:$H$261</definedName>
    <definedName name="OSRRefH22_20x_0" localSheetId="50">'301'!$H$87</definedName>
    <definedName name="OSRRefH22_20x_0" localSheetId="66">'310'!$H$94</definedName>
    <definedName name="OSRRefH22_20x_0" localSheetId="74">'310 &amp; 491'!$H$102:$H$110</definedName>
    <definedName name="OSRRefH22_20x_0" localSheetId="58">'331'!$H$152:$H$153</definedName>
    <definedName name="OSRRefH22_20x_0" localSheetId="75">'491'!$H$103</definedName>
    <definedName name="OSRRefH22_20x_0" localSheetId="47">'Div 3'!$H$235:$H$236</definedName>
    <definedName name="OSRRefH22_20x_0" localSheetId="73">'Div 4'!$H$97:$H$105</definedName>
    <definedName name="OSRRefH22_20x_0" localSheetId="2">Summary!$H$265:$H$269</definedName>
    <definedName name="OSRRefH22_21x_0" localSheetId="48">'300'!$H$238:$H$239</definedName>
    <definedName name="OSRRefH22_21x_0" localSheetId="49">'300 &amp; 317'!$H$263:$H$264</definedName>
    <definedName name="OSRRefH22_21x_0" localSheetId="50">'301'!$H$89:$H$91</definedName>
    <definedName name="OSRRefH22_21x_0" localSheetId="66">'310'!$H$96</definedName>
    <definedName name="OSRRefH22_21x_0" localSheetId="74">'310 &amp; 491'!$H$112</definedName>
    <definedName name="OSRRefH22_21x_0" localSheetId="58">'331'!$H$155</definedName>
    <definedName name="OSRRefH22_21x_0" localSheetId="75">'491'!$H$105</definedName>
    <definedName name="OSRRefH22_21x_0" localSheetId="47">'Div 3'!$H$238:$H$244</definedName>
    <definedName name="OSRRefH22_21x_0" localSheetId="73">'Div 4'!$H$107</definedName>
    <definedName name="OSRRefH22_21x_0" localSheetId="2">Summary!$H$271:$H$272</definedName>
    <definedName name="OSRRefH22_22x_0" localSheetId="48">'300'!$H$241</definedName>
    <definedName name="OSRRefH22_22x_0" localSheetId="49">'300 &amp; 317'!$H$266</definedName>
    <definedName name="OSRRefH22_22x_0" localSheetId="50">'301'!$H$93</definedName>
    <definedName name="OSRRefH22_22x_0" localSheetId="74">'310 &amp; 491'!$H$114</definedName>
    <definedName name="OSRRefH22_22x_0" localSheetId="75">'491'!$H$107:$H$109</definedName>
    <definedName name="OSRRefH22_22x_0" localSheetId="47">'Div 3'!$H$246:$H$247</definedName>
    <definedName name="OSRRefH22_22x_0" localSheetId="73">'Div 4'!$H$109</definedName>
    <definedName name="OSRRefH22_22x_0" localSheetId="2">Summary!$H$274:$H$282</definedName>
    <definedName name="OSRRefH22_23x_0" localSheetId="48">'300'!$H$243:$H$245</definedName>
    <definedName name="OSRRefH22_23x_0" localSheetId="49">'300 &amp; 317'!$H$268:$H$270</definedName>
    <definedName name="OSRRefH22_23x_0" localSheetId="74">'310 &amp; 491'!$H$116:$H$118</definedName>
    <definedName name="OSRRefH22_23x_0" localSheetId="75">'491'!$H$111</definedName>
    <definedName name="OSRRefH22_23x_0" localSheetId="47">'Div 3'!$H$249</definedName>
    <definedName name="OSRRefH22_23x_0" localSheetId="73">'Div 4'!$H$111:$H$113</definedName>
    <definedName name="OSRRefH22_23x_0" localSheetId="2">Summary!$H$284:$H$285</definedName>
    <definedName name="OSRRefH22_24x_0" localSheetId="48">'300'!$H$247</definedName>
    <definedName name="OSRRefH22_24x_0" localSheetId="49">'300 &amp; 317'!$H$272</definedName>
    <definedName name="OSRRefH22_24x_0" localSheetId="74">'310 &amp; 491'!$H$120</definedName>
    <definedName name="OSRRefH22_24x_0" localSheetId="47">'Div 3'!$H$251:$H$253</definedName>
    <definedName name="OSRRefH22_24x_0" localSheetId="73">'Div 4'!$H$115</definedName>
    <definedName name="OSRRefH22_24x_0" localSheetId="2">Summary!$H$287</definedName>
    <definedName name="OSRRefH22_25x_0" localSheetId="47">'Div 3'!$H$255</definedName>
    <definedName name="OSRRefH22_25x_0" localSheetId="2">Summary!$H$289:$H$291</definedName>
    <definedName name="OSRRefH22_26x_0" localSheetId="2">Summary!$H$293</definedName>
    <definedName name="OSRRefH22_2x_0" localSheetId="40">'200'!$H$24</definedName>
    <definedName name="OSRRefH22_2x_0" localSheetId="41">'201'!$H$33</definedName>
    <definedName name="OSRRefH22_2x_0" localSheetId="42">'202'!$H$34</definedName>
    <definedName name="OSRRefH22_2x_0" localSheetId="43">'203'!$H$36</definedName>
    <definedName name="OSRRefH22_2x_0" localSheetId="44">'204'!$H$36</definedName>
    <definedName name="OSRRefH22_2x_0" localSheetId="45">'205'!$H$31</definedName>
    <definedName name="OSRRefH22_2x_0" localSheetId="46">'206'!$H$33</definedName>
    <definedName name="OSRRefH22_2x_0" localSheetId="48">'300'!$H$181</definedName>
    <definedName name="OSRRefH22_2x_0" localSheetId="49">'300 &amp; 317'!$H$206</definedName>
    <definedName name="OSRRefH22_2x_0" localSheetId="50">'301'!$H$38</definedName>
    <definedName name="OSRRefH22_2x_0" localSheetId="51">'306'!$H$37</definedName>
    <definedName name="OSRRefH22_2x_0" localSheetId="53">'307'!$H$83</definedName>
    <definedName name="OSRRefH22_2x_0" localSheetId="55">'308'!$H$80</definedName>
    <definedName name="OSRRefH22_2x_0" localSheetId="67">'309'!$H$39</definedName>
    <definedName name="OSRRefH22_2x_0" localSheetId="66">'310'!$H$46</definedName>
    <definedName name="OSRRefH22_2x_0" localSheetId="74">'310 &amp; 491'!$H$55</definedName>
    <definedName name="OSRRefH22_2x_0" localSheetId="56">'311'!$H$79</definedName>
    <definedName name="OSRRefH22_2x_0" localSheetId="68">'313'!$H$42</definedName>
    <definedName name="OSRRefH22_2x_0" localSheetId="54">'314'!$H$67</definedName>
    <definedName name="OSRRefH22_2x_0" localSheetId="59">'315'!$H$97</definedName>
    <definedName name="OSRRefH22_2x_0" localSheetId="62">'316'!$H$45</definedName>
    <definedName name="OSRRefH22_2x_0" localSheetId="65">'317'!$H$74</definedName>
    <definedName name="OSRRefH22_2x_0" localSheetId="63">'320'!$H$40</definedName>
    <definedName name="OSRRefH22_2x_0" localSheetId="69">'321'!$H$39</definedName>
    <definedName name="OSRRefH22_2x_0" localSheetId="70">'322'!$H$38</definedName>
    <definedName name="OSRRefH22_2x_0" localSheetId="71">'325'!$H$39</definedName>
    <definedName name="OSRRefH22_2x_0" localSheetId="60">'326'!$H$73</definedName>
    <definedName name="OSRRefH22_2x_0" localSheetId="72">'327'!$H$26</definedName>
    <definedName name="OSRRefH22_2x_0" localSheetId="52">'330'!$H$93</definedName>
    <definedName name="OSRRefH22_2x_0" localSheetId="58">'331'!$H$104</definedName>
    <definedName name="OSRRefH22_2x_0" localSheetId="61">'332'!$H$54</definedName>
    <definedName name="OSRRefH22_2x_0" localSheetId="76">'405'!$H$38</definedName>
    <definedName name="OSRRefH22_2x_0" localSheetId="77">'406'!$H$39</definedName>
    <definedName name="OSRRefH22_2x_0" localSheetId="78">'411'!$H$37</definedName>
    <definedName name="OSRRefH22_2x_0" localSheetId="79">'412'!$H$39</definedName>
    <definedName name="OSRRefH22_2x_0" localSheetId="80">'413'!$H$38</definedName>
    <definedName name="OSRRefH22_2x_0" localSheetId="81">'414'!$H$37</definedName>
    <definedName name="OSRRefH22_2x_0" localSheetId="82">'415'!$H$39</definedName>
    <definedName name="OSRRefH22_2x_0" localSheetId="83">'418'!$H$40</definedName>
    <definedName name="OSRRefH22_2x_0" localSheetId="84">'420'!$H$35</definedName>
    <definedName name="OSRRefH22_2x_0" localSheetId="85">'423'!$H$32</definedName>
    <definedName name="OSRRefH22_2x_0" localSheetId="86">'424'!$H$31</definedName>
    <definedName name="OSRRefH22_2x_0" localSheetId="87">'425'!$H$39</definedName>
    <definedName name="OSRRefH22_2x_0" localSheetId="90">'430'!$H$31</definedName>
    <definedName name="OSRRefH22_2x_0" localSheetId="91">'433'!$H$42</definedName>
    <definedName name="OSRRefH22_2x_0" localSheetId="92">'435'!$H$32</definedName>
    <definedName name="OSRRefH22_2x_0" localSheetId="93">'444'!$H$42</definedName>
    <definedName name="OSRRefH22_2x_0" localSheetId="94">'450'!$H$42</definedName>
    <definedName name="OSRRefH22_2x_0" localSheetId="75">'491'!$H$49</definedName>
    <definedName name="OSRRefH22_2x_0" localSheetId="89">'492'!$H$45</definedName>
    <definedName name="OSRRefH22_2x_0" localSheetId="96">'501'!$H$37</definedName>
    <definedName name="OSRRefH22_2x_0" localSheetId="39">'Div 2'!$H$40</definedName>
    <definedName name="OSRRefH22_2x_0" localSheetId="47">'Div 3'!$H$186</definedName>
    <definedName name="OSRRefH22_2x_0" localSheetId="73">'Div 4'!$H$50</definedName>
    <definedName name="OSRRefH22_2x_0" localSheetId="95">'Div 5'!$H$37</definedName>
    <definedName name="OSRRefH22_2x_0" localSheetId="64">'Div 6'!$H$74</definedName>
    <definedName name="OSRRefH22_2x_0" localSheetId="2">Summary!$H$218</definedName>
    <definedName name="OSRRefH22_3x_0" localSheetId="40">'200'!$H$26</definedName>
    <definedName name="OSRRefH22_3x_0" localSheetId="41">'201'!$H$35</definedName>
    <definedName name="OSRRefH22_3x_0" localSheetId="42">'202'!$H$36</definedName>
    <definedName name="OSRRefH22_3x_0" localSheetId="43">'203'!$H$38</definedName>
    <definedName name="OSRRefH22_3x_0" localSheetId="44">'204'!$H$38</definedName>
    <definedName name="OSRRefH22_3x_0" localSheetId="45">'205'!$H$33</definedName>
    <definedName name="OSRRefH22_3x_0" localSheetId="46">'206'!$H$35</definedName>
    <definedName name="OSRRefH22_3x_0" localSheetId="48">'300'!$H$183:$H$184</definedName>
    <definedName name="OSRRefH22_3x_0" localSheetId="49">'300 &amp; 317'!$H$208:$H$209</definedName>
    <definedName name="OSRRefH22_3x_0" localSheetId="50">'301'!$H$40:$H$41</definedName>
    <definedName name="OSRRefH22_3x_0" localSheetId="51">'306'!$H$39</definedName>
    <definedName name="OSRRefH22_3x_0" localSheetId="53">'307'!$H$85</definedName>
    <definedName name="OSRRefH22_3x_0" localSheetId="55">'308'!$H$82:$H$83</definedName>
    <definedName name="OSRRefH22_3x_0" localSheetId="67">'309'!$H$41</definedName>
    <definedName name="OSRRefH22_3x_0" localSheetId="66">'310'!$H$48</definedName>
    <definedName name="OSRRefH22_3x_0" localSheetId="74">'310 &amp; 491'!$H$57</definedName>
    <definedName name="OSRRefH22_3x_0" localSheetId="56">'311'!$H$81:$H$82</definedName>
    <definedName name="OSRRefH22_3x_0" localSheetId="68">'313'!$H$44</definedName>
    <definedName name="OSRRefH22_3x_0" localSheetId="54">'314'!$H$69:$H$70</definedName>
    <definedName name="OSRRefH22_3x_0" localSheetId="59">'315'!$H$99:$H$100</definedName>
    <definedName name="OSRRefH22_3x_0" localSheetId="62">'316'!$H$47</definedName>
    <definedName name="OSRRefH22_3x_0" localSheetId="65">'317'!$H$76</definedName>
    <definedName name="OSRRefH22_3x_0" localSheetId="63">'320'!$H$42</definedName>
    <definedName name="OSRRefH22_3x_0" localSheetId="69">'321'!$H$41</definedName>
    <definedName name="OSRRefH22_3x_0" localSheetId="70">'322'!$H$40</definedName>
    <definedName name="OSRRefH22_3x_0" localSheetId="71">'325'!$H$41</definedName>
    <definedName name="OSRRefH22_3x_0" localSheetId="60">'326'!$H$75</definedName>
    <definedName name="OSRRefH22_3x_0" localSheetId="52">'330'!$H$95</definedName>
    <definedName name="OSRRefH22_3x_0" localSheetId="58">'331'!$H$106</definedName>
    <definedName name="OSRRefH22_3x_0" localSheetId="61">'332'!$H$56</definedName>
    <definedName name="OSRRefH22_3x_0" localSheetId="76">'405'!$H$40</definedName>
    <definedName name="OSRRefH22_3x_0" localSheetId="77">'406'!$H$41</definedName>
    <definedName name="OSRRefH22_3x_0" localSheetId="78">'411'!$H$39</definedName>
    <definedName name="OSRRefH22_3x_0" localSheetId="79">'412'!$H$41</definedName>
    <definedName name="OSRRefH22_3x_0" localSheetId="80">'413'!$H$40</definedName>
    <definedName name="OSRRefH22_3x_0" localSheetId="81">'414'!$H$39</definedName>
    <definedName name="OSRRefH22_3x_0" localSheetId="82">'415'!$H$41</definedName>
    <definedName name="OSRRefH22_3x_0" localSheetId="83">'418'!$H$42</definedName>
    <definedName name="OSRRefH22_3x_0" localSheetId="84">'420'!$H$37</definedName>
    <definedName name="OSRRefH22_3x_0" localSheetId="85">'423'!$H$34</definedName>
    <definedName name="OSRRefH22_3x_0" localSheetId="86">'424'!$H$33</definedName>
    <definedName name="OSRRefH22_3x_0" localSheetId="87">'425'!$H$41</definedName>
    <definedName name="OSRRefH22_3x_0" localSheetId="90">'430'!$H$33</definedName>
    <definedName name="OSRRefH22_3x_0" localSheetId="91">'433'!$H$44</definedName>
    <definedName name="OSRRefH22_3x_0" localSheetId="92">'435'!$H$34</definedName>
    <definedName name="OSRRefH22_3x_0" localSheetId="93">'444'!$H$44</definedName>
    <definedName name="OSRRefH22_3x_0" localSheetId="94">'450'!$H$44</definedName>
    <definedName name="OSRRefH22_3x_0" localSheetId="75">'491'!$H$51</definedName>
    <definedName name="OSRRefH22_3x_0" localSheetId="89">'492'!$H$47</definedName>
    <definedName name="OSRRefH22_3x_0" localSheetId="96">'501'!$H$39</definedName>
    <definedName name="OSRRefH22_3x_0" localSheetId="39">'Div 2'!$H$42</definedName>
    <definedName name="OSRRefH22_3x_0" localSheetId="47">'Div 3'!$H$188:$H$189</definedName>
    <definedName name="OSRRefH22_3x_0" localSheetId="73">'Div 4'!$H$52</definedName>
    <definedName name="OSRRefH22_3x_0" localSheetId="95">'Div 5'!$H$39</definedName>
    <definedName name="OSRRefH22_3x_0" localSheetId="64">'Div 6'!$H$76</definedName>
    <definedName name="OSRRefH22_3x_0" localSheetId="2">Summary!$H$220:$H$221</definedName>
    <definedName name="OSRRefH22_4x_0" localSheetId="40">'200'!$H$28:$H$29</definedName>
    <definedName name="OSRRefH22_4x_0" localSheetId="41">'201'!$H$37</definedName>
    <definedName name="OSRRefH22_4x_0" localSheetId="42">'202'!$H$38:$H$39</definedName>
    <definedName name="OSRRefH22_4x_0" localSheetId="43">'203'!$H$40</definedName>
    <definedName name="OSRRefH22_4x_0" localSheetId="44">'204'!$H$40</definedName>
    <definedName name="OSRRefH22_4x_0" localSheetId="45">'205'!$H$35:$H$36</definedName>
    <definedName name="OSRRefH22_4x_0" localSheetId="46">'206'!$H$37</definedName>
    <definedName name="OSRRefH22_4x_0" localSheetId="48">'300'!$H$186</definedName>
    <definedName name="OSRRefH22_4x_0" localSheetId="49">'300 &amp; 317'!$H$211</definedName>
    <definedName name="OSRRefH22_4x_0" localSheetId="50">'301'!$H$43</definedName>
    <definedName name="OSRRefH22_4x_0" localSheetId="51">'306'!$H$41</definedName>
    <definedName name="OSRRefH22_4x_0" localSheetId="53">'307'!$H$87:$H$88</definedName>
    <definedName name="OSRRefH22_4x_0" localSheetId="55">'308'!$H$85</definedName>
    <definedName name="OSRRefH22_4x_0" localSheetId="67">'309'!$H$43</definedName>
    <definedName name="OSRRefH22_4x_0" localSheetId="66">'310'!$H$50</definedName>
    <definedName name="OSRRefH22_4x_0" localSheetId="74">'310 &amp; 491'!$H$59</definedName>
    <definedName name="OSRRefH22_4x_0" localSheetId="56">'311'!$H$84</definedName>
    <definedName name="OSRRefH22_4x_0" localSheetId="68">'313'!$H$46</definedName>
    <definedName name="OSRRefH22_4x_0" localSheetId="54">'314'!$H$72</definedName>
    <definedName name="OSRRefH22_4x_0" localSheetId="59">'315'!$H$102</definedName>
    <definedName name="OSRRefH22_4x_0" localSheetId="62">'316'!$H$49</definedName>
    <definedName name="OSRRefH22_4x_0" localSheetId="65">'317'!$H$78</definedName>
    <definedName name="OSRRefH22_4x_0" localSheetId="63">'320'!$H$44:$H$45</definedName>
    <definedName name="OSRRefH22_4x_0" localSheetId="69">'321'!$H$43</definedName>
    <definedName name="OSRRefH22_4x_0" localSheetId="70">'322'!$H$42</definedName>
    <definedName name="OSRRefH22_4x_0" localSheetId="71">'325'!$H$43</definedName>
    <definedName name="OSRRefH22_4x_0" localSheetId="60">'326'!$H$77</definedName>
    <definedName name="OSRRefH22_4x_0" localSheetId="52">'330'!$H$97:$H$98</definedName>
    <definedName name="OSRRefH22_4x_0" localSheetId="58">'331'!$H$108</definedName>
    <definedName name="OSRRefH22_4x_0" localSheetId="61">'332'!$H$58</definedName>
    <definedName name="OSRRefH22_4x_0" localSheetId="76">'405'!$H$42</definedName>
    <definedName name="OSRRefH22_4x_0" localSheetId="77">'406'!$H$43</definedName>
    <definedName name="OSRRefH22_4x_0" localSheetId="78">'411'!$H$41:$H$43</definedName>
    <definedName name="OSRRefH22_4x_0" localSheetId="79">'412'!$H$43</definedName>
    <definedName name="OSRRefH22_4x_0" localSheetId="80">'413'!$H$42</definedName>
    <definedName name="OSRRefH22_4x_0" localSheetId="81">'414'!$H$41</definedName>
    <definedName name="OSRRefH22_4x_0" localSheetId="82">'415'!$H$43</definedName>
    <definedName name="OSRRefH22_4x_0" localSheetId="83">'418'!$H$44</definedName>
    <definedName name="OSRRefH22_4x_0" localSheetId="84">'420'!$H$39</definedName>
    <definedName name="OSRRefH22_4x_0" localSheetId="85">'423'!$H$36</definedName>
    <definedName name="OSRRefH22_4x_0" localSheetId="86">'424'!$H$35</definedName>
    <definedName name="OSRRefH22_4x_0" localSheetId="87">'425'!$H$43</definedName>
    <definedName name="OSRRefH22_4x_0" localSheetId="90">'430'!$H$35:$H$36</definedName>
    <definedName name="OSRRefH22_4x_0" localSheetId="91">'433'!$H$46</definedName>
    <definedName name="OSRRefH22_4x_0" localSheetId="92">'435'!$H$36</definedName>
    <definedName name="OSRRefH22_4x_0" localSheetId="93">'444'!$H$46</definedName>
    <definedName name="OSRRefH22_4x_0" localSheetId="94">'450'!$H$46</definedName>
    <definedName name="OSRRefH22_4x_0" localSheetId="75">'491'!$H$53</definedName>
    <definedName name="OSRRefH22_4x_0" localSheetId="89">'492'!$H$49</definedName>
    <definedName name="OSRRefH22_4x_0" localSheetId="96">'501'!$H$41</definedName>
    <definedName name="OSRRefH22_4x_0" localSheetId="39">'Div 2'!$H$44</definedName>
    <definedName name="OSRRefH22_4x_0" localSheetId="47">'Div 3'!$H$191</definedName>
    <definedName name="OSRRefH22_4x_0" localSheetId="73">'Div 4'!$H$54</definedName>
    <definedName name="OSRRefH22_4x_0" localSheetId="95">'Div 5'!$H$41</definedName>
    <definedName name="OSRRefH22_4x_0" localSheetId="64">'Div 6'!$H$78</definedName>
    <definedName name="OSRRefH22_4x_0" localSheetId="2">Summary!$H$223</definedName>
    <definedName name="OSRRefH22_5x_0" localSheetId="41">'201'!$H$39</definedName>
    <definedName name="OSRRefH22_5x_0" localSheetId="42">'202'!$H$41</definedName>
    <definedName name="OSRRefH22_5x_0" localSheetId="43">'203'!$H$42</definedName>
    <definedName name="OSRRefH22_5x_0" localSheetId="44">'204'!$H$42</definedName>
    <definedName name="OSRRefH22_5x_0" localSheetId="45">'205'!$H$38</definedName>
    <definedName name="OSRRefH22_5x_0" localSheetId="46">'206'!$H$39:$H$40</definedName>
    <definedName name="OSRRefH22_5x_0" localSheetId="48">'300'!$H$188:$H$189</definedName>
    <definedName name="OSRRefH22_5x_0" localSheetId="49">'300 &amp; 317'!$H$213:$H$214</definedName>
    <definedName name="OSRRefH22_5x_0" localSheetId="50">'301'!$H$45:$H$46</definedName>
    <definedName name="OSRRefH22_5x_0" localSheetId="51">'306'!$H$43</definedName>
    <definedName name="OSRRefH22_5x_0" localSheetId="53">'307'!$H$90</definedName>
    <definedName name="OSRRefH22_5x_0" localSheetId="55">'308'!$H$87</definedName>
    <definedName name="OSRRefH22_5x_0" localSheetId="67">'309'!$H$45</definedName>
    <definedName name="OSRRefH22_5x_0" localSheetId="66">'310'!$H$52:$H$53</definedName>
    <definedName name="OSRRefH22_5x_0" localSheetId="74">'310 &amp; 491'!$H$61:$H$63</definedName>
    <definedName name="OSRRefH22_5x_0" localSheetId="56">'311'!$H$86</definedName>
    <definedName name="OSRRefH22_5x_0" localSheetId="68">'313'!$H$48</definedName>
    <definedName name="OSRRefH22_5x_0" localSheetId="54">'314'!$H$74</definedName>
    <definedName name="OSRRefH22_5x_0" localSheetId="59">'315'!$H$104:$H$105</definedName>
    <definedName name="OSRRefH22_5x_0" localSheetId="62">'316'!$H$51:$H$52</definedName>
    <definedName name="OSRRefH22_5x_0" localSheetId="65">'317'!$H$80:$H$81</definedName>
    <definedName name="OSRRefH22_5x_0" localSheetId="63">'320'!$H$47</definedName>
    <definedName name="OSRRefH22_5x_0" localSheetId="69">'321'!$H$45</definedName>
    <definedName name="OSRRefH22_5x_0" localSheetId="70">'322'!$H$44</definedName>
    <definedName name="OSRRefH22_5x_0" localSheetId="71">'325'!$H$45:$H$46</definedName>
    <definedName name="OSRRefH22_5x_0" localSheetId="60">'326'!$H$79</definedName>
    <definedName name="OSRRefH22_5x_0" localSheetId="52">'330'!$H$100</definedName>
    <definedName name="OSRRefH22_5x_0" localSheetId="58">'331'!$H$110:$H$111</definedName>
    <definedName name="OSRRefH22_5x_0" localSheetId="61">'332'!$H$60</definedName>
    <definedName name="OSRRefH22_5x_0" localSheetId="76">'405'!$H$44:$H$45</definedName>
    <definedName name="OSRRefH22_5x_0" localSheetId="77">'406'!$H$45</definedName>
    <definedName name="OSRRefH22_5x_0" localSheetId="78">'411'!$H$45</definedName>
    <definedName name="OSRRefH22_5x_0" localSheetId="79">'412'!$H$45</definedName>
    <definedName name="OSRRefH22_5x_0" localSheetId="80">'413'!$H$44</definedName>
    <definedName name="OSRRefH22_5x_0" localSheetId="81">'414'!$H$43</definedName>
    <definedName name="OSRRefH22_5x_0" localSheetId="82">'415'!$H$45:$H$46</definedName>
    <definedName name="OSRRefH22_5x_0" localSheetId="83">'418'!$H$46:$H$47</definedName>
    <definedName name="OSRRefH22_5x_0" localSheetId="85">'423'!$H$38</definedName>
    <definedName name="OSRRefH22_5x_0" localSheetId="86">'424'!$H$37</definedName>
    <definedName name="OSRRefH22_5x_0" localSheetId="87">'425'!$H$45</definedName>
    <definedName name="OSRRefH22_5x_0" localSheetId="90">'430'!$H$38</definedName>
    <definedName name="OSRRefH22_5x_0" localSheetId="91">'433'!$H$48</definedName>
    <definedName name="OSRRefH22_5x_0" localSheetId="92">'435'!$H$38</definedName>
    <definedName name="OSRRefH22_5x_0" localSheetId="93">'444'!$H$48</definedName>
    <definedName name="OSRRefH22_5x_0" localSheetId="94">'450'!$H$48</definedName>
    <definedName name="OSRRefH22_5x_0" localSheetId="75">'491'!$H$55:$H$57</definedName>
    <definedName name="OSRRefH22_5x_0" localSheetId="89">'492'!$H$51</definedName>
    <definedName name="OSRRefH22_5x_0" localSheetId="96">'501'!$H$43:$H$44</definedName>
    <definedName name="OSRRefH22_5x_0" localSheetId="39">'Div 2'!$H$46</definedName>
    <definedName name="OSRRefH22_5x_0" localSheetId="47">'Div 3'!$H$193:$H$194</definedName>
    <definedName name="OSRRefH22_5x_0" localSheetId="73">'Div 4'!$H$56:$H$58</definedName>
    <definedName name="OSRRefH22_5x_0" localSheetId="95">'Div 5'!$H$43:$H$44</definedName>
    <definedName name="OSRRefH22_5x_0" localSheetId="64">'Div 6'!$H$80:$H$81</definedName>
    <definedName name="OSRRefH22_5x_0" localSheetId="2">Summary!$H$225:$H$227</definedName>
    <definedName name="OSRRefH22_6x_0" localSheetId="41">'201'!$H$41</definedName>
    <definedName name="OSRRefH22_6x_0" localSheetId="42">'202'!$H$43</definedName>
    <definedName name="OSRRefH22_6x_0" localSheetId="43">'203'!$H$44</definedName>
    <definedName name="OSRRefH22_6x_0" localSheetId="44">'204'!$H$44:$H$46</definedName>
    <definedName name="OSRRefH22_6x_0" localSheetId="45">'205'!$H$40:$H$42</definedName>
    <definedName name="OSRRefH22_6x_0" localSheetId="46">'206'!$H$42</definedName>
    <definedName name="OSRRefH22_6x_0" localSheetId="48">'300'!$H$191:$H$192</definedName>
    <definedName name="OSRRefH22_6x_0" localSheetId="49">'300 &amp; 317'!$H$216:$H$217</definedName>
    <definedName name="OSRRefH22_6x_0" localSheetId="50">'301'!$H$48:$H$49</definedName>
    <definedName name="OSRRefH22_6x_0" localSheetId="51">'306'!$H$45:$H$46</definedName>
    <definedName name="OSRRefH22_6x_0" localSheetId="53">'307'!$H$92</definedName>
    <definedName name="OSRRefH22_6x_0" localSheetId="55">'308'!$H$89:$H$90</definedName>
    <definedName name="OSRRefH22_6x_0" localSheetId="67">'309'!$H$47</definedName>
    <definedName name="OSRRefH22_6x_0" localSheetId="66">'310'!$H$55</definedName>
    <definedName name="OSRRefH22_6x_0" localSheetId="74">'310 &amp; 491'!$H$65</definedName>
    <definedName name="OSRRefH22_6x_0" localSheetId="56">'311'!$H$88:$H$89</definedName>
    <definedName name="OSRRefH22_6x_0" localSheetId="68">'313'!$H$50</definedName>
    <definedName name="OSRRefH22_6x_0" localSheetId="54">'314'!$H$76</definedName>
    <definedName name="OSRRefH22_6x_0" localSheetId="59">'315'!$H$107</definedName>
    <definedName name="OSRRefH22_6x_0" localSheetId="62">'316'!$H$54:$H$55</definedName>
    <definedName name="OSRRefH22_6x_0" localSheetId="65">'317'!$H$83</definedName>
    <definedName name="OSRRefH22_6x_0" localSheetId="63">'320'!$H$49</definedName>
    <definedName name="OSRRefH22_6x_0" localSheetId="69">'321'!$H$47:$H$49</definedName>
    <definedName name="OSRRefH22_6x_0" localSheetId="70">'322'!$H$46</definedName>
    <definedName name="OSRRefH22_6x_0" localSheetId="71">'325'!$H$48</definedName>
    <definedName name="OSRRefH22_6x_0" localSheetId="60">'326'!$H$81</definedName>
    <definedName name="OSRRefH22_6x_0" localSheetId="52">'330'!$H$102</definedName>
    <definedName name="OSRRefH22_6x_0" localSheetId="58">'331'!$H$113</definedName>
    <definedName name="OSRRefH22_6x_0" localSheetId="61">'332'!$H$62:$H$63</definedName>
    <definedName name="OSRRefH22_6x_0" localSheetId="76">'405'!$H$47</definedName>
    <definedName name="OSRRefH22_6x_0" localSheetId="77">'406'!$H$47</definedName>
    <definedName name="OSRRefH22_6x_0" localSheetId="78">'411'!$H$47</definedName>
    <definedName name="OSRRefH22_6x_0" localSheetId="79">'412'!$H$47</definedName>
    <definedName name="OSRRefH22_6x_0" localSheetId="80">'413'!$H$46</definedName>
    <definedName name="OSRRefH22_6x_0" localSheetId="81">'414'!$H$45</definedName>
    <definedName name="OSRRefH22_6x_0" localSheetId="82">'415'!$H$48</definedName>
    <definedName name="OSRRefH22_6x_0" localSheetId="83">'418'!$H$49</definedName>
    <definedName name="OSRRefH22_6x_0" localSheetId="86">'424'!$H$39</definedName>
    <definedName name="OSRRefH22_6x_0" localSheetId="87">'425'!$H$47</definedName>
    <definedName name="OSRRefH22_6x_0" localSheetId="90">'430'!$H$40</definedName>
    <definedName name="OSRRefH22_6x_0" localSheetId="91">'433'!$H$50</definedName>
    <definedName name="OSRRefH22_6x_0" localSheetId="92">'435'!$H$40:$H$42</definedName>
    <definedName name="OSRRefH22_6x_0" localSheetId="93">'444'!$H$50</definedName>
    <definedName name="OSRRefH22_6x_0" localSheetId="94">'450'!$H$50</definedName>
    <definedName name="OSRRefH22_6x_0" localSheetId="75">'491'!$H$59</definedName>
    <definedName name="OSRRefH22_6x_0" localSheetId="89">'492'!$H$53</definedName>
    <definedName name="OSRRefH22_6x_0" localSheetId="96">'501'!$H$46</definedName>
    <definedName name="OSRRefH22_6x_0" localSheetId="39">'Div 2'!$H$48</definedName>
    <definedName name="OSRRefH22_6x_0" localSheetId="47">'Div 3'!$H$196:$H$197</definedName>
    <definedName name="OSRRefH22_6x_0" localSheetId="73">'Div 4'!$H$60</definedName>
    <definedName name="OSRRefH22_6x_0" localSheetId="95">'Div 5'!$H$46</definedName>
    <definedName name="OSRRefH22_6x_0" localSheetId="64">'Div 6'!$H$83</definedName>
    <definedName name="OSRRefH22_6x_0" localSheetId="2">Summary!$H$229:$H$230</definedName>
    <definedName name="OSRRefH22_7x_0" localSheetId="41">'201'!$H$43</definedName>
    <definedName name="OSRRefH22_7x_0" localSheetId="42">'202'!$H$45:$H$47</definedName>
    <definedName name="OSRRefH22_7x_0" localSheetId="43">'203'!$H$46</definedName>
    <definedName name="OSRRefH22_7x_0" localSheetId="44">'204'!$H$48</definedName>
    <definedName name="OSRRefH22_7x_0" localSheetId="45">'205'!$H$44</definedName>
    <definedName name="OSRRefH22_7x_0" localSheetId="46">'206'!$H$44</definedName>
    <definedName name="OSRRefH22_7x_0" localSheetId="48">'300'!$H$194</definedName>
    <definedName name="OSRRefH22_7x_0" localSheetId="49">'300 &amp; 317'!$H$219</definedName>
    <definedName name="OSRRefH22_7x_0" localSheetId="50">'301'!$H$51</definedName>
    <definedName name="OSRRefH22_7x_0" localSheetId="51">'306'!$H$48:$H$50</definedName>
    <definedName name="OSRRefH22_7x_0" localSheetId="53">'307'!$H$94:$H$95</definedName>
    <definedName name="OSRRefH22_7x_0" localSheetId="55">'308'!$H$92</definedName>
    <definedName name="OSRRefH22_7x_0" localSheetId="67">'309'!$H$49:$H$50</definedName>
    <definedName name="OSRRefH22_7x_0" localSheetId="66">'310'!$H$57</definedName>
    <definedName name="OSRRefH22_7x_0" localSheetId="74">'310 &amp; 491'!$H$67</definedName>
    <definedName name="OSRRefH22_7x_0" localSheetId="56">'311'!$H$91</definedName>
    <definedName name="OSRRefH22_7x_0" localSheetId="68">'313'!$H$52</definedName>
    <definedName name="OSRRefH22_7x_0" localSheetId="59">'315'!$H$109:$H$110</definedName>
    <definedName name="OSRRefH22_7x_0" localSheetId="62">'316'!$H$57</definedName>
    <definedName name="OSRRefH22_7x_0" localSheetId="65">'317'!$H$85</definedName>
    <definedName name="OSRRefH22_7x_0" localSheetId="63">'320'!$H$51:$H$52</definedName>
    <definedName name="OSRRefH22_7x_0" localSheetId="69">'321'!$H$51</definedName>
    <definedName name="OSRRefH22_7x_0" localSheetId="70">'322'!$H$48</definedName>
    <definedName name="OSRRefH22_7x_0" localSheetId="71">'325'!$H$50</definedName>
    <definedName name="OSRRefH22_7x_0" localSheetId="60">'326'!$H$83</definedName>
    <definedName name="OSRRefH22_7x_0" localSheetId="52">'330'!$H$104</definedName>
    <definedName name="OSRRefH22_7x_0" localSheetId="58">'331'!$H$115:$H$116</definedName>
    <definedName name="OSRRefH22_7x_0" localSheetId="61">'332'!$H$65</definedName>
    <definedName name="OSRRefH22_7x_0" localSheetId="76">'405'!$H$49</definedName>
    <definedName name="OSRRefH22_7x_0" localSheetId="77">'406'!$H$49</definedName>
    <definedName name="OSRRefH22_7x_0" localSheetId="78">'411'!$H$49</definedName>
    <definedName name="OSRRefH22_7x_0" localSheetId="79">'412'!$H$49</definedName>
    <definedName name="OSRRefH22_7x_0" localSheetId="80">'413'!$H$48:$H$50</definedName>
    <definedName name="OSRRefH22_7x_0" localSheetId="81">'414'!$H$47</definedName>
    <definedName name="OSRRefH22_7x_0" localSheetId="82">'415'!$H$50</definedName>
    <definedName name="OSRRefH22_7x_0" localSheetId="83">'418'!$H$51</definedName>
    <definedName name="OSRRefH22_7x_0" localSheetId="86">'424'!$H$41</definedName>
    <definedName name="OSRRefH22_7x_0" localSheetId="87">'425'!$H$49</definedName>
    <definedName name="OSRRefH22_7x_0" localSheetId="90">'430'!$H$42</definedName>
    <definedName name="OSRRefH22_7x_0" localSheetId="91">'433'!$H$52</definedName>
    <definedName name="OSRRefH22_7x_0" localSheetId="92">'435'!$H$44</definedName>
    <definedName name="OSRRefH22_7x_0" localSheetId="93">'444'!$H$52</definedName>
    <definedName name="OSRRefH22_7x_0" localSheetId="94">'450'!$H$52</definedName>
    <definedName name="OSRRefH22_7x_0" localSheetId="75">'491'!$H$61</definedName>
    <definedName name="OSRRefH22_7x_0" localSheetId="89">'492'!$H$55</definedName>
    <definedName name="OSRRefH22_7x_0" localSheetId="96">'501'!$H$48</definedName>
    <definedName name="OSRRefH22_7x_0" localSheetId="39">'Div 2'!$H$50</definedName>
    <definedName name="OSRRefH22_7x_0" localSheetId="47">'Div 3'!$H$199</definedName>
    <definedName name="OSRRefH22_7x_0" localSheetId="73">'Div 4'!$H$62</definedName>
    <definedName name="OSRRefH22_7x_0" localSheetId="95">'Div 5'!$H$48</definedName>
    <definedName name="OSRRefH22_7x_0" localSheetId="64">'Div 6'!$H$85</definedName>
    <definedName name="OSRRefH22_7x_0" localSheetId="2">Summary!$H$232</definedName>
    <definedName name="OSRRefH22_8x_0" localSheetId="41">'201'!$H$45</definedName>
    <definedName name="OSRRefH22_8x_0" localSheetId="42">'202'!$H$49</definedName>
    <definedName name="OSRRefH22_8x_0" localSheetId="43">'203'!$H$48</definedName>
    <definedName name="OSRRefH22_8x_0" localSheetId="44">'204'!$H$50:$H$51</definedName>
    <definedName name="OSRRefH22_8x_0" localSheetId="45">'205'!$H$46</definedName>
    <definedName name="OSRRefH22_8x_0" localSheetId="48">'300'!$H$196</definedName>
    <definedName name="OSRRefH22_8x_0" localSheetId="49">'300 &amp; 317'!$H$221</definedName>
    <definedName name="OSRRefH22_8x_0" localSheetId="50">'301'!$H$53</definedName>
    <definedName name="OSRRefH22_8x_0" localSheetId="51">'306'!$H$52</definedName>
    <definedName name="OSRRefH22_8x_0" localSheetId="53">'307'!$H$97:$H$98</definedName>
    <definedName name="OSRRefH22_8x_0" localSheetId="55">'308'!$H$94</definedName>
    <definedName name="OSRRefH22_8x_0" localSheetId="67">'309'!$H$52:$H$54</definedName>
    <definedName name="OSRRefH22_8x_0" localSheetId="66">'310'!$H$59</definedName>
    <definedName name="OSRRefH22_8x_0" localSheetId="74">'310 &amp; 491'!$H$69</definedName>
    <definedName name="OSRRefH22_8x_0" localSheetId="56">'311'!$H$93</definedName>
    <definedName name="OSRRefH22_8x_0" localSheetId="68">'313'!$H$54:$H$56</definedName>
    <definedName name="OSRRefH22_8x_0" localSheetId="59">'315'!$H$112:$H$113</definedName>
    <definedName name="OSRRefH22_8x_0" localSheetId="62">'316'!$H$59:$H$64</definedName>
    <definedName name="OSRRefH22_8x_0" localSheetId="65">'317'!$H$87</definedName>
    <definedName name="OSRRefH22_8x_0" localSheetId="63">'320'!$H$54</definedName>
    <definedName name="OSRRefH22_8x_0" localSheetId="69">'321'!$H$53:$H$55</definedName>
    <definedName name="OSRRefH22_8x_0" localSheetId="70">'322'!$H$50:$H$51</definedName>
    <definedName name="OSRRefH22_8x_0" localSheetId="71">'325'!$H$52</definedName>
    <definedName name="OSRRefH22_8x_0" localSheetId="60">'326'!$H$85</definedName>
    <definedName name="OSRRefH22_8x_0" localSheetId="52">'330'!$H$106:$H$107</definedName>
    <definedName name="OSRRefH22_8x_0" localSheetId="58">'331'!$H$118</definedName>
    <definedName name="OSRRefH22_8x_0" localSheetId="61">'332'!$H$67</definedName>
    <definedName name="OSRRefH22_8x_0" localSheetId="76">'405'!$H$51</definedName>
    <definedName name="OSRRefH22_8x_0" localSheetId="77">'406'!$H$51:$H$53</definedName>
    <definedName name="OSRRefH22_8x_0" localSheetId="78">'411'!$H$51</definedName>
    <definedName name="OSRRefH22_8x_0" localSheetId="79">'412'!$H$51:$H$52</definedName>
    <definedName name="OSRRefH22_8x_0" localSheetId="80">'413'!$H$52:$H$53</definedName>
    <definedName name="OSRRefH22_8x_0" localSheetId="81">'414'!$H$49</definedName>
    <definedName name="OSRRefH22_8x_0" localSheetId="82">'415'!$H$52</definedName>
    <definedName name="OSRRefH22_8x_0" localSheetId="83">'418'!$H$53:$H$54</definedName>
    <definedName name="OSRRefH22_8x_0" localSheetId="86">'424'!$H$43:$H$44</definedName>
    <definedName name="OSRRefH22_8x_0" localSheetId="87">'425'!$H$51</definedName>
    <definedName name="OSRRefH22_8x_0" localSheetId="91">'433'!$H$54</definedName>
    <definedName name="OSRRefH22_8x_0" localSheetId="93">'444'!$H$54</definedName>
    <definedName name="OSRRefH22_8x_0" localSheetId="94">'450'!$H$54</definedName>
    <definedName name="OSRRefH22_8x_0" localSheetId="75">'491'!$H$63</definedName>
    <definedName name="OSRRefH22_8x_0" localSheetId="89">'492'!$H$57</definedName>
    <definedName name="OSRRefH22_8x_0" localSheetId="96">'501'!$H$50:$H$52</definedName>
    <definedName name="OSRRefH22_8x_0" localSheetId="39">'Div 2'!$H$52</definedName>
    <definedName name="OSRRefH22_8x_0" localSheetId="47">'Div 3'!$H$201</definedName>
    <definedName name="OSRRefH22_8x_0" localSheetId="73">'Div 4'!$H$64</definedName>
    <definedName name="OSRRefH22_8x_0" localSheetId="95">'Div 5'!$H$50:$H$52</definedName>
    <definedName name="OSRRefH22_8x_0" localSheetId="64">'Div 6'!$H$87</definedName>
    <definedName name="OSRRefH22_8x_0" localSheetId="2">Summary!$H$234</definedName>
    <definedName name="OSRRefH22_9x_0" localSheetId="41">'201'!$H$47:$H$49</definedName>
    <definedName name="OSRRefH22_9x_0" localSheetId="42">'202'!$H$51</definedName>
    <definedName name="OSRRefH22_9x_0" localSheetId="43">'203'!$H$50:$H$51</definedName>
    <definedName name="OSRRefH22_9x_0" localSheetId="44">'204'!$H$53</definedName>
    <definedName name="OSRRefH22_9x_0" localSheetId="48">'300'!$H$198</definedName>
    <definedName name="OSRRefH22_9x_0" localSheetId="49">'300 &amp; 317'!$H$223</definedName>
    <definedName name="OSRRefH22_9x_0" localSheetId="50">'301'!$H$55</definedName>
    <definedName name="OSRRefH22_9x_0" localSheetId="51">'306'!$H$54</definedName>
    <definedName name="OSRRefH22_9x_0" localSheetId="53">'307'!$H$100:$H$102</definedName>
    <definedName name="OSRRefH22_9x_0" localSheetId="55">'308'!$H$96:$H$97</definedName>
    <definedName name="OSRRefH22_9x_0" localSheetId="67">'309'!$H$56:$H$58</definedName>
    <definedName name="OSRRefH22_9x_0" localSheetId="66">'310'!$H$61</definedName>
    <definedName name="OSRRefH22_9x_0" localSheetId="74">'310 &amp; 491'!$H$71</definedName>
    <definedName name="OSRRefH22_9x_0" localSheetId="56">'311'!$H$95:$H$96</definedName>
    <definedName name="OSRRefH22_9x_0" localSheetId="68">'313'!$H$58</definedName>
    <definedName name="OSRRefH22_9x_0" localSheetId="59">'315'!$H$115:$H$119</definedName>
    <definedName name="OSRRefH22_9x_0" localSheetId="62">'316'!$H$66</definedName>
    <definedName name="OSRRefH22_9x_0" localSheetId="65">'317'!$H$89:$H$91</definedName>
    <definedName name="OSRRefH22_9x_0" localSheetId="69">'321'!$H$57:$H$60</definedName>
    <definedName name="OSRRefH22_9x_0" localSheetId="70">'322'!$H$53:$H$55</definedName>
    <definedName name="OSRRefH22_9x_0" localSheetId="71">'325'!$H$54</definedName>
    <definedName name="OSRRefH22_9x_0" localSheetId="60">'326'!$H$87</definedName>
    <definedName name="OSRRefH22_9x_0" localSheetId="52">'330'!$H$109:$H$110</definedName>
    <definedName name="OSRRefH22_9x_0" localSheetId="58">'331'!$H$120</definedName>
    <definedName name="OSRRefH22_9x_0" localSheetId="61">'332'!$H$69:$H$70</definedName>
    <definedName name="OSRRefH22_9x_0" localSheetId="76">'405'!$H$53</definedName>
    <definedName name="OSRRefH22_9x_0" localSheetId="77">'406'!$H$55</definedName>
    <definedName name="OSRRefH22_9x_0" localSheetId="78">'411'!$H$53</definedName>
    <definedName name="OSRRefH22_9x_0" localSheetId="79">'412'!$H$54:$H$55</definedName>
    <definedName name="OSRRefH22_9x_0" localSheetId="80">'413'!$H$55:$H$59</definedName>
    <definedName name="OSRRefH22_9x_0" localSheetId="81">'414'!$H$51:$H$52</definedName>
    <definedName name="OSRRefH22_9x_0" localSheetId="82">'415'!$H$54</definedName>
    <definedName name="OSRRefH22_9x_0" localSheetId="83">'418'!$H$56:$H$58</definedName>
    <definedName name="OSRRefH22_9x_0" localSheetId="86">'424'!$H$46</definedName>
    <definedName name="OSRRefH22_9x_0" localSheetId="87">'425'!$H$53:$H$55</definedName>
    <definedName name="OSRRefH22_9x_0" localSheetId="91">'433'!$H$56</definedName>
    <definedName name="OSRRefH22_9x_0" localSheetId="93">'444'!$H$56</definedName>
    <definedName name="OSRRefH22_9x_0" localSheetId="94">'450'!$H$56</definedName>
    <definedName name="OSRRefH22_9x_0" localSheetId="75">'491'!$H$65</definedName>
    <definedName name="OSRRefH22_9x_0" localSheetId="89">'492'!$H$59</definedName>
    <definedName name="OSRRefH22_9x_0" localSheetId="96">'501'!$H$54:$H$56</definedName>
    <definedName name="OSRRefH22_9x_0" localSheetId="39">'Div 2'!$H$54:$H$55</definedName>
    <definedName name="OSRRefH22_9x_0" localSheetId="47">'Div 3'!$H$203</definedName>
    <definedName name="OSRRefH22_9x_0" localSheetId="73">'Div 4'!$H$66</definedName>
    <definedName name="OSRRefH22_9x_0" localSheetId="95">'Div 5'!$H$54:$H$56</definedName>
    <definedName name="OSRRefH22_9x_0" localSheetId="64">'Div 6'!$H$89:$H$91</definedName>
    <definedName name="OSRRefH22_9x_0" localSheetId="2">Summary!$H$236</definedName>
    <definedName name="OSRRefH22x_0" localSheetId="40">'200'!$H$20,'200'!$H$22,'200'!$H$24,'200'!$H$26,'200'!$H$28:$H$29</definedName>
    <definedName name="OSRRefH22x_0" localSheetId="41">'201'!$H$20:$H$27,'201'!$H$29:$H$31,'201'!$H$33,'201'!$H$35,'201'!$H$37,'201'!$H$39,'201'!$H$41,'201'!$H$43,'201'!$H$45,'201'!$H$47:$H$49,'201'!$H$51:$H$53,'201'!$H$55,'201'!$H$57:$H$60,'201'!$H$62,'201'!$H$64,'201'!$H$66</definedName>
    <definedName name="OSRRefH22x_0" localSheetId="42">'202'!$H$20:$H$27,'202'!$H$29:$H$32,'202'!$H$34,'202'!$H$36,'202'!$H$38:$H$39,'202'!$H$41,'202'!$H$43,'202'!$H$45:$H$47,'202'!$H$49,'202'!$H$51,'202'!$H$53:$H$55,'202'!$H$57,'202'!$H$59,'202'!$H$61</definedName>
    <definedName name="OSRRefH22x_0" localSheetId="43">'203'!$H$20:$H$29,'203'!$H$31:$H$34,'203'!$H$36,'203'!$H$38,'203'!$H$40,'203'!$H$42,'203'!$H$44,'203'!$H$46,'203'!$H$48,'203'!$H$50:$H$51,'203'!$H$53:$H$54,'203'!$H$56,'203'!$H$58:$H$61,'203'!$H$63,'203'!$H$65,'203'!$H$67</definedName>
    <definedName name="OSRRefH22x_0" localSheetId="44">'204'!$H$20:$H$28,'204'!$H$30:$H$34,'204'!$H$36,'204'!$H$38,'204'!$H$40,'204'!$H$42,'204'!$H$44:$H$46,'204'!$H$48,'204'!$H$50:$H$51,'204'!$H$53,'204'!$H$55:$H$56</definedName>
    <definedName name="OSRRefH22x_0" localSheetId="45">'205'!$H$20:$H$27,'205'!$H$29,'205'!$H$31,'205'!$H$33,'205'!$H$35:$H$36,'205'!$H$38,'205'!$H$40:$H$42,'205'!$H$44,'205'!$H$46</definedName>
    <definedName name="OSRRefH22x_0" localSheetId="46">'206'!$H$20:$H$26,'206'!$H$28:$H$31,'206'!$H$33,'206'!$H$35,'206'!$H$37,'206'!$H$39:$H$40,'206'!$H$42,'206'!$H$44</definedName>
    <definedName name="OSRRefH22x_0" localSheetId="48">'300'!$H$162:$H$171,'300'!$H$173:$H$179,'300'!$H$181,'300'!$H$183:$H$184,'300'!$H$186,'300'!$H$188:$H$189,'300'!$H$191:$H$192,'300'!$H$194,'300'!$H$196,'300'!$H$198,'300'!$H$200:$H$201,'300'!$H$203,'300'!$H$205,'300'!$H$207,'300'!$H$209,'300'!$H$211,'300'!$H$213:$H$216,'300'!$H$218:$H$220,'300'!$H$222:$H$225,'300'!$H$227:$H$228,'300'!$H$230:$H$236,'300'!$H$238:$H$239,'300'!$H$241,'300'!$H$243:$H$245,'300'!$H$247</definedName>
    <definedName name="OSRRefH22x_0" localSheetId="49">'300 &amp; 317'!$H$187:$H$196,'300 &amp; 317'!$H$198:$H$204,'300 &amp; 317'!$H$206,'300 &amp; 317'!$H$208:$H$209,'300 &amp; 317'!$H$211,'300 &amp; 317'!$H$213:$H$214,'300 &amp; 317'!$H$216:$H$217,'300 &amp; 317'!$H$219,'300 &amp; 317'!$H$221,'300 &amp; 317'!$H$223,'300 &amp; 317'!$H$225:$H$226,'300 &amp; 317'!$H$228,'300 &amp; 317'!$H$230,'300 &amp; 317'!$H$232,'300 &amp; 317'!$H$234,'300 &amp; 317'!$H$236,'300 &amp; 317'!$H$238:$H$241,'300 &amp; 317'!$H$243:$H$245,'300 &amp; 317'!$H$247:$H$250,'300 &amp; 317'!$H$252:$H$253,'300 &amp; 317'!$H$255:$H$261,'300 &amp; 317'!$H$263:$H$264,'300 &amp; 317'!$H$266,'300 &amp; 317'!$H$268:$H$270,'300 &amp; 317'!$H$272</definedName>
    <definedName name="OSRRefH22x_0" localSheetId="50">'301'!$H$20:$H$28,'301'!$H$30:$H$36,'301'!$H$38,'301'!$H$40:$H$41,'301'!$H$43,'301'!$H$45:$H$46,'301'!$H$48:$H$49,'301'!$H$51,'301'!$H$53,'301'!$H$55,'301'!$H$57,'301'!$H$59,'301'!$H$61,'301'!$H$63,'301'!$H$65,'301'!$H$67:$H$70,'301'!$H$72:$H$74,'301'!$H$76,'301'!$H$78:$H$83,'301'!$H$85,'301'!$H$87,'301'!$H$89:$H$91,'301'!$H$93</definedName>
    <definedName name="OSRRefH22x_0" localSheetId="51">'306'!$H$20:$H$28,'306'!$H$30:$H$35,'306'!$H$37,'306'!$H$39,'306'!$H$41,'306'!$H$43,'306'!$H$45:$H$46,'306'!$H$48:$H$50,'306'!$H$52,'306'!$H$54</definedName>
    <definedName name="OSRRefH22x_0" localSheetId="53">'307'!$H$69:$H$76,'307'!$H$78:$H$81,'307'!$H$83,'307'!$H$85,'307'!$H$87:$H$88,'307'!$H$90,'307'!$H$92,'307'!$H$94:$H$95,'307'!$H$97:$H$98,'307'!$H$100:$H$102,'307'!$H$104,'307'!$H$106</definedName>
    <definedName name="OSRRefH22x_0" localSheetId="55">'308'!$H$63:$H$71,'308'!$H$73:$H$78,'308'!$H$80,'308'!$H$82:$H$83,'308'!$H$85,'308'!$H$87,'308'!$H$89:$H$90,'308'!$H$92,'308'!$H$94,'308'!$H$96:$H$97,'308'!$H$99,'308'!$H$101:$H$103,'308'!$H$105:$H$106,'308'!$H$108,'308'!$H$110</definedName>
    <definedName name="OSRRefH22x_0" localSheetId="67">'309'!$H$24:$H$31,'309'!$H$33:$H$37,'309'!$H$39,'309'!$H$41,'309'!$H$43,'309'!$H$45,'309'!$H$47,'309'!$H$49:$H$50,'309'!$H$52:$H$54,'309'!$H$56:$H$58,'309'!$H$60</definedName>
    <definedName name="OSRRefH22x_0" localSheetId="66">'310'!$H$30:$H$37,'310'!$H$39:$H$44,'310'!$H$46,'310'!$H$48,'310'!$H$50,'310'!$H$52:$H$53,'310'!$H$55,'310'!$H$57,'310'!$H$59,'310'!$H$61,'310'!$H$63,'310'!$H$65,'310'!$H$67,'310'!$H$69,'310'!$H$71:$H$73,'310'!$H$75,'310'!$H$77:$H$80,'310'!$H$82,'310'!$H$84:$H$90,'310'!$H$92,'310'!$H$94,'310'!$H$96</definedName>
    <definedName name="OSRRefH22x_0" localSheetId="74">'310 &amp; 491'!$H$37:$H$45,'310 &amp; 491'!$H$47:$H$53,'310 &amp; 491'!$H$55,'310 &amp; 491'!$H$57,'310 &amp; 491'!$H$59,'310 &amp; 491'!$H$61:$H$63,'310 &amp; 491'!$H$65,'310 &amp; 491'!$H$67,'310 &amp; 491'!$H$69,'310 &amp; 491'!$H$71,'310 &amp; 491'!$H$73:$H$74,'310 &amp; 491'!$H$76:$H$77,'310 &amp; 491'!$H$79,'310 &amp; 491'!$H$81,'310 &amp; 491'!$H$83,'310 &amp; 491'!$H$85,'310 &amp; 491'!$H$87:$H$89,'310 &amp; 491'!$H$91:$H$92,'310 &amp; 491'!$H$94:$H$98,'310 &amp; 491'!$H$100,'310 &amp; 491'!$H$102:$H$110,'310 &amp; 491'!$H$112,'310 &amp; 491'!$H$114,'310 &amp; 491'!$H$116:$H$118,'310 &amp; 491'!$H$120</definedName>
    <definedName name="OSRRefH22x_0" localSheetId="56">'311'!$H$62:$H$70,'311'!$H$72:$H$77,'311'!$H$79,'311'!$H$81:$H$82,'311'!$H$84,'311'!$H$86,'311'!$H$88:$H$89,'311'!$H$91,'311'!$H$93,'311'!$H$95:$H$96,'311'!$H$98,'311'!$H$100:$H$102,'311'!$H$104:$H$105,'311'!$H$107,'311'!$H$109</definedName>
    <definedName name="OSRRefH22x_0" localSheetId="68">'313'!$H$27:$H$34,'313'!$H$36:$H$40,'313'!$H$42,'313'!$H$44,'313'!$H$46,'313'!$H$48,'313'!$H$50,'313'!$H$52,'313'!$H$54:$H$56,'313'!$H$58,'313'!$H$60:$H$64,'313'!$H$66,'313'!$H$68</definedName>
    <definedName name="OSRRefH22x_0" localSheetId="54">'314'!$H$55:$H$61,'314'!$H$63:$H$65,'314'!$H$67,'314'!$H$69:$H$70,'314'!$H$72,'314'!$H$74,'314'!$H$76</definedName>
    <definedName name="OSRRefH22x_0" localSheetId="59">'315'!$H$81:$H$88,'315'!$H$90:$H$95,'315'!$H$97,'315'!$H$99:$H$100,'315'!$H$102,'315'!$H$104:$H$105,'315'!$H$107,'315'!$H$109:$H$110,'315'!$H$112:$H$113,'315'!$H$115:$H$119,'315'!$H$121,'315'!$H$123,'315'!$H$125:$H$126</definedName>
    <definedName name="OSRRefH22x_0" localSheetId="62">'316'!$H$32:$H$39,'316'!$H$41:$H$43,'316'!$H$45,'316'!$H$47,'316'!$H$49,'316'!$H$51:$H$52,'316'!$H$54:$H$55,'316'!$H$57,'316'!$H$59:$H$64,'316'!$H$66,'316'!$H$68,'316'!$H$70</definedName>
    <definedName name="OSRRefH22x_0" localSheetId="65">'317'!$H$58:$H$66,'317'!$H$68:$H$72,'317'!$H$74,'317'!$H$76,'317'!$H$78,'317'!$H$80:$H$81,'317'!$H$83,'317'!$H$85,'317'!$H$87,'317'!$H$89:$H$91,'317'!$H$93,'317'!$H$95,'317'!$H$97</definedName>
    <definedName name="OSRRefH22x_0" localSheetId="63">'320'!$H$28:$H$34,'320'!$H$36:$H$38,'320'!$H$40,'320'!$H$42,'320'!$H$44:$H$45,'320'!$H$47,'320'!$H$49,'320'!$H$51:$H$52,'320'!$H$54</definedName>
    <definedName name="OSRRefH22x_0" localSheetId="69">'321'!$H$24:$H$31,'321'!$H$33:$H$37,'321'!$H$39,'321'!$H$41,'321'!$H$43,'321'!$H$45,'321'!$H$47:$H$49,'321'!$H$51,'321'!$H$53:$H$55,'321'!$H$57:$H$60,'321'!$H$62,'321'!$H$64</definedName>
    <definedName name="OSRRefH22x_0" localSheetId="70">'322'!$H$24:$H$31,'322'!$H$33:$H$36,'322'!$H$38,'322'!$H$40,'322'!$H$42,'322'!$H$44,'322'!$H$46,'322'!$H$48,'322'!$H$50:$H$51,'322'!$H$53:$H$55,'322'!$H$57:$H$61,'322'!$H$63,'322'!$H$65</definedName>
    <definedName name="OSRRefH22x_0" localSheetId="71">'325'!$H$24:$H$31,'325'!$H$33:$H$37,'325'!$H$39,'325'!$H$41,'325'!$H$43,'325'!$H$45:$H$46,'325'!$H$48,'325'!$H$50,'325'!$H$52,'325'!$H$54,'325'!$H$56,'325'!$H$58:$H$60,'325'!$H$62:$H$64,'325'!$H$66,'325'!$H$68:$H$72,'325'!$H$74,'325'!$H$76</definedName>
    <definedName name="OSRRefH22x_0" localSheetId="60">'326'!$H$58:$H$65,'326'!$H$67:$H$71,'326'!$H$73,'326'!$H$75,'326'!$H$77,'326'!$H$79,'326'!$H$81,'326'!$H$83,'326'!$H$85,'326'!$H$87,'326'!$H$89,'326'!$H$91,'326'!$H$93:$H$94,'326'!$H$96:$H$98,'326'!$H$100,'326'!$H$102:$H$105,'326'!$H$107,'326'!$H$109,'326'!$H$111</definedName>
    <definedName name="OSRRefH22x_0" localSheetId="72">'327'!$H$22,'327'!$H$24,'327'!$H$26</definedName>
    <definedName name="OSRRefH22x_0" localSheetId="52">'330'!$H$78:$H$85,'330'!$H$87:$H$91,'330'!$H$93,'330'!$H$95,'330'!$H$97:$H$98,'330'!$H$100,'330'!$H$102,'330'!$H$104,'330'!$H$106:$H$107,'330'!$H$109:$H$110,'330'!$H$112,'330'!$H$114:$H$116,'330'!$H$118,'330'!$H$120</definedName>
    <definedName name="OSRRefH22x_0" localSheetId="58">'331'!$H$88:$H$95,'331'!$H$97:$H$102,'331'!$H$104,'331'!$H$106,'331'!$H$108,'331'!$H$110:$H$111,'331'!$H$113,'331'!$H$115:$H$116,'331'!$H$118,'331'!$H$120,'331'!$H$122,'331'!$H$124,'331'!$H$126,'331'!$H$128:$H$129,'331'!$H$131:$H$132,'331'!$H$134:$H$136,'331'!$H$138:$H$139,'331'!$H$141:$H$146,'331'!$H$148,'331'!$H$150,'331'!$H$152:$H$153,'331'!$H$155</definedName>
    <definedName name="OSRRefH22x_0" localSheetId="61">'332'!$H$40:$H$47,'332'!$H$49:$H$52,'332'!$H$54,'332'!$H$56,'332'!$H$58,'332'!$H$60,'332'!$H$62:$H$63,'332'!$H$65,'332'!$H$67,'332'!$H$69:$H$70,'332'!$H$72,'332'!$H$74:$H$79,'332'!$H$81,'332'!$H$83,'332'!$H$85</definedName>
    <definedName name="OSRRefH22x_0" localSheetId="76">'405'!$H$24:$H$31,'405'!$H$33:$H$36,'405'!$H$38,'405'!$H$40,'405'!$H$42,'405'!$H$44:$H$45,'405'!$H$47,'405'!$H$49,'405'!$H$51,'405'!$H$53,'405'!$H$55:$H$56,'405'!$H$58,'405'!$H$60:$H$62,'405'!$H$64,'405'!$H$66:$H$72,'405'!$H$74,'405'!$H$76,'405'!$H$78</definedName>
    <definedName name="OSRRefH22x_0" localSheetId="77">'406'!$H$24:$H$31,'406'!$H$33:$H$37,'406'!$H$39,'406'!$H$41,'406'!$H$43,'406'!$H$45,'406'!$H$47,'406'!$H$49,'406'!$H$51:$H$53,'406'!$H$55,'406'!$H$57:$H$61,'406'!$H$63,'406'!$H$65</definedName>
    <definedName name="OSRRefH22x_0" localSheetId="78">'411'!$H$20:$H$28,'411'!$H$30:$H$35,'411'!$H$37,'411'!$H$39,'411'!$H$41:$H$43,'411'!$H$45,'411'!$H$47,'411'!$H$49,'411'!$H$51,'411'!$H$53,'411'!$H$55,'411'!$H$57,'411'!$H$59:$H$60,'411'!$H$62:$H$66,'411'!$H$68:$H$73,'411'!$H$75,'411'!$H$77,'411'!$H$79:$H$81,'411'!$H$83</definedName>
    <definedName name="OSRRefH22x_0" localSheetId="79">'412'!$H$23:$H$30,'412'!$H$32:$H$37,'412'!$H$39,'412'!$H$41,'412'!$H$43,'412'!$H$45,'412'!$H$47,'412'!$H$49,'412'!$H$51:$H$52,'412'!$H$54:$H$55,'412'!$H$57:$H$62,'412'!$H$64,'412'!$H$66</definedName>
    <definedName name="OSRRefH22x_0" localSheetId="80">'413'!$H$24:$H$31,'413'!$H$33:$H$36,'413'!$H$38,'413'!$H$40,'413'!$H$42,'413'!$H$44,'413'!$H$46,'413'!$H$48:$H$50,'413'!$H$52:$H$53,'413'!$H$55:$H$59,'413'!$H$61</definedName>
    <definedName name="OSRRefH22x_0" localSheetId="81">'414'!$H$24:$H$30,'414'!$H$32:$H$35,'414'!$H$37,'414'!$H$39,'414'!$H$41,'414'!$H$43,'414'!$H$45,'414'!$H$47,'414'!$H$49,'414'!$H$51:$H$52,'414'!$H$54,'414'!$H$56,'414'!$H$58,'414'!$H$60:$H$66,'414'!$H$68,'414'!$H$70</definedName>
    <definedName name="OSRRefH22x_0" localSheetId="82">'415'!$H$24:$H$31,'415'!$H$33:$H$37,'415'!$H$39,'415'!$H$41,'415'!$H$43,'415'!$H$45:$H$46,'415'!$H$48,'415'!$H$50,'415'!$H$52,'415'!$H$54,'415'!$H$56,'415'!$H$58:$H$60,'415'!$H$62:$H$66,'415'!$H$68,'415'!$H$70:$H$77,'415'!$H$79,'415'!$H$81,'415'!$H$83</definedName>
    <definedName name="OSRRefH22x_0" localSheetId="83">'418'!$H$24:$H$31,'418'!$H$33:$H$38,'418'!$H$40,'418'!$H$42,'418'!$H$44,'418'!$H$46:$H$47,'418'!$H$49,'418'!$H$51,'418'!$H$53:$H$54,'418'!$H$56:$H$58,'418'!$H$60:$H$62,'418'!$H$64,'418'!$H$66:$H$71,'418'!$H$73,'418'!$H$75</definedName>
    <definedName name="OSRRefH22x_0" localSheetId="84">'420'!$H$22:$H$28,'420'!$H$30:$H$33,'420'!$H$35,'420'!$H$37,'420'!$H$39</definedName>
    <definedName name="OSRRefH22x_0" localSheetId="85">'423'!$H$21:$H$28,'423'!$H$30,'423'!$H$32,'423'!$H$34,'423'!$H$36,'423'!$H$38</definedName>
    <definedName name="OSRRefH22x_0" localSheetId="86">'424'!$H$23:$H$24,'424'!$H$26:$H$29,'424'!$H$31,'424'!$H$33,'424'!$H$35,'424'!$H$37,'424'!$H$39,'424'!$H$41,'424'!$H$43:$H$44,'424'!$H$46,'424'!$H$48,'424'!$H$50:$H$52,'424'!$H$54</definedName>
    <definedName name="OSRRefH22x_0" localSheetId="87">'425'!$H$24:$H$31,'425'!$H$33:$H$37,'425'!$H$39,'425'!$H$41,'425'!$H$43,'425'!$H$45,'425'!$H$47,'425'!$H$49,'425'!$H$51,'425'!$H$53:$H$55,'425'!$H$57,'425'!$H$59:$H$60,'425'!$H$62:$H$68,'425'!$H$70,'425'!$H$72</definedName>
    <definedName name="OSRRefH22x_0" localSheetId="90">'430'!$H$20:$H$27,'430'!$H$29,'430'!$H$31,'430'!$H$33,'430'!$H$35:$H$36,'430'!$H$38,'430'!$H$40,'430'!$H$42</definedName>
    <definedName name="OSRRefH22x_0" localSheetId="91">'433'!$H$25:$H$33,'433'!$H$35:$H$40,'433'!$H$42,'433'!$H$44,'433'!$H$46,'433'!$H$48,'433'!$H$50,'433'!$H$52,'433'!$H$54,'433'!$H$56,'433'!$H$58,'433'!$H$60:$H$62,'433'!$H$64:$H$66,'433'!$H$68:$H$75,'433'!$H$77,'433'!$H$79,'433'!$H$81</definedName>
    <definedName name="OSRRefH22x_0" localSheetId="92">'435'!$H$25:$H$27,'435'!$H$29:$H$30,'435'!$H$32,'435'!$H$34,'435'!$H$36,'435'!$H$38,'435'!$H$40:$H$42,'435'!$H$44</definedName>
    <definedName name="OSRRefH22x_0" localSheetId="93">'444'!$H$25:$H$33,'444'!$H$35:$H$40,'444'!$H$42,'444'!$H$44,'444'!$H$46,'444'!$H$48,'444'!$H$50,'444'!$H$52,'444'!$H$54,'444'!$H$56,'444'!$H$58,'444'!$H$60:$H$62,'444'!$H$64:$H$66,'444'!$H$68,'444'!$H$70:$H$78,'444'!$H$80,'444'!$H$82,'444'!$H$84</definedName>
    <definedName name="OSRRefH22x_0" localSheetId="94">'450'!$H$25:$H$33,'450'!$H$35:$H$40,'450'!$H$42,'450'!$H$44,'450'!$H$46,'450'!$H$48,'450'!$H$50,'450'!$H$52,'450'!$H$54,'450'!$H$56,'450'!$H$58,'450'!$H$60,'450'!$H$62,'450'!$H$64:$H$66,'450'!$H$68:$H$73,'450'!$H$75,'450'!$H$77,'450'!$H$79</definedName>
    <definedName name="OSRRefH22x_0" localSheetId="88">'455'!$H$20:$H$26,'455'!$H$28:$H$29</definedName>
    <definedName name="OSRRefH22x_0" localSheetId="75">'491'!$H$31:$H$39,'491'!$H$41:$H$47,'491'!$H$49,'491'!$H$51,'491'!$H$53,'491'!$H$55:$H$57,'491'!$H$59,'491'!$H$61,'491'!$H$63,'491'!$H$65,'491'!$H$67:$H$68,'491'!$H$70,'491'!$H$72,'491'!$H$74,'491'!$H$76,'491'!$H$78:$H$80,'491'!$H$82:$H$83,'491'!$H$85:$H$89,'491'!$H$91,'491'!$H$93:$H$101,'491'!$H$103,'491'!$H$105,'491'!$H$107:$H$109,'491'!$H$111</definedName>
    <definedName name="OSRRefH22x_0" localSheetId="89">'492'!$H$27:$H$35,'492'!$H$37:$H$43,'492'!$H$45,'492'!$H$47,'492'!$H$49,'492'!$H$51,'492'!$H$53,'492'!$H$55,'492'!$H$57,'492'!$H$59,'492'!$H$61,'492'!$H$63,'492'!$H$65:$H$67,'492'!$H$69:$H$71,'492'!$H$73,'492'!$H$75:$H$83,'492'!$H$85,'492'!$H$87,'492'!$H$89</definedName>
    <definedName name="OSRRefH22x_0" localSheetId="96">'501'!$H$21:$H$29,'501'!$H$31:$H$35,'501'!$H$37,'501'!$H$39,'501'!$H$41,'501'!$H$43:$H$44,'501'!$H$46,'501'!$H$48,'501'!$H$50:$H$52,'501'!$H$54:$H$56,'501'!$H$58</definedName>
    <definedName name="OSRRefH22x_0" localSheetId="39">'Div 2'!$H$20:$H$30,'Div 2'!$H$32:$H$38,'Div 2'!$H$40,'Div 2'!$H$42,'Div 2'!$H$44,'Div 2'!$H$46,'Div 2'!$H$48,'Div 2'!$H$50,'Div 2'!$H$52,'Div 2'!$H$54:$H$55,'Div 2'!$H$57,'Div 2'!$H$59,'Div 2'!$H$61:$H$64,'Div 2'!$H$66:$H$68,'Div 2'!$H$70:$H$71,'Div 2'!$H$73,'Div 2'!$H$75:$H$79,'Div 2'!$H$81:$H$82,'Div 2'!$H$84,'Div 2'!$H$86:$H$87</definedName>
    <definedName name="OSRRefH22x_0" localSheetId="47">'Div 3'!$H$167:$H$176,'Div 3'!$H$178:$H$184,'Div 3'!$H$186,'Div 3'!$H$188:$H$189,'Div 3'!$H$191,'Div 3'!$H$193:$H$194,'Div 3'!$H$196:$H$197,'Div 3'!$H$199,'Div 3'!$H$201,'Div 3'!$H$203,'Div 3'!$H$205:$H$206,'Div 3'!$H$208,'Div 3'!$H$210,'Div 3'!$H$212,'Div 3'!$H$214,'Div 3'!$H$216,'Div 3'!$H$218,'Div 3'!$H$220:$H$223,'Div 3'!$H$225:$H$227,'Div 3'!$H$229:$H$233,'Div 3'!$H$235:$H$236,'Div 3'!$H$238:$H$244,'Div 3'!$H$246:$H$247,'Div 3'!$H$249,'Div 3'!$H$251:$H$253,'Div 3'!$H$255</definedName>
    <definedName name="OSRRefH22x_0" localSheetId="73">'Div 4'!$H$32:$H$40,'Div 4'!$H$42:$H$48,'Div 4'!$H$50,'Div 4'!$H$52,'Div 4'!$H$54,'Div 4'!$H$56:$H$58,'Div 4'!$H$60,'Div 4'!$H$62,'Div 4'!$H$64,'Div 4'!$H$66,'Div 4'!$H$68:$H$69,'Div 4'!$H$71,'Div 4'!$H$73,'Div 4'!$H$75,'Div 4'!$H$77,'Div 4'!$H$79,'Div 4'!$H$81:$H$83,'Div 4'!$H$85:$H$86,'Div 4'!$H$88:$H$92,'Div 4'!$H$94:$H$95,'Div 4'!$H$97:$H$105,'Div 4'!$H$107,'Div 4'!$H$109,'Div 4'!$H$111:$H$113,'Div 4'!$H$115</definedName>
    <definedName name="OSRRefH22x_0" localSheetId="95">'Div 5'!$H$21:$H$29,'Div 5'!$H$31:$H$35,'Div 5'!$H$37,'Div 5'!$H$39,'Div 5'!$H$41,'Div 5'!$H$43:$H$44,'Div 5'!$H$46,'Div 5'!$H$48,'Div 5'!$H$50:$H$52,'Div 5'!$H$54:$H$56,'Div 5'!$H$58</definedName>
    <definedName name="OSRRefH22x_0" localSheetId="64">'Div 6'!$H$58:$H$66,'Div 6'!$H$68:$H$72,'Div 6'!$H$74,'Div 6'!$H$76,'Div 6'!$H$78,'Div 6'!$H$80:$H$81,'Div 6'!$H$83,'Div 6'!$H$85,'Div 6'!$H$87,'Div 6'!$H$89:$H$91,'Div 6'!$H$93,'Div 6'!$H$95,'Div 6'!$H$97</definedName>
    <definedName name="OSRRefH22x_0" localSheetId="2">Summary!$H$199:$H$208,Summary!$H$210:$H$216,Summary!$H$218,Summary!$H$220:$H$221,Summary!$H$223,Summary!$H$225:$H$227,Summary!$H$229:$H$230,Summary!$H$232,Summary!$H$234,Summary!$H$236,Summary!$H$238:$H$239,Summary!$H$241:$H$242,Summary!$H$244,Summary!$H$246,Summary!$H$248,Summary!$H$250,Summary!$H$252,Summary!$H$254,Summary!$H$256:$H$259,Summary!$H$261:$H$263,Summary!$H$265:$H$269,Summary!$H$271:$H$272,Summary!$H$274:$H$282,Summary!$H$284:$H$285,Summary!$H$287,Summary!$H$289:$H$291,Summary!$H$293</definedName>
    <definedName name="OSRRefH25x_0" localSheetId="48">'300'!$H$250:$H$258</definedName>
    <definedName name="OSRRefH25x_0" localSheetId="49">'300 &amp; 317'!$H$275:$H$285</definedName>
    <definedName name="OSRRefH25x_0" localSheetId="50">'301'!$H$96:$H$98</definedName>
    <definedName name="OSRRefH25x_0" localSheetId="55">'308'!$H$113:$H$115</definedName>
    <definedName name="OSRRefH25x_0" localSheetId="74">'310 &amp; 491'!$H$123:$H$125</definedName>
    <definedName name="OSRRefH25x_0" localSheetId="56">'311'!$H$112:$H$114</definedName>
    <definedName name="OSRRefH25x_0" localSheetId="59">'315'!$H$129:$H$130</definedName>
    <definedName name="OSRRefH25x_0" localSheetId="62">'316'!$H$73</definedName>
    <definedName name="OSRRefH25x_0" localSheetId="65">'317'!$H$100:$H$102</definedName>
    <definedName name="OSRRefH25x_0" localSheetId="63">'320'!$H$57:$H$61</definedName>
    <definedName name="OSRRefH25x_0" localSheetId="58">'331'!$H$158:$H$159</definedName>
    <definedName name="OSRRefH25x_0" localSheetId="61">'332'!$H$88:$H$93</definedName>
    <definedName name="OSRRefH25x_0" localSheetId="78">'411'!$H$86:$H$87</definedName>
    <definedName name="OSRRefH25x_0" localSheetId="80">'413'!$H$64</definedName>
    <definedName name="OSRRefH25x_0" localSheetId="83">'418'!$H$78</definedName>
    <definedName name="OSRRefH25x_0" localSheetId="85">'423'!$H$41</definedName>
    <definedName name="OSRRefH25x_0" localSheetId="86">'424'!$H$57</definedName>
    <definedName name="OSRRefH25x_0" localSheetId="87">'425'!$H$75</definedName>
    <definedName name="OSRRefH25x_0" localSheetId="88">'455'!$H$32:$H$33</definedName>
    <definedName name="OSRRefH25x_0" localSheetId="75">'491'!$H$114:$H$116</definedName>
    <definedName name="OSRRefH25x_0" localSheetId="96">'501'!$H$61</definedName>
    <definedName name="OSRRefH25x_0" localSheetId="47">'Div 3'!$H$258:$H$266</definedName>
    <definedName name="OSRRefH25x_0" localSheetId="73">'Div 4'!$H$118:$H$120</definedName>
    <definedName name="OSRRefH25x_0" localSheetId="95">'Div 5'!$H$61</definedName>
    <definedName name="OSRRefH25x_0" localSheetId="64">'Div 6'!$H$100:$H$102</definedName>
    <definedName name="OSRRefH25x_0" localSheetId="2">Summary!$H$296:$H$307</definedName>
    <definedName name="OSRRefP13x_0" localSheetId="48">'300'!$P$13:$P$104</definedName>
    <definedName name="OSRRefP13x_0" localSheetId="49">'300 &amp; 317'!$P$13:$P$122</definedName>
    <definedName name="OSRRefP13x_0" localSheetId="53">'307'!$P$13:$P$42</definedName>
    <definedName name="OSRRefP13x_0" localSheetId="55">'308'!$P$13:$P$40</definedName>
    <definedName name="OSRRefP13x_0" localSheetId="67">'309'!$P$13:$P$14</definedName>
    <definedName name="OSRRefP13x_0" localSheetId="66">'310'!$P$13:$P$20</definedName>
    <definedName name="OSRRefP13x_0" localSheetId="74">'310 &amp; 491'!$P$13:$P$27</definedName>
    <definedName name="OSRRefP13x_0" localSheetId="56">'311'!$P$13:$P$39</definedName>
    <definedName name="OSRRefP13x_0" localSheetId="68">'313'!$P$13:$P$17</definedName>
    <definedName name="OSRRefP13x_0" localSheetId="54">'314'!$P$13:$P$32</definedName>
    <definedName name="OSRRefP13x_0" localSheetId="59">'315'!$P$13:$P$50</definedName>
    <definedName name="OSRRefP13x_0" localSheetId="62">'316'!$P$13:$P$24</definedName>
    <definedName name="OSRRefP13x_0" localSheetId="65">'317'!$P$13:$P$37</definedName>
    <definedName name="OSRRefP13x_0" localSheetId="63">'320'!$P$13:$P$15</definedName>
    <definedName name="OSRRefP13x_0" localSheetId="69">'321'!$P$13:$P$14</definedName>
    <definedName name="OSRRefP13x_0" localSheetId="70">'322'!$P$13:$P$14</definedName>
    <definedName name="OSRRefP13x_0" localSheetId="57">'324'!$P$13:$P$15</definedName>
    <definedName name="OSRRefP13x_0" localSheetId="71">'325'!$P$13:$P$14</definedName>
    <definedName name="OSRRefP13x_0" localSheetId="60">'326'!$P$13:$P$36</definedName>
    <definedName name="OSRRefP13x_0" localSheetId="72">'327'!$P$13</definedName>
    <definedName name="OSRRefP13x_0" localSheetId="52">'330'!$P$13:$P$47</definedName>
    <definedName name="OSRRefP13x_0" localSheetId="58">'331'!$P$13:$P$53</definedName>
    <definedName name="OSRRefP13x_0" localSheetId="61">'332'!$P$13:$P$27</definedName>
    <definedName name="OSRRefP13x_0" localSheetId="76">'405'!$P$13:$P$14</definedName>
    <definedName name="OSRRefP13x_0" localSheetId="77">'406'!$P$13:$P$14</definedName>
    <definedName name="OSRRefP13x_0" localSheetId="79">'412'!$P$13:$P$14</definedName>
    <definedName name="OSRRefP13x_0" localSheetId="80">'413'!$P$13:$P$14</definedName>
    <definedName name="OSRRefP13x_0" localSheetId="81">'414'!$P$13:$P$14</definedName>
    <definedName name="OSRRefP13x_0" localSheetId="82">'415'!$P$13:$P$14</definedName>
    <definedName name="OSRRefP13x_0" localSheetId="83">'418'!$P$13:$P$14</definedName>
    <definedName name="OSRRefP13x_0" localSheetId="84">'420'!$P$13:$P$14</definedName>
    <definedName name="OSRRefP13x_0" localSheetId="86">'424'!$P$13</definedName>
    <definedName name="OSRRefP13x_0" localSheetId="87">'425'!$P$13:$P$14</definedName>
    <definedName name="OSRRefP13x_0" localSheetId="91">'433'!$P$13:$P$15</definedName>
    <definedName name="OSRRefP13x_0" localSheetId="92">'435'!$P$13:$P$15</definedName>
    <definedName name="OSRRefP13x_0" localSheetId="93">'444'!$P$13:$P$15</definedName>
    <definedName name="OSRRefP13x_0" localSheetId="94">'450'!$P$13:$P$15</definedName>
    <definedName name="OSRRefP13x_0" localSheetId="75">'491'!$P$13:$P$21</definedName>
    <definedName name="OSRRefP13x_0" localSheetId="89">'492'!$P$13:$P$17</definedName>
    <definedName name="OSRRefP13x_0" localSheetId="96">'501'!$P$13</definedName>
    <definedName name="OSRRefP13x_0" localSheetId="47">'Div 3'!$P$13:$P$107</definedName>
    <definedName name="OSRRefP13x_0" localSheetId="73">'Div 4'!$P$13:$P$22</definedName>
    <definedName name="OSRRefP13x_0" localSheetId="95">'Div 5'!$P$13</definedName>
    <definedName name="OSRRefP13x_0" localSheetId="64">'Div 6'!$P$13:$P$37</definedName>
    <definedName name="OSRRefP13x_0" localSheetId="2">Summary!$P$13:$P$132</definedName>
    <definedName name="OSRRefP16x_0" localSheetId="48">'300'!$P$107:$P$156</definedName>
    <definedName name="OSRRefP16x_0" localSheetId="49">'300 &amp; 317'!$P$125:$P$181</definedName>
    <definedName name="OSRRefP16x_0" localSheetId="53">'307'!$P$45:$P$63</definedName>
    <definedName name="OSRRefP16x_0" localSheetId="55">'308'!$P$43:$P$57</definedName>
    <definedName name="OSRRefP16x_0" localSheetId="67">'309'!$P$17:$P$18</definedName>
    <definedName name="OSRRefP16x_0" localSheetId="66">'310'!$P$23:$P$24</definedName>
    <definedName name="OSRRefP16x_0" localSheetId="74">'310 &amp; 491'!$P$30:$P$31</definedName>
    <definedName name="OSRRefP16x_0" localSheetId="56">'311'!$P$42:$P$56</definedName>
    <definedName name="OSRRefP16x_0" localSheetId="68">'313'!$P$20:$P$21</definedName>
    <definedName name="OSRRefP16x_0" localSheetId="54">'314'!$P$35:$P$49</definedName>
    <definedName name="OSRRefP16x_0" localSheetId="59">'315'!$P$53:$P$75</definedName>
    <definedName name="OSRRefP16x_0" localSheetId="65">'317'!$P$40:$P$52</definedName>
    <definedName name="OSRRefP16x_0" localSheetId="63">'320'!$P$18:$P$22</definedName>
    <definedName name="OSRRefP16x_0" localSheetId="69">'321'!$P$17:$P$18</definedName>
    <definedName name="OSRRefP16x_0" localSheetId="70">'322'!$P$17:$P$18</definedName>
    <definedName name="OSRRefP16x_0" localSheetId="57">'324'!$P$18:$P$19</definedName>
    <definedName name="OSRRefP16x_0" localSheetId="71">'325'!$P$17:$P$18</definedName>
    <definedName name="OSRRefP16x_0" localSheetId="60">'326'!$P$39:$P$52</definedName>
    <definedName name="OSRRefP16x_0" localSheetId="72">'327'!$P$16</definedName>
    <definedName name="OSRRefP16x_0" localSheetId="52">'330'!$P$50:$P$72</definedName>
    <definedName name="OSRRefP16x_0" localSheetId="58">'331'!$P$56:$P$82</definedName>
    <definedName name="OSRRefP16x_0" localSheetId="61">'332'!$P$30:$P$34</definedName>
    <definedName name="OSRRefP16x_0" localSheetId="76">'405'!$P$17:$P$18</definedName>
    <definedName name="OSRRefP16x_0" localSheetId="77">'406'!$P$17:$P$18</definedName>
    <definedName name="OSRRefP16x_0" localSheetId="79">'412'!$P$17</definedName>
    <definedName name="OSRRefP16x_0" localSheetId="80">'413'!$P$17:$P$18</definedName>
    <definedName name="OSRRefP16x_0" localSheetId="81">'414'!$P$17:$P$18</definedName>
    <definedName name="OSRRefP16x_0" localSheetId="82">'415'!$P$17:$P$18</definedName>
    <definedName name="OSRRefP16x_0" localSheetId="83">'418'!$P$17:$P$18</definedName>
    <definedName name="OSRRefP16x_0" localSheetId="85">'423'!$P$15</definedName>
    <definedName name="OSRRefP16x_0" localSheetId="86">'424'!$P$16:$P$17</definedName>
    <definedName name="OSRRefP16x_0" localSheetId="87">'425'!$P$17:$P$18</definedName>
    <definedName name="OSRRefP16x_0" localSheetId="91">'433'!$P$18:$P$19</definedName>
    <definedName name="OSRRefP16x_0" localSheetId="92">'435'!$P$18:$P$19</definedName>
    <definedName name="OSRRefP16x_0" localSheetId="93">'444'!$P$18:$P$19</definedName>
    <definedName name="OSRRefP16x_0" localSheetId="94">'450'!$P$18:$P$19</definedName>
    <definedName name="OSRRefP16x_0" localSheetId="75">'491'!$P$24:$P$25</definedName>
    <definedName name="OSRRefP16x_0" localSheetId="89">'492'!$P$20:$P$21</definedName>
    <definedName name="OSRRefP16x_0" localSheetId="47">'Div 3'!$P$110:$P$161</definedName>
    <definedName name="OSRRefP16x_0" localSheetId="73">'Div 4'!$P$25:$P$26</definedName>
    <definedName name="OSRRefP16x_0" localSheetId="64">'Div 6'!$P$40:$P$52</definedName>
    <definedName name="OSRRefP16x_0" localSheetId="2">Summary!$P$135:$P$193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'203'!$P$20:$P$29</definedName>
    <definedName name="OSRRefP22_0x_0" localSheetId="44">'204'!$P$20:$P$28</definedName>
    <definedName name="OSRRefP22_0x_0" localSheetId="45">'205'!$P$20:$P$27</definedName>
    <definedName name="OSRRefP22_0x_0" localSheetId="46">'206'!$P$20:$P$26</definedName>
    <definedName name="OSRRefP22_0x_0" localSheetId="48">'300'!$P$162:$P$171</definedName>
    <definedName name="OSRRefP22_0x_0" localSheetId="49">'300 &amp; 317'!$P$187:$P$196</definedName>
    <definedName name="OSRRefP22_0x_0" localSheetId="50">'301'!$P$20:$P$28</definedName>
    <definedName name="OSRRefP22_0x_0" localSheetId="51">'306'!$P$20:$P$28</definedName>
    <definedName name="OSRRefP22_0x_0" localSheetId="53">'307'!$P$69:$P$76</definedName>
    <definedName name="OSRRefP22_0x_0" localSheetId="55">'308'!$P$63:$P$71</definedName>
    <definedName name="OSRRefP22_0x_0" localSheetId="67">'309'!$P$24:$P$31</definedName>
    <definedName name="OSRRefP22_0x_0" localSheetId="66">'310'!$P$30:$P$37</definedName>
    <definedName name="OSRRefP22_0x_0" localSheetId="74">'310 &amp; 491'!$P$37:$P$45</definedName>
    <definedName name="OSRRefP22_0x_0" localSheetId="56">'311'!$P$62:$P$70</definedName>
    <definedName name="OSRRefP22_0x_0" localSheetId="68">'313'!$P$27:$P$34</definedName>
    <definedName name="OSRRefP22_0x_0" localSheetId="54">'314'!$P$55:$P$61</definedName>
    <definedName name="OSRRefP22_0x_0" localSheetId="59">'315'!$P$81:$P$88</definedName>
    <definedName name="OSRRefP22_0x_0" localSheetId="62">'316'!$P$32:$P$39</definedName>
    <definedName name="OSRRefP22_0x_0" localSheetId="65">'317'!$P$58:$P$66</definedName>
    <definedName name="OSRRefP22_0x_0" localSheetId="63">'320'!$P$28:$P$34</definedName>
    <definedName name="OSRRefP22_0x_0" localSheetId="69">'321'!$P$24:$P$31</definedName>
    <definedName name="OSRRefP22_0x_0" localSheetId="70">'322'!$P$24:$P$31</definedName>
    <definedName name="OSRRefP22_0x_0" localSheetId="71">'325'!$P$24:$P$31</definedName>
    <definedName name="OSRRefP22_0x_0" localSheetId="60">'326'!$P$58:$P$65</definedName>
    <definedName name="OSRRefP22_0x_0" localSheetId="72">'327'!$P$22</definedName>
    <definedName name="OSRRefP22_0x_0" localSheetId="52">'330'!$P$78:$P$85</definedName>
    <definedName name="OSRRefP22_0x_0" localSheetId="58">'331'!$P$88:$P$95</definedName>
    <definedName name="OSRRefP22_0x_0" localSheetId="61">'332'!$P$40:$P$47</definedName>
    <definedName name="OSRRefP22_0x_0" localSheetId="76">'405'!$P$24:$P$31</definedName>
    <definedName name="OSRRefP22_0x_0" localSheetId="77">'406'!$P$24:$P$31</definedName>
    <definedName name="OSRRefP22_0x_0" localSheetId="78">'411'!$P$20:$P$28</definedName>
    <definedName name="OSRRefP22_0x_0" localSheetId="79">'412'!$P$23:$P$30</definedName>
    <definedName name="OSRRefP22_0x_0" localSheetId="80">'413'!$P$24:$P$31</definedName>
    <definedName name="OSRRefP22_0x_0" localSheetId="81">'414'!$P$24:$P$30</definedName>
    <definedName name="OSRRefP22_0x_0" localSheetId="82">'415'!$P$24:$P$31</definedName>
    <definedName name="OSRRefP22_0x_0" localSheetId="83">'418'!$P$24:$P$31</definedName>
    <definedName name="OSRRefP22_0x_0" localSheetId="84">'420'!$P$22:$P$28</definedName>
    <definedName name="OSRRefP22_0x_0" localSheetId="85">'423'!$P$21:$P$28</definedName>
    <definedName name="OSRRefP22_0x_0" localSheetId="86">'424'!$P$23:$P$24</definedName>
    <definedName name="OSRRefP22_0x_0" localSheetId="87">'425'!$P$24:$P$31</definedName>
    <definedName name="OSRRefP22_0x_0" localSheetId="90">'430'!$P$20:$P$27</definedName>
    <definedName name="OSRRefP22_0x_0" localSheetId="91">'433'!$P$25:$P$33</definedName>
    <definedName name="OSRRefP22_0x_0" localSheetId="92">'435'!$P$25:$P$27</definedName>
    <definedName name="OSRRefP22_0x_0" localSheetId="93">'444'!$P$25:$P$33</definedName>
    <definedName name="OSRRefP22_0x_0" localSheetId="94">'450'!$P$25:$P$33</definedName>
    <definedName name="OSRRefP22_0x_0" localSheetId="88">'455'!$P$20:$P$26</definedName>
    <definedName name="OSRRefP22_0x_0" localSheetId="75">'491'!$P$31:$P$39</definedName>
    <definedName name="OSRRefP22_0x_0" localSheetId="89">'492'!$P$27:$P$35</definedName>
    <definedName name="OSRRefP22_0x_0" localSheetId="96">'501'!$P$21:$P$29</definedName>
    <definedName name="OSRRefP22_0x_0" localSheetId="39">'Div 2'!$P$20:$P$30</definedName>
    <definedName name="OSRRefP22_0x_0" localSheetId="47">'Div 3'!$P$167:$P$176</definedName>
    <definedName name="OSRRefP22_0x_0" localSheetId="73">'Div 4'!$P$32:$P$40</definedName>
    <definedName name="OSRRefP22_0x_0" localSheetId="95">'Div 5'!$P$21:$P$29</definedName>
    <definedName name="OSRRefP22_0x_0" localSheetId="64">'Div 6'!$P$58:$P$66</definedName>
    <definedName name="OSRRefP22_0x_0" localSheetId="2">Summary!$P$199:$P$208</definedName>
    <definedName name="OSRRefP22_10x_0" localSheetId="41">'201'!$P$51:$P$53</definedName>
    <definedName name="OSRRefP22_10x_0" localSheetId="42">'202'!$P$53:$P$55</definedName>
    <definedName name="OSRRefP22_10x_0" localSheetId="43">'203'!$P$53:$P$54</definedName>
    <definedName name="OSRRefP22_10x_0" localSheetId="44">'204'!$P$55:$P$56</definedName>
    <definedName name="OSRRefP22_10x_0" localSheetId="48">'300'!$P$200:$P$201</definedName>
    <definedName name="OSRRefP22_10x_0" localSheetId="49">'300 &amp; 317'!$P$225:$P$226</definedName>
    <definedName name="OSRRefP22_10x_0" localSheetId="50">'301'!$P$57</definedName>
    <definedName name="OSRRefP22_10x_0" localSheetId="53">'307'!$P$104</definedName>
    <definedName name="OSRRefP22_10x_0" localSheetId="55">'308'!$P$99</definedName>
    <definedName name="OSRRefP22_10x_0" localSheetId="67">'309'!$P$60</definedName>
    <definedName name="OSRRefP22_10x_0" localSheetId="66">'310'!$P$63</definedName>
    <definedName name="OSRRefP22_10x_0" localSheetId="74">'310 &amp; 491'!$P$73:$P$74</definedName>
    <definedName name="OSRRefP22_10x_0" localSheetId="56">'311'!$P$98</definedName>
    <definedName name="OSRRefP22_10x_0" localSheetId="68">'313'!$P$60:$P$64</definedName>
    <definedName name="OSRRefP22_10x_0" localSheetId="59">'315'!$P$121</definedName>
    <definedName name="OSRRefP22_10x_0" localSheetId="62">'316'!$P$68</definedName>
    <definedName name="OSRRefP22_10x_0" localSheetId="65">'317'!$P$93</definedName>
    <definedName name="OSRRefP22_10x_0" localSheetId="69">'321'!$P$62</definedName>
    <definedName name="OSRRefP22_10x_0" localSheetId="70">'322'!$P$57:$P$61</definedName>
    <definedName name="OSRRefP22_10x_0" localSheetId="71">'325'!$P$56</definedName>
    <definedName name="OSRRefP22_10x_0" localSheetId="60">'326'!$P$89</definedName>
    <definedName name="OSRRefP22_10x_0" localSheetId="52">'330'!$P$112</definedName>
    <definedName name="OSRRefP22_10x_0" localSheetId="58">'331'!$P$122</definedName>
    <definedName name="OSRRefP22_10x_0" localSheetId="61">'332'!$P$72</definedName>
    <definedName name="OSRRefP22_10x_0" localSheetId="76">'405'!$P$55:$P$56</definedName>
    <definedName name="OSRRefP22_10x_0" localSheetId="77">'406'!$P$57:$P$61</definedName>
    <definedName name="OSRRefP22_10x_0" localSheetId="78">'411'!$P$55</definedName>
    <definedName name="OSRRefP22_10x_0" localSheetId="79">'412'!$P$57:$P$62</definedName>
    <definedName name="OSRRefP22_10x_0" localSheetId="80">'413'!$P$61</definedName>
    <definedName name="OSRRefP22_10x_0" localSheetId="81">'414'!$P$54</definedName>
    <definedName name="OSRRefP22_10x_0" localSheetId="82">'415'!$P$56</definedName>
    <definedName name="OSRRefP22_10x_0" localSheetId="83">'418'!$P$60:$P$62</definedName>
    <definedName name="OSRRefP22_10x_0" localSheetId="86">'424'!$P$48</definedName>
    <definedName name="OSRRefP22_10x_0" localSheetId="87">'425'!$P$57</definedName>
    <definedName name="OSRRefP22_10x_0" localSheetId="91">'433'!$P$58</definedName>
    <definedName name="OSRRefP22_10x_0" localSheetId="93">'444'!$P$58</definedName>
    <definedName name="OSRRefP22_10x_0" localSheetId="94">'450'!$P$58</definedName>
    <definedName name="OSRRefP22_10x_0" localSheetId="75">'491'!$P$67:$P$68</definedName>
    <definedName name="OSRRefP22_10x_0" localSheetId="89">'492'!$P$61</definedName>
    <definedName name="OSRRefP22_10x_0" localSheetId="96">'501'!$P$58</definedName>
    <definedName name="OSRRefP22_10x_0" localSheetId="39">'Div 2'!$P$57</definedName>
    <definedName name="OSRRefP22_10x_0" localSheetId="47">'Div 3'!$P$205:$P$206</definedName>
    <definedName name="OSRRefP22_10x_0" localSheetId="73">'Div 4'!$P$68:$P$69</definedName>
    <definedName name="OSRRefP22_10x_0" localSheetId="95">'Div 5'!$P$58</definedName>
    <definedName name="OSRRefP22_10x_0" localSheetId="64">'Div 6'!$P$93</definedName>
    <definedName name="OSRRefP22_10x_0" localSheetId="2">Summary!$P$238:$P$239</definedName>
    <definedName name="OSRRefP22_11x_0" localSheetId="41">'201'!$P$55</definedName>
    <definedName name="OSRRefP22_11x_0" localSheetId="42">'202'!$P$57</definedName>
    <definedName name="OSRRefP22_11x_0" localSheetId="43">'203'!$P$56</definedName>
    <definedName name="OSRRefP22_11x_0" localSheetId="48">'300'!$P$203</definedName>
    <definedName name="OSRRefP22_11x_0" localSheetId="49">'300 &amp; 317'!$P$228</definedName>
    <definedName name="OSRRefP22_11x_0" localSheetId="50">'301'!$P$59</definedName>
    <definedName name="OSRRefP22_11x_0" localSheetId="53">'307'!$P$106</definedName>
    <definedName name="OSRRefP22_11x_0" localSheetId="55">'308'!$P$101:$P$103</definedName>
    <definedName name="OSRRefP22_11x_0" localSheetId="66">'310'!$P$65</definedName>
    <definedName name="OSRRefP22_11x_0" localSheetId="74">'310 &amp; 491'!$P$76:$P$77</definedName>
    <definedName name="OSRRefP22_11x_0" localSheetId="56">'311'!$P$100:$P$102</definedName>
    <definedName name="OSRRefP22_11x_0" localSheetId="68">'313'!$P$66</definedName>
    <definedName name="OSRRefP22_11x_0" localSheetId="59">'315'!$P$123</definedName>
    <definedName name="OSRRefP22_11x_0" localSheetId="62">'316'!$P$70</definedName>
    <definedName name="OSRRefP22_11x_0" localSheetId="65">'317'!$P$95</definedName>
    <definedName name="OSRRefP22_11x_0" localSheetId="69">'321'!$P$64</definedName>
    <definedName name="OSRRefP22_11x_0" localSheetId="70">'322'!$P$63</definedName>
    <definedName name="OSRRefP22_11x_0" localSheetId="71">'325'!$P$58:$P$60</definedName>
    <definedName name="OSRRefP22_11x_0" localSheetId="60">'326'!$P$91</definedName>
    <definedName name="OSRRefP22_11x_0" localSheetId="52">'330'!$P$114:$P$116</definedName>
    <definedName name="OSRRefP22_11x_0" localSheetId="58">'331'!$P$124</definedName>
    <definedName name="OSRRefP22_11x_0" localSheetId="61">'332'!$P$74:$P$79</definedName>
    <definedName name="OSRRefP22_11x_0" localSheetId="76">'405'!$P$58</definedName>
    <definedName name="OSRRefP22_11x_0" localSheetId="77">'406'!$P$63</definedName>
    <definedName name="OSRRefP22_11x_0" localSheetId="78">'411'!$P$57</definedName>
    <definedName name="OSRRefP22_11x_0" localSheetId="79">'412'!$P$64</definedName>
    <definedName name="OSRRefP22_11x_0" localSheetId="81">'414'!$P$56</definedName>
    <definedName name="OSRRefP22_11x_0" localSheetId="82">'415'!$P$58:$P$60</definedName>
    <definedName name="OSRRefP22_11x_0" localSheetId="83">'418'!$P$64</definedName>
    <definedName name="OSRRefP22_11x_0" localSheetId="86">'424'!$P$50:$P$52</definedName>
    <definedName name="OSRRefP22_11x_0" localSheetId="87">'425'!$P$59:$P$60</definedName>
    <definedName name="OSRRefP22_11x_0" localSheetId="91">'433'!$P$60:$P$62</definedName>
    <definedName name="OSRRefP22_11x_0" localSheetId="93">'444'!$P$60:$P$62</definedName>
    <definedName name="OSRRefP22_11x_0" localSheetId="94">'450'!$P$60</definedName>
    <definedName name="OSRRefP22_11x_0" localSheetId="75">'491'!$P$70</definedName>
    <definedName name="OSRRefP22_11x_0" localSheetId="89">'492'!$P$63</definedName>
    <definedName name="OSRRefP22_11x_0" localSheetId="39">'Div 2'!$P$59</definedName>
    <definedName name="OSRRefP22_11x_0" localSheetId="47">'Div 3'!$P$208</definedName>
    <definedName name="OSRRefP22_11x_0" localSheetId="73">'Div 4'!$P$71</definedName>
    <definedName name="OSRRefP22_11x_0" localSheetId="64">'Div 6'!$P$95</definedName>
    <definedName name="OSRRefP22_11x_0" localSheetId="2">Summary!$P$241:$P$242</definedName>
    <definedName name="OSRRefP22_12x_0" localSheetId="41">'201'!$P$57:$P$60</definedName>
    <definedName name="OSRRefP22_12x_0" localSheetId="42">'202'!$P$59</definedName>
    <definedName name="OSRRefP22_12x_0" localSheetId="43">'203'!$P$58:$P$61</definedName>
    <definedName name="OSRRefP22_12x_0" localSheetId="48">'300'!$P$205</definedName>
    <definedName name="OSRRefP22_12x_0" localSheetId="49">'300 &amp; 317'!$P$230</definedName>
    <definedName name="OSRRefP22_12x_0" localSheetId="50">'301'!$P$61</definedName>
    <definedName name="OSRRefP22_12x_0" localSheetId="55">'308'!$P$105:$P$106</definedName>
    <definedName name="OSRRefP22_12x_0" localSheetId="66">'310'!$P$67</definedName>
    <definedName name="OSRRefP22_12x_0" localSheetId="74">'310 &amp; 491'!$P$79</definedName>
    <definedName name="OSRRefP22_12x_0" localSheetId="56">'311'!$P$104:$P$105</definedName>
    <definedName name="OSRRefP22_12x_0" localSheetId="68">'313'!$P$68</definedName>
    <definedName name="OSRRefP22_12x_0" localSheetId="59">'315'!$P$125:$P$126</definedName>
    <definedName name="OSRRefP22_12x_0" localSheetId="65">'317'!$P$97</definedName>
    <definedName name="OSRRefP22_12x_0" localSheetId="70">'322'!$P$65</definedName>
    <definedName name="OSRRefP22_12x_0" localSheetId="71">'325'!$P$62:$P$64</definedName>
    <definedName name="OSRRefP22_12x_0" localSheetId="60">'326'!$P$93:$P$94</definedName>
    <definedName name="OSRRefP22_12x_0" localSheetId="52">'330'!$P$118</definedName>
    <definedName name="OSRRefP22_12x_0" localSheetId="58">'331'!$P$126</definedName>
    <definedName name="OSRRefP22_12x_0" localSheetId="61">'332'!$P$81</definedName>
    <definedName name="OSRRefP22_12x_0" localSheetId="76">'405'!$P$60:$P$62</definedName>
    <definedName name="OSRRefP22_12x_0" localSheetId="77">'406'!$P$65</definedName>
    <definedName name="OSRRefP22_12x_0" localSheetId="78">'411'!$P$59:$P$60</definedName>
    <definedName name="OSRRefP22_12x_0" localSheetId="79">'412'!$P$66</definedName>
    <definedName name="OSRRefP22_12x_0" localSheetId="81">'414'!$P$58</definedName>
    <definedName name="OSRRefP22_12x_0" localSheetId="82">'415'!$P$62:$P$66</definedName>
    <definedName name="OSRRefP22_12x_0" localSheetId="83">'418'!$P$66:$P$71</definedName>
    <definedName name="OSRRefP22_12x_0" localSheetId="86">'424'!$P$54</definedName>
    <definedName name="OSRRefP22_12x_0" localSheetId="87">'425'!$P$62:$P$68</definedName>
    <definedName name="OSRRefP22_12x_0" localSheetId="91">'433'!$P$64:$P$66</definedName>
    <definedName name="OSRRefP22_12x_0" localSheetId="93">'444'!$P$64:$P$66</definedName>
    <definedName name="OSRRefP22_12x_0" localSheetId="94">'450'!$P$62</definedName>
    <definedName name="OSRRefP22_12x_0" localSheetId="75">'491'!$P$72</definedName>
    <definedName name="OSRRefP22_12x_0" localSheetId="89">'492'!$P$65:$P$67</definedName>
    <definedName name="OSRRefP22_12x_0" localSheetId="39">'Div 2'!$P$61:$P$64</definedName>
    <definedName name="OSRRefP22_12x_0" localSheetId="47">'Div 3'!$P$210</definedName>
    <definedName name="OSRRefP22_12x_0" localSheetId="73">'Div 4'!$P$73</definedName>
    <definedName name="OSRRefP22_12x_0" localSheetId="64">'Div 6'!$P$97</definedName>
    <definedName name="OSRRefP22_12x_0" localSheetId="2">Summary!$P$244</definedName>
    <definedName name="OSRRefP22_13x_0" localSheetId="41">'201'!$P$62</definedName>
    <definedName name="OSRRefP22_13x_0" localSheetId="42">'202'!$P$61</definedName>
    <definedName name="OSRRefP22_13x_0" localSheetId="43">'203'!$P$63</definedName>
    <definedName name="OSRRefP22_13x_0" localSheetId="48">'300'!$P$207</definedName>
    <definedName name="OSRRefP22_13x_0" localSheetId="49">'300 &amp; 317'!$P$232</definedName>
    <definedName name="OSRRefP22_13x_0" localSheetId="50">'301'!$P$63</definedName>
    <definedName name="OSRRefP22_13x_0" localSheetId="55">'308'!$P$108</definedName>
    <definedName name="OSRRefP22_13x_0" localSheetId="66">'310'!$P$69</definedName>
    <definedName name="OSRRefP22_13x_0" localSheetId="74">'310 &amp; 491'!$P$81</definedName>
    <definedName name="OSRRefP22_13x_0" localSheetId="56">'311'!$P$107</definedName>
    <definedName name="OSRRefP22_13x_0" localSheetId="71">'325'!$P$66</definedName>
    <definedName name="OSRRefP22_13x_0" localSheetId="60">'326'!$P$96:$P$98</definedName>
    <definedName name="OSRRefP22_13x_0" localSheetId="52">'330'!$P$120</definedName>
    <definedName name="OSRRefP22_13x_0" localSheetId="58">'331'!$P$128:$P$129</definedName>
    <definedName name="OSRRefP22_13x_0" localSheetId="61">'332'!$P$83</definedName>
    <definedName name="OSRRefP22_13x_0" localSheetId="76">'405'!$P$64</definedName>
    <definedName name="OSRRefP22_13x_0" localSheetId="78">'411'!$P$62:$P$66</definedName>
    <definedName name="OSRRefP22_13x_0" localSheetId="81">'414'!$P$60:$P$66</definedName>
    <definedName name="OSRRefP22_13x_0" localSheetId="82">'415'!$P$68</definedName>
    <definedName name="OSRRefP22_13x_0" localSheetId="83">'418'!$P$73</definedName>
    <definedName name="OSRRefP22_13x_0" localSheetId="87">'425'!$P$70</definedName>
    <definedName name="OSRRefP22_13x_0" localSheetId="91">'433'!$P$68:$P$75</definedName>
    <definedName name="OSRRefP22_13x_0" localSheetId="93">'444'!$P$68</definedName>
    <definedName name="OSRRefP22_13x_0" localSheetId="94">'450'!$P$64:$P$66</definedName>
    <definedName name="OSRRefP22_13x_0" localSheetId="75">'491'!$P$74</definedName>
    <definedName name="OSRRefP22_13x_0" localSheetId="89">'492'!$P$69:$P$71</definedName>
    <definedName name="OSRRefP22_13x_0" localSheetId="39">'Div 2'!$P$66:$P$68</definedName>
    <definedName name="OSRRefP22_13x_0" localSheetId="47">'Div 3'!$P$212</definedName>
    <definedName name="OSRRefP22_13x_0" localSheetId="73">'Div 4'!$P$75</definedName>
    <definedName name="OSRRefP22_13x_0" localSheetId="2">Summary!$P$246</definedName>
    <definedName name="OSRRefP22_14x_0" localSheetId="41">'201'!$P$64</definedName>
    <definedName name="OSRRefP22_14x_0" localSheetId="43">'203'!$P$65</definedName>
    <definedName name="OSRRefP22_14x_0" localSheetId="48">'300'!$P$209</definedName>
    <definedName name="OSRRefP22_14x_0" localSheetId="49">'300 &amp; 317'!$P$234</definedName>
    <definedName name="OSRRefP22_14x_0" localSheetId="50">'301'!$P$65</definedName>
    <definedName name="OSRRefP22_14x_0" localSheetId="55">'308'!$P$110</definedName>
    <definedName name="OSRRefP22_14x_0" localSheetId="66">'310'!$P$71:$P$73</definedName>
    <definedName name="OSRRefP22_14x_0" localSheetId="74">'310 &amp; 491'!$P$83</definedName>
    <definedName name="OSRRefP22_14x_0" localSheetId="56">'311'!$P$109</definedName>
    <definedName name="OSRRefP22_14x_0" localSheetId="71">'325'!$P$68:$P$72</definedName>
    <definedName name="OSRRefP22_14x_0" localSheetId="60">'326'!$P$100</definedName>
    <definedName name="OSRRefP22_14x_0" localSheetId="58">'331'!$P$131:$P$132</definedName>
    <definedName name="OSRRefP22_14x_0" localSheetId="61">'332'!$P$85</definedName>
    <definedName name="OSRRefP22_14x_0" localSheetId="76">'405'!$P$66:$P$72</definedName>
    <definedName name="OSRRefP22_14x_0" localSheetId="78">'411'!$P$68:$P$73</definedName>
    <definedName name="OSRRefP22_14x_0" localSheetId="81">'414'!$P$68</definedName>
    <definedName name="OSRRefP22_14x_0" localSheetId="82">'415'!$P$70:$P$77</definedName>
    <definedName name="OSRRefP22_14x_0" localSheetId="83">'418'!$P$75</definedName>
    <definedName name="OSRRefP22_14x_0" localSheetId="87">'425'!$P$72</definedName>
    <definedName name="OSRRefP22_14x_0" localSheetId="91">'433'!$P$77</definedName>
    <definedName name="OSRRefP22_14x_0" localSheetId="93">'444'!$P$70:$P$78</definedName>
    <definedName name="OSRRefP22_14x_0" localSheetId="94">'450'!$P$68:$P$73</definedName>
    <definedName name="OSRRefP22_14x_0" localSheetId="75">'491'!$P$76</definedName>
    <definedName name="OSRRefP22_14x_0" localSheetId="89">'492'!$P$73</definedName>
    <definedName name="OSRRefP22_14x_0" localSheetId="39">'Div 2'!$P$70:$P$71</definedName>
    <definedName name="OSRRefP22_14x_0" localSheetId="47">'Div 3'!$P$214</definedName>
    <definedName name="OSRRefP22_14x_0" localSheetId="73">'Div 4'!$P$77</definedName>
    <definedName name="OSRRefP22_14x_0" localSheetId="2">Summary!$P$248</definedName>
    <definedName name="OSRRefP22_15x_0" localSheetId="41">'201'!$P$66</definedName>
    <definedName name="OSRRefP22_15x_0" localSheetId="43">'203'!$P$67</definedName>
    <definedName name="OSRRefP22_15x_0" localSheetId="48">'300'!$P$211</definedName>
    <definedName name="OSRRefP22_15x_0" localSheetId="49">'300 &amp; 317'!$P$236</definedName>
    <definedName name="OSRRefP22_15x_0" localSheetId="50">'301'!$P$67:$P$70</definedName>
    <definedName name="OSRRefP22_15x_0" localSheetId="66">'310'!$P$75</definedName>
    <definedName name="OSRRefP22_15x_0" localSheetId="74">'310 &amp; 491'!$P$85</definedName>
    <definedName name="OSRRefP22_15x_0" localSheetId="71">'325'!$P$74</definedName>
    <definedName name="OSRRefP22_15x_0" localSheetId="60">'326'!$P$102:$P$105</definedName>
    <definedName name="OSRRefP22_15x_0" localSheetId="58">'331'!$P$134:$P$136</definedName>
    <definedName name="OSRRefP22_15x_0" localSheetId="76">'405'!$P$74</definedName>
    <definedName name="OSRRefP22_15x_0" localSheetId="78">'411'!$P$75</definedName>
    <definedName name="OSRRefP22_15x_0" localSheetId="81">'414'!$P$70</definedName>
    <definedName name="OSRRefP22_15x_0" localSheetId="82">'415'!$P$79</definedName>
    <definedName name="OSRRefP22_15x_0" localSheetId="91">'433'!$P$79</definedName>
    <definedName name="OSRRefP22_15x_0" localSheetId="93">'444'!$P$80</definedName>
    <definedName name="OSRRefP22_15x_0" localSheetId="94">'450'!$P$75</definedName>
    <definedName name="OSRRefP22_15x_0" localSheetId="75">'491'!$P$78:$P$80</definedName>
    <definedName name="OSRRefP22_15x_0" localSheetId="89">'492'!$P$75:$P$83</definedName>
    <definedName name="OSRRefP22_15x_0" localSheetId="39">'Div 2'!$P$73</definedName>
    <definedName name="OSRRefP22_15x_0" localSheetId="47">'Div 3'!$P$216</definedName>
    <definedName name="OSRRefP22_15x_0" localSheetId="73">'Div 4'!$P$79</definedName>
    <definedName name="OSRRefP22_15x_0" localSheetId="2">Summary!$P$250</definedName>
    <definedName name="OSRRefP22_16x_0" localSheetId="48">'300'!$P$213:$P$216</definedName>
    <definedName name="OSRRefP22_16x_0" localSheetId="49">'300 &amp; 317'!$P$238:$P$241</definedName>
    <definedName name="OSRRefP22_16x_0" localSheetId="50">'301'!$P$72:$P$74</definedName>
    <definedName name="OSRRefP22_16x_0" localSheetId="66">'310'!$P$77:$P$80</definedName>
    <definedName name="OSRRefP22_16x_0" localSheetId="74">'310 &amp; 491'!$P$87:$P$89</definedName>
    <definedName name="OSRRefP22_16x_0" localSheetId="71">'325'!$P$76</definedName>
    <definedName name="OSRRefP22_16x_0" localSheetId="60">'326'!$P$107</definedName>
    <definedName name="OSRRefP22_16x_0" localSheetId="58">'331'!$P$138:$P$139</definedName>
    <definedName name="OSRRefP22_16x_0" localSheetId="76">'405'!$P$76</definedName>
    <definedName name="OSRRefP22_16x_0" localSheetId="78">'411'!$P$77</definedName>
    <definedName name="OSRRefP22_16x_0" localSheetId="82">'415'!$P$81</definedName>
    <definedName name="OSRRefP22_16x_0" localSheetId="91">'433'!$P$81</definedName>
    <definedName name="OSRRefP22_16x_0" localSheetId="93">'444'!$P$82</definedName>
    <definedName name="OSRRefP22_16x_0" localSheetId="94">'450'!$P$77</definedName>
    <definedName name="OSRRefP22_16x_0" localSheetId="75">'491'!$P$82:$P$83</definedName>
    <definedName name="OSRRefP22_16x_0" localSheetId="89">'492'!$P$85</definedName>
    <definedName name="OSRRefP22_16x_0" localSheetId="39">'Div 2'!$P$75:$P$79</definedName>
    <definedName name="OSRRefP22_16x_0" localSheetId="47">'Div 3'!$P$218</definedName>
    <definedName name="OSRRefP22_16x_0" localSheetId="73">'Div 4'!$P$81:$P$83</definedName>
    <definedName name="OSRRefP22_16x_0" localSheetId="2">Summary!$P$252</definedName>
    <definedName name="OSRRefP22_17x_0" localSheetId="48">'300'!$P$218:$P$220</definedName>
    <definedName name="OSRRefP22_17x_0" localSheetId="49">'300 &amp; 317'!$P$243:$P$245</definedName>
    <definedName name="OSRRefP22_17x_0" localSheetId="50">'301'!$P$76</definedName>
    <definedName name="OSRRefP22_17x_0" localSheetId="66">'310'!$P$82</definedName>
    <definedName name="OSRRefP22_17x_0" localSheetId="74">'310 &amp; 491'!$P$91:$P$92</definedName>
    <definedName name="OSRRefP22_17x_0" localSheetId="60">'326'!$P$109</definedName>
    <definedName name="OSRRefP22_17x_0" localSheetId="58">'331'!$P$141:$P$146</definedName>
    <definedName name="OSRRefP22_17x_0" localSheetId="76">'405'!$P$78</definedName>
    <definedName name="OSRRefP22_17x_0" localSheetId="78">'411'!$P$79:$P$81</definedName>
    <definedName name="OSRRefP22_17x_0" localSheetId="82">'415'!$P$83</definedName>
    <definedName name="OSRRefP22_17x_0" localSheetId="93">'444'!$P$84</definedName>
    <definedName name="OSRRefP22_17x_0" localSheetId="94">'450'!$P$79</definedName>
    <definedName name="OSRRefP22_17x_0" localSheetId="75">'491'!$P$85:$P$89</definedName>
    <definedName name="OSRRefP22_17x_0" localSheetId="89">'492'!$P$87</definedName>
    <definedName name="OSRRefP22_17x_0" localSheetId="39">'Div 2'!$P$81:$P$82</definedName>
    <definedName name="OSRRefP22_17x_0" localSheetId="47">'Div 3'!$P$220:$P$223</definedName>
    <definedName name="OSRRefP22_17x_0" localSheetId="73">'Div 4'!$P$85:$P$86</definedName>
    <definedName name="OSRRefP22_17x_0" localSheetId="2">Summary!$P$254</definedName>
    <definedName name="OSRRefP22_18x_0" localSheetId="48">'300'!$P$222:$P$225</definedName>
    <definedName name="OSRRefP22_18x_0" localSheetId="49">'300 &amp; 317'!$P$247:$P$250</definedName>
    <definedName name="OSRRefP22_18x_0" localSheetId="50">'301'!$P$78:$P$83</definedName>
    <definedName name="OSRRefP22_18x_0" localSheetId="66">'310'!$P$84:$P$90</definedName>
    <definedName name="OSRRefP22_18x_0" localSheetId="74">'310 &amp; 491'!$P$94:$P$98</definedName>
    <definedName name="OSRRefP22_18x_0" localSheetId="60">'326'!$P$111</definedName>
    <definedName name="OSRRefP22_18x_0" localSheetId="58">'331'!$P$148</definedName>
    <definedName name="OSRRefP22_18x_0" localSheetId="78">'411'!$P$83</definedName>
    <definedName name="OSRRefP22_18x_0" localSheetId="75">'491'!$P$91</definedName>
    <definedName name="OSRRefP22_18x_0" localSheetId="89">'492'!$P$89</definedName>
    <definedName name="OSRRefP22_18x_0" localSheetId="39">'Div 2'!$P$84</definedName>
    <definedName name="OSRRefP22_18x_0" localSheetId="47">'Div 3'!$P$225:$P$227</definedName>
    <definedName name="OSRRefP22_18x_0" localSheetId="73">'Div 4'!$P$88:$P$92</definedName>
    <definedName name="OSRRefP22_18x_0" localSheetId="2">Summary!$P$256:$P$259</definedName>
    <definedName name="OSRRefP22_19x_0" localSheetId="48">'300'!$P$227:$P$228</definedName>
    <definedName name="OSRRefP22_19x_0" localSheetId="49">'300 &amp; 317'!$P$252:$P$253</definedName>
    <definedName name="OSRRefP22_19x_0" localSheetId="50">'301'!$P$85</definedName>
    <definedName name="OSRRefP22_19x_0" localSheetId="66">'310'!$P$92</definedName>
    <definedName name="OSRRefP22_19x_0" localSheetId="74">'310 &amp; 491'!$P$100</definedName>
    <definedName name="OSRRefP22_19x_0" localSheetId="58">'331'!$P$150</definedName>
    <definedName name="OSRRefP22_19x_0" localSheetId="75">'491'!$P$93:$P$101</definedName>
    <definedName name="OSRRefP22_19x_0" localSheetId="39">'Div 2'!$P$86:$P$87</definedName>
    <definedName name="OSRRefP22_19x_0" localSheetId="47">'Div 3'!$P$229:$P$233</definedName>
    <definedName name="OSRRefP22_19x_0" localSheetId="73">'Div 4'!$P$94:$P$95</definedName>
    <definedName name="OSRRefP22_19x_0" localSheetId="2">Summary!$P$261:$P$263</definedName>
    <definedName name="OSRRefP22_1x_0" localSheetId="40">'200'!$P$22</definedName>
    <definedName name="OSRRefP22_1x_0" localSheetId="41">'201'!$P$29:$P$31</definedName>
    <definedName name="OSRRefP22_1x_0" localSheetId="42">'202'!$P$29:$P$32</definedName>
    <definedName name="OSRRefP22_1x_0" localSheetId="43">'203'!$P$31:$P$34</definedName>
    <definedName name="OSRRefP22_1x_0" localSheetId="44">'204'!$P$30:$P$34</definedName>
    <definedName name="OSRRefP22_1x_0" localSheetId="45">'205'!$P$29</definedName>
    <definedName name="OSRRefP22_1x_0" localSheetId="46">'206'!$P$28:$P$31</definedName>
    <definedName name="OSRRefP22_1x_0" localSheetId="48">'300'!$P$173:$P$179</definedName>
    <definedName name="OSRRefP22_1x_0" localSheetId="49">'300 &amp; 317'!$P$198:$P$204</definedName>
    <definedName name="OSRRefP22_1x_0" localSheetId="50">'301'!$P$30:$P$36</definedName>
    <definedName name="OSRRefP22_1x_0" localSheetId="51">'306'!$P$30:$P$35</definedName>
    <definedName name="OSRRefP22_1x_0" localSheetId="53">'307'!$P$78:$P$81</definedName>
    <definedName name="OSRRefP22_1x_0" localSheetId="55">'308'!$P$73:$P$78</definedName>
    <definedName name="OSRRefP22_1x_0" localSheetId="67">'309'!$P$33:$P$37</definedName>
    <definedName name="OSRRefP22_1x_0" localSheetId="66">'310'!$P$39:$P$44</definedName>
    <definedName name="OSRRefP22_1x_0" localSheetId="74">'310 &amp; 491'!$P$47:$P$53</definedName>
    <definedName name="OSRRefP22_1x_0" localSheetId="56">'311'!$P$72:$P$77</definedName>
    <definedName name="OSRRefP22_1x_0" localSheetId="68">'313'!$P$36:$P$40</definedName>
    <definedName name="OSRRefP22_1x_0" localSheetId="54">'314'!$P$63:$P$65</definedName>
    <definedName name="OSRRefP22_1x_0" localSheetId="59">'315'!$P$90:$P$95</definedName>
    <definedName name="OSRRefP22_1x_0" localSheetId="62">'316'!$P$41:$P$43</definedName>
    <definedName name="OSRRefP22_1x_0" localSheetId="65">'317'!$P$68:$P$72</definedName>
    <definedName name="OSRRefP22_1x_0" localSheetId="63">'320'!$P$36:$P$38</definedName>
    <definedName name="OSRRefP22_1x_0" localSheetId="69">'321'!$P$33:$P$37</definedName>
    <definedName name="OSRRefP22_1x_0" localSheetId="70">'322'!$P$33:$P$36</definedName>
    <definedName name="OSRRefP22_1x_0" localSheetId="71">'325'!$P$33:$P$37</definedName>
    <definedName name="OSRRefP22_1x_0" localSheetId="60">'326'!$P$67:$P$71</definedName>
    <definedName name="OSRRefP22_1x_0" localSheetId="72">'327'!$P$24</definedName>
    <definedName name="OSRRefP22_1x_0" localSheetId="52">'330'!$P$87:$P$91</definedName>
    <definedName name="OSRRefP22_1x_0" localSheetId="58">'331'!$P$97:$P$102</definedName>
    <definedName name="OSRRefP22_1x_0" localSheetId="61">'332'!$P$49:$P$52</definedName>
    <definedName name="OSRRefP22_1x_0" localSheetId="76">'405'!$P$33:$P$36</definedName>
    <definedName name="OSRRefP22_1x_0" localSheetId="77">'406'!$P$33:$P$37</definedName>
    <definedName name="OSRRefP22_1x_0" localSheetId="78">'411'!$P$30:$P$35</definedName>
    <definedName name="OSRRefP22_1x_0" localSheetId="79">'412'!$P$32:$P$37</definedName>
    <definedName name="OSRRefP22_1x_0" localSheetId="80">'413'!$P$33:$P$36</definedName>
    <definedName name="OSRRefP22_1x_0" localSheetId="81">'414'!$P$32:$P$35</definedName>
    <definedName name="OSRRefP22_1x_0" localSheetId="82">'415'!$P$33:$P$37</definedName>
    <definedName name="OSRRefP22_1x_0" localSheetId="83">'418'!$P$33:$P$38</definedName>
    <definedName name="OSRRefP22_1x_0" localSheetId="84">'420'!$P$30:$P$33</definedName>
    <definedName name="OSRRefP22_1x_0" localSheetId="85">'423'!$P$30</definedName>
    <definedName name="OSRRefP22_1x_0" localSheetId="86">'424'!$P$26:$P$29</definedName>
    <definedName name="OSRRefP22_1x_0" localSheetId="87">'425'!$P$33:$P$37</definedName>
    <definedName name="OSRRefP22_1x_0" localSheetId="90">'430'!$P$29</definedName>
    <definedName name="OSRRefP22_1x_0" localSheetId="91">'433'!$P$35:$P$40</definedName>
    <definedName name="OSRRefP22_1x_0" localSheetId="92">'435'!$P$29:$P$30</definedName>
    <definedName name="OSRRefP22_1x_0" localSheetId="93">'444'!$P$35:$P$40</definedName>
    <definedName name="OSRRefP22_1x_0" localSheetId="94">'450'!$P$35:$P$40</definedName>
    <definedName name="OSRRefP22_1x_0" localSheetId="88">'455'!$P$28:$P$29</definedName>
    <definedName name="OSRRefP22_1x_0" localSheetId="75">'491'!$P$41:$P$47</definedName>
    <definedName name="OSRRefP22_1x_0" localSheetId="89">'492'!$P$37:$P$43</definedName>
    <definedName name="OSRRefP22_1x_0" localSheetId="96">'501'!$P$31:$P$35</definedName>
    <definedName name="OSRRefP22_1x_0" localSheetId="39">'Div 2'!$P$32:$P$38</definedName>
    <definedName name="OSRRefP22_1x_0" localSheetId="47">'Div 3'!$P$178:$P$184</definedName>
    <definedName name="OSRRefP22_1x_0" localSheetId="73">'Div 4'!$P$42:$P$48</definedName>
    <definedName name="OSRRefP22_1x_0" localSheetId="95">'Div 5'!$P$31:$P$35</definedName>
    <definedName name="OSRRefP22_1x_0" localSheetId="64">'Div 6'!$P$68:$P$72</definedName>
    <definedName name="OSRRefP22_1x_0" localSheetId="2">Summary!$P$210:$P$216</definedName>
    <definedName name="OSRRefP22_20x_0" localSheetId="48">'300'!$P$230:$P$236</definedName>
    <definedName name="OSRRefP22_20x_0" localSheetId="49">'300 &amp; 317'!$P$255:$P$261</definedName>
    <definedName name="OSRRefP22_20x_0" localSheetId="50">'301'!$P$87</definedName>
    <definedName name="OSRRefP22_20x_0" localSheetId="66">'310'!$P$94</definedName>
    <definedName name="OSRRefP22_20x_0" localSheetId="74">'310 &amp; 491'!$P$102:$P$110</definedName>
    <definedName name="OSRRefP22_20x_0" localSheetId="58">'331'!$P$152:$P$153</definedName>
    <definedName name="OSRRefP22_20x_0" localSheetId="75">'491'!$P$103</definedName>
    <definedName name="OSRRefP22_20x_0" localSheetId="47">'Div 3'!$P$235:$P$236</definedName>
    <definedName name="OSRRefP22_20x_0" localSheetId="73">'Div 4'!$P$97:$P$105</definedName>
    <definedName name="OSRRefP22_20x_0" localSheetId="2">Summary!$P$265:$P$269</definedName>
    <definedName name="OSRRefP22_21x_0" localSheetId="48">'300'!$P$238:$P$239</definedName>
    <definedName name="OSRRefP22_21x_0" localSheetId="49">'300 &amp; 317'!$P$263:$P$264</definedName>
    <definedName name="OSRRefP22_21x_0" localSheetId="50">'301'!$P$89:$P$91</definedName>
    <definedName name="OSRRefP22_21x_0" localSheetId="66">'310'!$P$96</definedName>
    <definedName name="OSRRefP22_21x_0" localSheetId="74">'310 &amp; 491'!$P$112</definedName>
    <definedName name="OSRRefP22_21x_0" localSheetId="58">'331'!$P$155</definedName>
    <definedName name="OSRRefP22_21x_0" localSheetId="75">'491'!$P$105</definedName>
    <definedName name="OSRRefP22_21x_0" localSheetId="47">'Div 3'!$P$238:$P$244</definedName>
    <definedName name="OSRRefP22_21x_0" localSheetId="73">'Div 4'!$P$107</definedName>
    <definedName name="OSRRefP22_21x_0" localSheetId="2">Summary!$P$271:$P$272</definedName>
    <definedName name="OSRRefP22_22x_0" localSheetId="48">'300'!$P$241</definedName>
    <definedName name="OSRRefP22_22x_0" localSheetId="49">'300 &amp; 317'!$P$266</definedName>
    <definedName name="OSRRefP22_22x_0" localSheetId="50">'301'!$P$93</definedName>
    <definedName name="OSRRefP22_22x_0" localSheetId="74">'310 &amp; 491'!$P$114</definedName>
    <definedName name="OSRRefP22_22x_0" localSheetId="75">'491'!$P$107:$P$109</definedName>
    <definedName name="OSRRefP22_22x_0" localSheetId="47">'Div 3'!$P$246:$P$247</definedName>
    <definedName name="OSRRefP22_22x_0" localSheetId="73">'Div 4'!$P$109</definedName>
    <definedName name="OSRRefP22_22x_0" localSheetId="2">Summary!$P$274:$P$282</definedName>
    <definedName name="OSRRefP22_23x_0" localSheetId="48">'300'!$P$243:$P$245</definedName>
    <definedName name="OSRRefP22_23x_0" localSheetId="49">'300 &amp; 317'!$P$268:$P$270</definedName>
    <definedName name="OSRRefP22_23x_0" localSheetId="74">'310 &amp; 491'!$P$116:$P$118</definedName>
    <definedName name="OSRRefP22_23x_0" localSheetId="75">'491'!$P$111</definedName>
    <definedName name="OSRRefP22_23x_0" localSheetId="47">'Div 3'!$P$249</definedName>
    <definedName name="OSRRefP22_23x_0" localSheetId="73">'Div 4'!$P$111:$P$113</definedName>
    <definedName name="OSRRefP22_23x_0" localSheetId="2">Summary!$P$284:$P$285</definedName>
    <definedName name="OSRRefP22_24x_0" localSheetId="48">'300'!$P$247</definedName>
    <definedName name="OSRRefP22_24x_0" localSheetId="49">'300 &amp; 317'!$P$272</definedName>
    <definedName name="OSRRefP22_24x_0" localSheetId="74">'310 &amp; 491'!$P$120</definedName>
    <definedName name="OSRRefP22_24x_0" localSheetId="47">'Div 3'!$P$251:$P$253</definedName>
    <definedName name="OSRRefP22_24x_0" localSheetId="73">'Div 4'!$P$115</definedName>
    <definedName name="OSRRefP22_24x_0" localSheetId="2">Summary!$P$287</definedName>
    <definedName name="OSRRefP22_25x_0" localSheetId="47">'Div 3'!$P$255</definedName>
    <definedName name="OSRRefP22_25x_0" localSheetId="2">Summary!$P$289:$P$291</definedName>
    <definedName name="OSRRefP22_26x_0" localSheetId="2">Summary!$P$293</definedName>
    <definedName name="OSRRefP22_2x_0" localSheetId="40">'200'!$P$24</definedName>
    <definedName name="OSRRefP22_2x_0" localSheetId="41">'201'!$P$33</definedName>
    <definedName name="OSRRefP22_2x_0" localSheetId="42">'202'!$P$34</definedName>
    <definedName name="OSRRefP22_2x_0" localSheetId="43">'203'!$P$36</definedName>
    <definedName name="OSRRefP22_2x_0" localSheetId="44">'204'!$P$36</definedName>
    <definedName name="OSRRefP22_2x_0" localSheetId="45">'205'!$P$31</definedName>
    <definedName name="OSRRefP22_2x_0" localSheetId="46">'206'!$P$33</definedName>
    <definedName name="OSRRefP22_2x_0" localSheetId="48">'300'!$P$181</definedName>
    <definedName name="OSRRefP22_2x_0" localSheetId="49">'300 &amp; 317'!$P$206</definedName>
    <definedName name="OSRRefP22_2x_0" localSheetId="50">'301'!$P$38</definedName>
    <definedName name="OSRRefP22_2x_0" localSheetId="51">'306'!$P$37</definedName>
    <definedName name="OSRRefP22_2x_0" localSheetId="53">'307'!$P$83</definedName>
    <definedName name="OSRRefP22_2x_0" localSheetId="55">'308'!$P$80</definedName>
    <definedName name="OSRRefP22_2x_0" localSheetId="67">'309'!$P$39</definedName>
    <definedName name="OSRRefP22_2x_0" localSheetId="66">'310'!$P$46</definedName>
    <definedName name="OSRRefP22_2x_0" localSheetId="74">'310 &amp; 491'!$P$55</definedName>
    <definedName name="OSRRefP22_2x_0" localSheetId="56">'311'!$P$79</definedName>
    <definedName name="OSRRefP22_2x_0" localSheetId="68">'313'!$P$42</definedName>
    <definedName name="OSRRefP22_2x_0" localSheetId="54">'314'!$P$67</definedName>
    <definedName name="OSRRefP22_2x_0" localSheetId="59">'315'!$P$97</definedName>
    <definedName name="OSRRefP22_2x_0" localSheetId="62">'316'!$P$45</definedName>
    <definedName name="OSRRefP22_2x_0" localSheetId="65">'317'!$P$74</definedName>
    <definedName name="OSRRefP22_2x_0" localSheetId="63">'320'!$P$40</definedName>
    <definedName name="OSRRefP22_2x_0" localSheetId="69">'321'!$P$39</definedName>
    <definedName name="OSRRefP22_2x_0" localSheetId="70">'322'!$P$38</definedName>
    <definedName name="OSRRefP22_2x_0" localSheetId="71">'325'!$P$39</definedName>
    <definedName name="OSRRefP22_2x_0" localSheetId="60">'326'!$P$73</definedName>
    <definedName name="OSRRefP22_2x_0" localSheetId="72">'327'!$P$26</definedName>
    <definedName name="OSRRefP22_2x_0" localSheetId="52">'330'!$P$93</definedName>
    <definedName name="OSRRefP22_2x_0" localSheetId="58">'331'!$P$104</definedName>
    <definedName name="OSRRefP22_2x_0" localSheetId="61">'332'!$P$54</definedName>
    <definedName name="OSRRefP22_2x_0" localSheetId="76">'405'!$P$38</definedName>
    <definedName name="OSRRefP22_2x_0" localSheetId="77">'406'!$P$39</definedName>
    <definedName name="OSRRefP22_2x_0" localSheetId="78">'411'!$P$37</definedName>
    <definedName name="OSRRefP22_2x_0" localSheetId="79">'412'!$P$39</definedName>
    <definedName name="OSRRefP22_2x_0" localSheetId="80">'413'!$P$38</definedName>
    <definedName name="OSRRefP22_2x_0" localSheetId="81">'414'!$P$37</definedName>
    <definedName name="OSRRefP22_2x_0" localSheetId="82">'415'!$P$39</definedName>
    <definedName name="OSRRefP22_2x_0" localSheetId="83">'418'!$P$40</definedName>
    <definedName name="OSRRefP22_2x_0" localSheetId="84">'420'!$P$35</definedName>
    <definedName name="OSRRefP22_2x_0" localSheetId="85">'423'!$P$32</definedName>
    <definedName name="OSRRefP22_2x_0" localSheetId="86">'424'!$P$31</definedName>
    <definedName name="OSRRefP22_2x_0" localSheetId="87">'425'!$P$39</definedName>
    <definedName name="OSRRefP22_2x_0" localSheetId="90">'430'!$P$31</definedName>
    <definedName name="OSRRefP22_2x_0" localSheetId="91">'433'!$P$42</definedName>
    <definedName name="OSRRefP22_2x_0" localSheetId="92">'435'!$P$32</definedName>
    <definedName name="OSRRefP22_2x_0" localSheetId="93">'444'!$P$42</definedName>
    <definedName name="OSRRefP22_2x_0" localSheetId="94">'450'!$P$42</definedName>
    <definedName name="OSRRefP22_2x_0" localSheetId="75">'491'!$P$49</definedName>
    <definedName name="OSRRefP22_2x_0" localSheetId="89">'492'!$P$45</definedName>
    <definedName name="OSRRefP22_2x_0" localSheetId="96">'501'!$P$37</definedName>
    <definedName name="OSRRefP22_2x_0" localSheetId="39">'Div 2'!$P$40</definedName>
    <definedName name="OSRRefP22_2x_0" localSheetId="47">'Div 3'!$P$186</definedName>
    <definedName name="OSRRefP22_2x_0" localSheetId="73">'Div 4'!$P$50</definedName>
    <definedName name="OSRRefP22_2x_0" localSheetId="95">'Div 5'!$P$37</definedName>
    <definedName name="OSRRefP22_2x_0" localSheetId="64">'Div 6'!$P$74</definedName>
    <definedName name="OSRRefP22_2x_0" localSheetId="2">Summary!$P$218</definedName>
    <definedName name="OSRRefP22_3x_0" localSheetId="40">'200'!$P$26</definedName>
    <definedName name="OSRRefP22_3x_0" localSheetId="41">'201'!$P$35</definedName>
    <definedName name="OSRRefP22_3x_0" localSheetId="42">'202'!$P$36</definedName>
    <definedName name="OSRRefP22_3x_0" localSheetId="43">'203'!$P$38</definedName>
    <definedName name="OSRRefP22_3x_0" localSheetId="44">'204'!$P$38</definedName>
    <definedName name="OSRRefP22_3x_0" localSheetId="45">'205'!$P$33</definedName>
    <definedName name="OSRRefP22_3x_0" localSheetId="46">'206'!$P$35</definedName>
    <definedName name="OSRRefP22_3x_0" localSheetId="48">'300'!$P$183:$P$184</definedName>
    <definedName name="OSRRefP22_3x_0" localSheetId="49">'300 &amp; 317'!$P$208:$P$209</definedName>
    <definedName name="OSRRefP22_3x_0" localSheetId="50">'301'!$P$40:$P$41</definedName>
    <definedName name="OSRRefP22_3x_0" localSheetId="51">'306'!$P$39</definedName>
    <definedName name="OSRRefP22_3x_0" localSheetId="53">'307'!$P$85</definedName>
    <definedName name="OSRRefP22_3x_0" localSheetId="55">'308'!$P$82:$P$83</definedName>
    <definedName name="OSRRefP22_3x_0" localSheetId="67">'309'!$P$41</definedName>
    <definedName name="OSRRefP22_3x_0" localSheetId="66">'310'!$P$48</definedName>
    <definedName name="OSRRefP22_3x_0" localSheetId="74">'310 &amp; 491'!$P$57</definedName>
    <definedName name="OSRRefP22_3x_0" localSheetId="56">'311'!$P$81:$P$82</definedName>
    <definedName name="OSRRefP22_3x_0" localSheetId="68">'313'!$P$44</definedName>
    <definedName name="OSRRefP22_3x_0" localSheetId="54">'314'!$P$69:$P$70</definedName>
    <definedName name="OSRRefP22_3x_0" localSheetId="59">'315'!$P$99:$P$100</definedName>
    <definedName name="OSRRefP22_3x_0" localSheetId="62">'316'!$P$47</definedName>
    <definedName name="OSRRefP22_3x_0" localSheetId="65">'317'!$P$76</definedName>
    <definedName name="OSRRefP22_3x_0" localSheetId="63">'320'!$P$42</definedName>
    <definedName name="OSRRefP22_3x_0" localSheetId="69">'321'!$P$41</definedName>
    <definedName name="OSRRefP22_3x_0" localSheetId="70">'322'!$P$40</definedName>
    <definedName name="OSRRefP22_3x_0" localSheetId="71">'325'!$P$41</definedName>
    <definedName name="OSRRefP22_3x_0" localSheetId="60">'326'!$P$75</definedName>
    <definedName name="OSRRefP22_3x_0" localSheetId="52">'330'!$P$95</definedName>
    <definedName name="OSRRefP22_3x_0" localSheetId="58">'331'!$P$106</definedName>
    <definedName name="OSRRefP22_3x_0" localSheetId="61">'332'!$P$56</definedName>
    <definedName name="OSRRefP22_3x_0" localSheetId="76">'405'!$P$40</definedName>
    <definedName name="OSRRefP22_3x_0" localSheetId="77">'406'!$P$41</definedName>
    <definedName name="OSRRefP22_3x_0" localSheetId="78">'411'!$P$39</definedName>
    <definedName name="OSRRefP22_3x_0" localSheetId="79">'412'!$P$41</definedName>
    <definedName name="OSRRefP22_3x_0" localSheetId="80">'413'!$P$40</definedName>
    <definedName name="OSRRefP22_3x_0" localSheetId="81">'414'!$P$39</definedName>
    <definedName name="OSRRefP22_3x_0" localSheetId="82">'415'!$P$41</definedName>
    <definedName name="OSRRefP22_3x_0" localSheetId="83">'418'!$P$42</definedName>
    <definedName name="OSRRefP22_3x_0" localSheetId="84">'420'!$P$37</definedName>
    <definedName name="OSRRefP22_3x_0" localSheetId="85">'423'!$P$34</definedName>
    <definedName name="OSRRefP22_3x_0" localSheetId="86">'424'!$P$33</definedName>
    <definedName name="OSRRefP22_3x_0" localSheetId="87">'425'!$P$41</definedName>
    <definedName name="OSRRefP22_3x_0" localSheetId="90">'430'!$P$33</definedName>
    <definedName name="OSRRefP22_3x_0" localSheetId="91">'433'!$P$44</definedName>
    <definedName name="OSRRefP22_3x_0" localSheetId="92">'435'!$P$34</definedName>
    <definedName name="OSRRefP22_3x_0" localSheetId="93">'444'!$P$44</definedName>
    <definedName name="OSRRefP22_3x_0" localSheetId="94">'450'!$P$44</definedName>
    <definedName name="OSRRefP22_3x_0" localSheetId="75">'491'!$P$51</definedName>
    <definedName name="OSRRefP22_3x_0" localSheetId="89">'492'!$P$47</definedName>
    <definedName name="OSRRefP22_3x_0" localSheetId="96">'501'!$P$39</definedName>
    <definedName name="OSRRefP22_3x_0" localSheetId="39">'Div 2'!$P$42</definedName>
    <definedName name="OSRRefP22_3x_0" localSheetId="47">'Div 3'!$P$188:$P$189</definedName>
    <definedName name="OSRRefP22_3x_0" localSheetId="73">'Div 4'!$P$52</definedName>
    <definedName name="OSRRefP22_3x_0" localSheetId="95">'Div 5'!$P$39</definedName>
    <definedName name="OSRRefP22_3x_0" localSheetId="64">'Div 6'!$P$76</definedName>
    <definedName name="OSRRefP22_3x_0" localSheetId="2">Summary!$P$220:$P$221</definedName>
    <definedName name="OSRRefP22_4x_0" localSheetId="40">'200'!$P$28:$P$29</definedName>
    <definedName name="OSRRefP22_4x_0" localSheetId="41">'201'!$P$37</definedName>
    <definedName name="OSRRefP22_4x_0" localSheetId="42">'202'!$P$38:$P$39</definedName>
    <definedName name="OSRRefP22_4x_0" localSheetId="43">'203'!$P$40</definedName>
    <definedName name="OSRRefP22_4x_0" localSheetId="44">'204'!$P$40</definedName>
    <definedName name="OSRRefP22_4x_0" localSheetId="45">'205'!$P$35:$P$36</definedName>
    <definedName name="OSRRefP22_4x_0" localSheetId="46">'206'!$P$37</definedName>
    <definedName name="OSRRefP22_4x_0" localSheetId="48">'300'!$P$186</definedName>
    <definedName name="OSRRefP22_4x_0" localSheetId="49">'300 &amp; 317'!$P$211</definedName>
    <definedName name="OSRRefP22_4x_0" localSheetId="50">'301'!$P$43</definedName>
    <definedName name="OSRRefP22_4x_0" localSheetId="51">'306'!$P$41</definedName>
    <definedName name="OSRRefP22_4x_0" localSheetId="53">'307'!$P$87:$P$88</definedName>
    <definedName name="OSRRefP22_4x_0" localSheetId="55">'308'!$P$85</definedName>
    <definedName name="OSRRefP22_4x_0" localSheetId="67">'309'!$P$43</definedName>
    <definedName name="OSRRefP22_4x_0" localSheetId="66">'310'!$P$50</definedName>
    <definedName name="OSRRefP22_4x_0" localSheetId="74">'310 &amp; 491'!$P$59</definedName>
    <definedName name="OSRRefP22_4x_0" localSheetId="56">'311'!$P$84</definedName>
    <definedName name="OSRRefP22_4x_0" localSheetId="68">'313'!$P$46</definedName>
    <definedName name="OSRRefP22_4x_0" localSheetId="54">'314'!$P$72</definedName>
    <definedName name="OSRRefP22_4x_0" localSheetId="59">'315'!$P$102</definedName>
    <definedName name="OSRRefP22_4x_0" localSheetId="62">'316'!$P$49</definedName>
    <definedName name="OSRRefP22_4x_0" localSheetId="65">'317'!$P$78</definedName>
    <definedName name="OSRRefP22_4x_0" localSheetId="63">'320'!$P$44:$P$45</definedName>
    <definedName name="OSRRefP22_4x_0" localSheetId="69">'321'!$P$43</definedName>
    <definedName name="OSRRefP22_4x_0" localSheetId="70">'322'!$P$42</definedName>
    <definedName name="OSRRefP22_4x_0" localSheetId="71">'325'!$P$43</definedName>
    <definedName name="OSRRefP22_4x_0" localSheetId="60">'326'!$P$77</definedName>
    <definedName name="OSRRefP22_4x_0" localSheetId="52">'330'!$P$97:$P$98</definedName>
    <definedName name="OSRRefP22_4x_0" localSheetId="58">'331'!$P$108</definedName>
    <definedName name="OSRRefP22_4x_0" localSheetId="61">'332'!$P$58</definedName>
    <definedName name="OSRRefP22_4x_0" localSheetId="76">'405'!$P$42</definedName>
    <definedName name="OSRRefP22_4x_0" localSheetId="77">'406'!$P$43</definedName>
    <definedName name="OSRRefP22_4x_0" localSheetId="78">'411'!$P$41:$P$43</definedName>
    <definedName name="OSRRefP22_4x_0" localSheetId="79">'412'!$P$43</definedName>
    <definedName name="OSRRefP22_4x_0" localSheetId="80">'413'!$P$42</definedName>
    <definedName name="OSRRefP22_4x_0" localSheetId="81">'414'!$P$41</definedName>
    <definedName name="OSRRefP22_4x_0" localSheetId="82">'415'!$P$43</definedName>
    <definedName name="OSRRefP22_4x_0" localSheetId="83">'418'!$P$44</definedName>
    <definedName name="OSRRefP22_4x_0" localSheetId="84">'420'!$P$39</definedName>
    <definedName name="OSRRefP22_4x_0" localSheetId="85">'423'!$P$36</definedName>
    <definedName name="OSRRefP22_4x_0" localSheetId="86">'424'!$P$35</definedName>
    <definedName name="OSRRefP22_4x_0" localSheetId="87">'425'!$P$43</definedName>
    <definedName name="OSRRefP22_4x_0" localSheetId="90">'430'!$P$35:$P$36</definedName>
    <definedName name="OSRRefP22_4x_0" localSheetId="91">'433'!$P$46</definedName>
    <definedName name="OSRRefP22_4x_0" localSheetId="92">'435'!$P$36</definedName>
    <definedName name="OSRRefP22_4x_0" localSheetId="93">'444'!$P$46</definedName>
    <definedName name="OSRRefP22_4x_0" localSheetId="94">'450'!$P$46</definedName>
    <definedName name="OSRRefP22_4x_0" localSheetId="75">'491'!$P$53</definedName>
    <definedName name="OSRRefP22_4x_0" localSheetId="89">'492'!$P$49</definedName>
    <definedName name="OSRRefP22_4x_0" localSheetId="96">'501'!$P$41</definedName>
    <definedName name="OSRRefP22_4x_0" localSheetId="39">'Div 2'!$P$44</definedName>
    <definedName name="OSRRefP22_4x_0" localSheetId="47">'Div 3'!$P$191</definedName>
    <definedName name="OSRRefP22_4x_0" localSheetId="73">'Div 4'!$P$54</definedName>
    <definedName name="OSRRefP22_4x_0" localSheetId="95">'Div 5'!$P$41</definedName>
    <definedName name="OSRRefP22_4x_0" localSheetId="64">'Div 6'!$P$78</definedName>
    <definedName name="OSRRefP22_4x_0" localSheetId="2">Summary!$P$223</definedName>
    <definedName name="OSRRefP22_5x_0" localSheetId="41">'201'!$P$39</definedName>
    <definedName name="OSRRefP22_5x_0" localSheetId="42">'202'!$P$41</definedName>
    <definedName name="OSRRefP22_5x_0" localSheetId="43">'203'!$P$42</definedName>
    <definedName name="OSRRefP22_5x_0" localSheetId="44">'204'!$P$42</definedName>
    <definedName name="OSRRefP22_5x_0" localSheetId="45">'205'!$P$38</definedName>
    <definedName name="OSRRefP22_5x_0" localSheetId="46">'206'!$P$39:$P$40</definedName>
    <definedName name="OSRRefP22_5x_0" localSheetId="48">'300'!$P$188:$P$189</definedName>
    <definedName name="OSRRefP22_5x_0" localSheetId="49">'300 &amp; 317'!$P$213:$P$214</definedName>
    <definedName name="OSRRefP22_5x_0" localSheetId="50">'301'!$P$45:$P$46</definedName>
    <definedName name="OSRRefP22_5x_0" localSheetId="51">'306'!$P$43</definedName>
    <definedName name="OSRRefP22_5x_0" localSheetId="53">'307'!$P$90</definedName>
    <definedName name="OSRRefP22_5x_0" localSheetId="55">'308'!$P$87</definedName>
    <definedName name="OSRRefP22_5x_0" localSheetId="67">'309'!$P$45</definedName>
    <definedName name="OSRRefP22_5x_0" localSheetId="66">'310'!$P$52:$P$53</definedName>
    <definedName name="OSRRefP22_5x_0" localSheetId="74">'310 &amp; 491'!$P$61:$P$63</definedName>
    <definedName name="OSRRefP22_5x_0" localSheetId="56">'311'!$P$86</definedName>
    <definedName name="OSRRefP22_5x_0" localSheetId="68">'313'!$P$48</definedName>
    <definedName name="OSRRefP22_5x_0" localSheetId="54">'314'!$P$74</definedName>
    <definedName name="OSRRefP22_5x_0" localSheetId="59">'315'!$P$104:$P$105</definedName>
    <definedName name="OSRRefP22_5x_0" localSheetId="62">'316'!$P$51:$P$52</definedName>
    <definedName name="OSRRefP22_5x_0" localSheetId="65">'317'!$P$80:$P$81</definedName>
    <definedName name="OSRRefP22_5x_0" localSheetId="63">'320'!$P$47</definedName>
    <definedName name="OSRRefP22_5x_0" localSheetId="69">'321'!$P$45</definedName>
    <definedName name="OSRRefP22_5x_0" localSheetId="70">'322'!$P$44</definedName>
    <definedName name="OSRRefP22_5x_0" localSheetId="71">'325'!$P$45:$P$46</definedName>
    <definedName name="OSRRefP22_5x_0" localSheetId="60">'326'!$P$79</definedName>
    <definedName name="OSRRefP22_5x_0" localSheetId="52">'330'!$P$100</definedName>
    <definedName name="OSRRefP22_5x_0" localSheetId="58">'331'!$P$110:$P$111</definedName>
    <definedName name="OSRRefP22_5x_0" localSheetId="61">'332'!$P$60</definedName>
    <definedName name="OSRRefP22_5x_0" localSheetId="76">'405'!$P$44:$P$45</definedName>
    <definedName name="OSRRefP22_5x_0" localSheetId="77">'406'!$P$45</definedName>
    <definedName name="OSRRefP22_5x_0" localSheetId="78">'411'!$P$45</definedName>
    <definedName name="OSRRefP22_5x_0" localSheetId="79">'412'!$P$45</definedName>
    <definedName name="OSRRefP22_5x_0" localSheetId="80">'413'!$P$44</definedName>
    <definedName name="OSRRefP22_5x_0" localSheetId="81">'414'!$P$43</definedName>
    <definedName name="OSRRefP22_5x_0" localSheetId="82">'415'!$P$45:$P$46</definedName>
    <definedName name="OSRRefP22_5x_0" localSheetId="83">'418'!$P$46:$P$47</definedName>
    <definedName name="OSRRefP22_5x_0" localSheetId="85">'423'!$P$38</definedName>
    <definedName name="OSRRefP22_5x_0" localSheetId="86">'424'!$P$37</definedName>
    <definedName name="OSRRefP22_5x_0" localSheetId="87">'425'!$P$45</definedName>
    <definedName name="OSRRefP22_5x_0" localSheetId="90">'430'!$P$38</definedName>
    <definedName name="OSRRefP22_5x_0" localSheetId="91">'433'!$P$48</definedName>
    <definedName name="OSRRefP22_5x_0" localSheetId="92">'435'!$P$38</definedName>
    <definedName name="OSRRefP22_5x_0" localSheetId="93">'444'!$P$48</definedName>
    <definedName name="OSRRefP22_5x_0" localSheetId="94">'450'!$P$48</definedName>
    <definedName name="OSRRefP22_5x_0" localSheetId="75">'491'!$P$55:$P$57</definedName>
    <definedName name="OSRRefP22_5x_0" localSheetId="89">'492'!$P$51</definedName>
    <definedName name="OSRRefP22_5x_0" localSheetId="96">'501'!$P$43:$P$44</definedName>
    <definedName name="OSRRefP22_5x_0" localSheetId="39">'Div 2'!$P$46</definedName>
    <definedName name="OSRRefP22_5x_0" localSheetId="47">'Div 3'!$P$193:$P$194</definedName>
    <definedName name="OSRRefP22_5x_0" localSheetId="73">'Div 4'!$P$56:$P$58</definedName>
    <definedName name="OSRRefP22_5x_0" localSheetId="95">'Div 5'!$P$43:$P$44</definedName>
    <definedName name="OSRRefP22_5x_0" localSheetId="64">'Div 6'!$P$80:$P$81</definedName>
    <definedName name="OSRRefP22_5x_0" localSheetId="2">Summary!$P$225:$P$227</definedName>
    <definedName name="OSRRefP22_6x_0" localSheetId="41">'201'!$P$41</definedName>
    <definedName name="OSRRefP22_6x_0" localSheetId="42">'202'!$P$43</definedName>
    <definedName name="OSRRefP22_6x_0" localSheetId="43">'203'!$P$44</definedName>
    <definedName name="OSRRefP22_6x_0" localSheetId="44">'204'!$P$44:$P$46</definedName>
    <definedName name="OSRRefP22_6x_0" localSheetId="45">'205'!$P$40:$P$42</definedName>
    <definedName name="OSRRefP22_6x_0" localSheetId="46">'206'!$P$42</definedName>
    <definedName name="OSRRefP22_6x_0" localSheetId="48">'300'!$P$191:$P$192</definedName>
    <definedName name="OSRRefP22_6x_0" localSheetId="49">'300 &amp; 317'!$P$216:$P$217</definedName>
    <definedName name="OSRRefP22_6x_0" localSheetId="50">'301'!$P$48:$P$49</definedName>
    <definedName name="OSRRefP22_6x_0" localSheetId="51">'306'!$P$45:$P$46</definedName>
    <definedName name="OSRRefP22_6x_0" localSheetId="53">'307'!$P$92</definedName>
    <definedName name="OSRRefP22_6x_0" localSheetId="55">'308'!$P$89:$P$90</definedName>
    <definedName name="OSRRefP22_6x_0" localSheetId="67">'309'!$P$47</definedName>
    <definedName name="OSRRefP22_6x_0" localSheetId="66">'310'!$P$55</definedName>
    <definedName name="OSRRefP22_6x_0" localSheetId="74">'310 &amp; 491'!$P$65</definedName>
    <definedName name="OSRRefP22_6x_0" localSheetId="56">'311'!$P$88:$P$89</definedName>
    <definedName name="OSRRefP22_6x_0" localSheetId="68">'313'!$P$50</definedName>
    <definedName name="OSRRefP22_6x_0" localSheetId="54">'314'!$P$76</definedName>
    <definedName name="OSRRefP22_6x_0" localSheetId="59">'315'!$P$107</definedName>
    <definedName name="OSRRefP22_6x_0" localSheetId="62">'316'!$P$54:$P$55</definedName>
    <definedName name="OSRRefP22_6x_0" localSheetId="65">'317'!$P$83</definedName>
    <definedName name="OSRRefP22_6x_0" localSheetId="63">'320'!$P$49</definedName>
    <definedName name="OSRRefP22_6x_0" localSheetId="69">'321'!$P$47:$P$49</definedName>
    <definedName name="OSRRefP22_6x_0" localSheetId="70">'322'!$P$46</definedName>
    <definedName name="OSRRefP22_6x_0" localSheetId="71">'325'!$P$48</definedName>
    <definedName name="OSRRefP22_6x_0" localSheetId="60">'326'!$P$81</definedName>
    <definedName name="OSRRefP22_6x_0" localSheetId="52">'330'!$P$102</definedName>
    <definedName name="OSRRefP22_6x_0" localSheetId="58">'331'!$P$113</definedName>
    <definedName name="OSRRefP22_6x_0" localSheetId="61">'332'!$P$62:$P$63</definedName>
    <definedName name="OSRRefP22_6x_0" localSheetId="76">'405'!$P$47</definedName>
    <definedName name="OSRRefP22_6x_0" localSheetId="77">'406'!$P$47</definedName>
    <definedName name="OSRRefP22_6x_0" localSheetId="78">'411'!$P$47</definedName>
    <definedName name="OSRRefP22_6x_0" localSheetId="79">'412'!$P$47</definedName>
    <definedName name="OSRRefP22_6x_0" localSheetId="80">'413'!$P$46</definedName>
    <definedName name="OSRRefP22_6x_0" localSheetId="81">'414'!$P$45</definedName>
    <definedName name="OSRRefP22_6x_0" localSheetId="82">'415'!$P$48</definedName>
    <definedName name="OSRRefP22_6x_0" localSheetId="83">'418'!$P$49</definedName>
    <definedName name="OSRRefP22_6x_0" localSheetId="86">'424'!$P$39</definedName>
    <definedName name="OSRRefP22_6x_0" localSheetId="87">'425'!$P$47</definedName>
    <definedName name="OSRRefP22_6x_0" localSheetId="90">'430'!$P$40</definedName>
    <definedName name="OSRRefP22_6x_0" localSheetId="91">'433'!$P$50</definedName>
    <definedName name="OSRRefP22_6x_0" localSheetId="92">'435'!$P$40:$P$42</definedName>
    <definedName name="OSRRefP22_6x_0" localSheetId="93">'444'!$P$50</definedName>
    <definedName name="OSRRefP22_6x_0" localSheetId="94">'450'!$P$50</definedName>
    <definedName name="OSRRefP22_6x_0" localSheetId="75">'491'!$P$59</definedName>
    <definedName name="OSRRefP22_6x_0" localSheetId="89">'492'!$P$53</definedName>
    <definedName name="OSRRefP22_6x_0" localSheetId="96">'501'!$P$46</definedName>
    <definedName name="OSRRefP22_6x_0" localSheetId="39">'Div 2'!$P$48</definedName>
    <definedName name="OSRRefP22_6x_0" localSheetId="47">'Div 3'!$P$196:$P$197</definedName>
    <definedName name="OSRRefP22_6x_0" localSheetId="73">'Div 4'!$P$60</definedName>
    <definedName name="OSRRefP22_6x_0" localSheetId="95">'Div 5'!$P$46</definedName>
    <definedName name="OSRRefP22_6x_0" localSheetId="64">'Div 6'!$P$83</definedName>
    <definedName name="OSRRefP22_6x_0" localSheetId="2">Summary!$P$229:$P$230</definedName>
    <definedName name="OSRRefP22_7x_0" localSheetId="41">'201'!$P$43</definedName>
    <definedName name="OSRRefP22_7x_0" localSheetId="42">'202'!$P$45:$P$47</definedName>
    <definedName name="OSRRefP22_7x_0" localSheetId="43">'203'!$P$46</definedName>
    <definedName name="OSRRefP22_7x_0" localSheetId="44">'204'!$P$48</definedName>
    <definedName name="OSRRefP22_7x_0" localSheetId="45">'205'!$P$44</definedName>
    <definedName name="OSRRefP22_7x_0" localSheetId="46">'206'!$P$44</definedName>
    <definedName name="OSRRefP22_7x_0" localSheetId="48">'300'!$P$194</definedName>
    <definedName name="OSRRefP22_7x_0" localSheetId="49">'300 &amp; 317'!$P$219</definedName>
    <definedName name="OSRRefP22_7x_0" localSheetId="50">'301'!$P$51</definedName>
    <definedName name="OSRRefP22_7x_0" localSheetId="51">'306'!$P$48:$P$50</definedName>
    <definedName name="OSRRefP22_7x_0" localSheetId="53">'307'!$P$94:$P$95</definedName>
    <definedName name="OSRRefP22_7x_0" localSheetId="55">'308'!$P$92</definedName>
    <definedName name="OSRRefP22_7x_0" localSheetId="67">'309'!$P$49:$P$50</definedName>
    <definedName name="OSRRefP22_7x_0" localSheetId="66">'310'!$P$57</definedName>
    <definedName name="OSRRefP22_7x_0" localSheetId="74">'310 &amp; 491'!$P$67</definedName>
    <definedName name="OSRRefP22_7x_0" localSheetId="56">'311'!$P$91</definedName>
    <definedName name="OSRRefP22_7x_0" localSheetId="68">'313'!$P$52</definedName>
    <definedName name="OSRRefP22_7x_0" localSheetId="59">'315'!$P$109:$P$110</definedName>
    <definedName name="OSRRefP22_7x_0" localSheetId="62">'316'!$P$57</definedName>
    <definedName name="OSRRefP22_7x_0" localSheetId="65">'317'!$P$85</definedName>
    <definedName name="OSRRefP22_7x_0" localSheetId="63">'320'!$P$51:$P$52</definedName>
    <definedName name="OSRRefP22_7x_0" localSheetId="69">'321'!$P$51</definedName>
    <definedName name="OSRRefP22_7x_0" localSheetId="70">'322'!$P$48</definedName>
    <definedName name="OSRRefP22_7x_0" localSheetId="71">'325'!$P$50</definedName>
    <definedName name="OSRRefP22_7x_0" localSheetId="60">'326'!$P$83</definedName>
    <definedName name="OSRRefP22_7x_0" localSheetId="52">'330'!$P$104</definedName>
    <definedName name="OSRRefP22_7x_0" localSheetId="58">'331'!$P$115:$P$116</definedName>
    <definedName name="OSRRefP22_7x_0" localSheetId="61">'332'!$P$65</definedName>
    <definedName name="OSRRefP22_7x_0" localSheetId="76">'405'!$P$49</definedName>
    <definedName name="OSRRefP22_7x_0" localSheetId="77">'406'!$P$49</definedName>
    <definedName name="OSRRefP22_7x_0" localSheetId="78">'411'!$P$49</definedName>
    <definedName name="OSRRefP22_7x_0" localSheetId="79">'412'!$P$49</definedName>
    <definedName name="OSRRefP22_7x_0" localSheetId="80">'413'!$P$48:$P$50</definedName>
    <definedName name="OSRRefP22_7x_0" localSheetId="81">'414'!$P$47</definedName>
    <definedName name="OSRRefP22_7x_0" localSheetId="82">'415'!$P$50</definedName>
    <definedName name="OSRRefP22_7x_0" localSheetId="83">'418'!$P$51</definedName>
    <definedName name="OSRRefP22_7x_0" localSheetId="86">'424'!$P$41</definedName>
    <definedName name="OSRRefP22_7x_0" localSheetId="87">'425'!$P$49</definedName>
    <definedName name="OSRRefP22_7x_0" localSheetId="90">'430'!$P$42</definedName>
    <definedName name="OSRRefP22_7x_0" localSheetId="91">'433'!$P$52</definedName>
    <definedName name="OSRRefP22_7x_0" localSheetId="92">'435'!$P$44</definedName>
    <definedName name="OSRRefP22_7x_0" localSheetId="93">'444'!$P$52</definedName>
    <definedName name="OSRRefP22_7x_0" localSheetId="94">'450'!$P$52</definedName>
    <definedName name="OSRRefP22_7x_0" localSheetId="75">'491'!$P$61</definedName>
    <definedName name="OSRRefP22_7x_0" localSheetId="89">'492'!$P$55</definedName>
    <definedName name="OSRRefP22_7x_0" localSheetId="96">'501'!$P$48</definedName>
    <definedName name="OSRRefP22_7x_0" localSheetId="39">'Div 2'!$P$50</definedName>
    <definedName name="OSRRefP22_7x_0" localSheetId="47">'Div 3'!$P$199</definedName>
    <definedName name="OSRRefP22_7x_0" localSheetId="73">'Div 4'!$P$62</definedName>
    <definedName name="OSRRefP22_7x_0" localSheetId="95">'Div 5'!$P$48</definedName>
    <definedName name="OSRRefP22_7x_0" localSheetId="64">'Div 6'!$P$85</definedName>
    <definedName name="OSRRefP22_7x_0" localSheetId="2">Summary!$P$232</definedName>
    <definedName name="OSRRefP22_8x_0" localSheetId="41">'201'!$P$45</definedName>
    <definedName name="OSRRefP22_8x_0" localSheetId="42">'202'!$P$49</definedName>
    <definedName name="OSRRefP22_8x_0" localSheetId="43">'203'!$P$48</definedName>
    <definedName name="OSRRefP22_8x_0" localSheetId="44">'204'!$P$50:$P$51</definedName>
    <definedName name="OSRRefP22_8x_0" localSheetId="45">'205'!$P$46</definedName>
    <definedName name="OSRRefP22_8x_0" localSheetId="48">'300'!$P$196</definedName>
    <definedName name="OSRRefP22_8x_0" localSheetId="49">'300 &amp; 317'!$P$221</definedName>
    <definedName name="OSRRefP22_8x_0" localSheetId="50">'301'!$P$53</definedName>
    <definedName name="OSRRefP22_8x_0" localSheetId="51">'306'!$P$52</definedName>
    <definedName name="OSRRefP22_8x_0" localSheetId="53">'307'!$P$97:$P$98</definedName>
    <definedName name="OSRRefP22_8x_0" localSheetId="55">'308'!$P$94</definedName>
    <definedName name="OSRRefP22_8x_0" localSheetId="67">'309'!$P$52:$P$54</definedName>
    <definedName name="OSRRefP22_8x_0" localSheetId="66">'310'!$P$59</definedName>
    <definedName name="OSRRefP22_8x_0" localSheetId="74">'310 &amp; 491'!$P$69</definedName>
    <definedName name="OSRRefP22_8x_0" localSheetId="56">'311'!$P$93</definedName>
    <definedName name="OSRRefP22_8x_0" localSheetId="68">'313'!$P$54:$P$56</definedName>
    <definedName name="OSRRefP22_8x_0" localSheetId="59">'315'!$P$112:$P$113</definedName>
    <definedName name="OSRRefP22_8x_0" localSheetId="62">'316'!$P$59:$P$64</definedName>
    <definedName name="OSRRefP22_8x_0" localSheetId="65">'317'!$P$87</definedName>
    <definedName name="OSRRefP22_8x_0" localSheetId="63">'320'!$P$54</definedName>
    <definedName name="OSRRefP22_8x_0" localSheetId="69">'321'!$P$53:$P$55</definedName>
    <definedName name="OSRRefP22_8x_0" localSheetId="70">'322'!$P$50:$P$51</definedName>
    <definedName name="OSRRefP22_8x_0" localSheetId="71">'325'!$P$52</definedName>
    <definedName name="OSRRefP22_8x_0" localSheetId="60">'326'!$P$85</definedName>
    <definedName name="OSRRefP22_8x_0" localSheetId="52">'330'!$P$106:$P$107</definedName>
    <definedName name="OSRRefP22_8x_0" localSheetId="58">'331'!$P$118</definedName>
    <definedName name="OSRRefP22_8x_0" localSheetId="61">'332'!$P$67</definedName>
    <definedName name="OSRRefP22_8x_0" localSheetId="76">'405'!$P$51</definedName>
    <definedName name="OSRRefP22_8x_0" localSheetId="77">'406'!$P$51:$P$53</definedName>
    <definedName name="OSRRefP22_8x_0" localSheetId="78">'411'!$P$51</definedName>
    <definedName name="OSRRefP22_8x_0" localSheetId="79">'412'!$P$51:$P$52</definedName>
    <definedName name="OSRRefP22_8x_0" localSheetId="80">'413'!$P$52:$P$53</definedName>
    <definedName name="OSRRefP22_8x_0" localSheetId="81">'414'!$P$49</definedName>
    <definedName name="OSRRefP22_8x_0" localSheetId="82">'415'!$P$52</definedName>
    <definedName name="OSRRefP22_8x_0" localSheetId="83">'418'!$P$53:$P$54</definedName>
    <definedName name="OSRRefP22_8x_0" localSheetId="86">'424'!$P$43:$P$44</definedName>
    <definedName name="OSRRefP22_8x_0" localSheetId="87">'425'!$P$51</definedName>
    <definedName name="OSRRefP22_8x_0" localSheetId="91">'433'!$P$54</definedName>
    <definedName name="OSRRefP22_8x_0" localSheetId="93">'444'!$P$54</definedName>
    <definedName name="OSRRefP22_8x_0" localSheetId="94">'450'!$P$54</definedName>
    <definedName name="OSRRefP22_8x_0" localSheetId="75">'491'!$P$63</definedName>
    <definedName name="OSRRefP22_8x_0" localSheetId="89">'492'!$P$57</definedName>
    <definedName name="OSRRefP22_8x_0" localSheetId="96">'501'!$P$50:$P$52</definedName>
    <definedName name="OSRRefP22_8x_0" localSheetId="39">'Div 2'!$P$52</definedName>
    <definedName name="OSRRefP22_8x_0" localSheetId="47">'Div 3'!$P$201</definedName>
    <definedName name="OSRRefP22_8x_0" localSheetId="73">'Div 4'!$P$64</definedName>
    <definedName name="OSRRefP22_8x_0" localSheetId="95">'Div 5'!$P$50:$P$52</definedName>
    <definedName name="OSRRefP22_8x_0" localSheetId="64">'Div 6'!$P$87</definedName>
    <definedName name="OSRRefP22_8x_0" localSheetId="2">Summary!$P$234</definedName>
    <definedName name="OSRRefP22_9x_0" localSheetId="41">'201'!$P$47:$P$49</definedName>
    <definedName name="OSRRefP22_9x_0" localSheetId="42">'202'!$P$51</definedName>
    <definedName name="OSRRefP22_9x_0" localSheetId="43">'203'!$P$50:$P$51</definedName>
    <definedName name="OSRRefP22_9x_0" localSheetId="44">'204'!$P$53</definedName>
    <definedName name="OSRRefP22_9x_0" localSheetId="48">'300'!$P$198</definedName>
    <definedName name="OSRRefP22_9x_0" localSheetId="49">'300 &amp; 317'!$P$223</definedName>
    <definedName name="OSRRefP22_9x_0" localSheetId="50">'301'!$P$55</definedName>
    <definedName name="OSRRefP22_9x_0" localSheetId="51">'306'!$P$54</definedName>
    <definedName name="OSRRefP22_9x_0" localSheetId="53">'307'!$P$100:$P$102</definedName>
    <definedName name="OSRRefP22_9x_0" localSheetId="55">'308'!$P$96:$P$97</definedName>
    <definedName name="OSRRefP22_9x_0" localSheetId="67">'309'!$P$56:$P$58</definedName>
    <definedName name="OSRRefP22_9x_0" localSheetId="66">'310'!$P$61</definedName>
    <definedName name="OSRRefP22_9x_0" localSheetId="74">'310 &amp; 491'!$P$71</definedName>
    <definedName name="OSRRefP22_9x_0" localSheetId="56">'311'!$P$95:$P$96</definedName>
    <definedName name="OSRRefP22_9x_0" localSheetId="68">'313'!$P$58</definedName>
    <definedName name="OSRRefP22_9x_0" localSheetId="59">'315'!$P$115:$P$119</definedName>
    <definedName name="OSRRefP22_9x_0" localSheetId="62">'316'!$P$66</definedName>
    <definedName name="OSRRefP22_9x_0" localSheetId="65">'317'!$P$89:$P$91</definedName>
    <definedName name="OSRRefP22_9x_0" localSheetId="69">'321'!$P$57:$P$60</definedName>
    <definedName name="OSRRefP22_9x_0" localSheetId="70">'322'!$P$53:$P$55</definedName>
    <definedName name="OSRRefP22_9x_0" localSheetId="71">'325'!$P$54</definedName>
    <definedName name="OSRRefP22_9x_0" localSheetId="60">'326'!$P$87</definedName>
    <definedName name="OSRRefP22_9x_0" localSheetId="52">'330'!$P$109:$P$110</definedName>
    <definedName name="OSRRefP22_9x_0" localSheetId="58">'331'!$P$120</definedName>
    <definedName name="OSRRefP22_9x_0" localSheetId="61">'332'!$P$69:$P$70</definedName>
    <definedName name="OSRRefP22_9x_0" localSheetId="76">'405'!$P$53</definedName>
    <definedName name="OSRRefP22_9x_0" localSheetId="77">'406'!$P$55</definedName>
    <definedName name="OSRRefP22_9x_0" localSheetId="78">'411'!$P$53</definedName>
    <definedName name="OSRRefP22_9x_0" localSheetId="79">'412'!$P$54:$P$55</definedName>
    <definedName name="OSRRefP22_9x_0" localSheetId="80">'413'!$P$55:$P$59</definedName>
    <definedName name="OSRRefP22_9x_0" localSheetId="81">'414'!$P$51:$P$52</definedName>
    <definedName name="OSRRefP22_9x_0" localSheetId="82">'415'!$P$54</definedName>
    <definedName name="OSRRefP22_9x_0" localSheetId="83">'418'!$P$56:$P$58</definedName>
    <definedName name="OSRRefP22_9x_0" localSheetId="86">'424'!$P$46</definedName>
    <definedName name="OSRRefP22_9x_0" localSheetId="87">'425'!$P$53:$P$55</definedName>
    <definedName name="OSRRefP22_9x_0" localSheetId="91">'433'!$P$56</definedName>
    <definedName name="OSRRefP22_9x_0" localSheetId="93">'444'!$P$56</definedName>
    <definedName name="OSRRefP22_9x_0" localSheetId="94">'450'!$P$56</definedName>
    <definedName name="OSRRefP22_9x_0" localSheetId="75">'491'!$P$65</definedName>
    <definedName name="OSRRefP22_9x_0" localSheetId="89">'492'!$P$59</definedName>
    <definedName name="OSRRefP22_9x_0" localSheetId="96">'501'!$P$54:$P$56</definedName>
    <definedName name="OSRRefP22_9x_0" localSheetId="39">'Div 2'!$P$54:$P$55</definedName>
    <definedName name="OSRRefP22_9x_0" localSheetId="47">'Div 3'!$P$203</definedName>
    <definedName name="OSRRefP22_9x_0" localSheetId="73">'Div 4'!$P$66</definedName>
    <definedName name="OSRRefP22_9x_0" localSheetId="95">'Div 5'!$P$54:$P$56</definedName>
    <definedName name="OSRRefP22_9x_0" localSheetId="64">'Div 6'!$P$89:$P$91</definedName>
    <definedName name="OSRRefP22_9x_0" localSheetId="2">Summary!$P$236</definedName>
    <definedName name="OSRRefP22x_0" localSheetId="40">'200'!$P$20,'200'!$P$22,'200'!$P$24,'200'!$P$26,'200'!$P$28:$P$29</definedName>
    <definedName name="OSRRefP22x_0" localSheetId="41">'201'!$P$20:$P$27,'201'!$P$29:$P$31,'201'!$P$33,'201'!$P$35,'201'!$P$37,'201'!$P$39,'201'!$P$41,'201'!$P$43,'201'!$P$45,'201'!$P$47:$P$49,'201'!$P$51:$P$53,'201'!$P$55,'201'!$P$57:$P$60,'201'!$P$62,'201'!$P$64,'201'!$P$66</definedName>
    <definedName name="OSRRefP22x_0" localSheetId="42">'202'!$P$20:$P$27,'202'!$P$29:$P$32,'202'!$P$34,'202'!$P$36,'202'!$P$38:$P$39,'202'!$P$41,'202'!$P$43,'202'!$P$45:$P$47,'202'!$P$49,'202'!$P$51,'202'!$P$53:$P$55,'202'!$P$57,'202'!$P$59,'202'!$P$61</definedName>
    <definedName name="OSRRefP22x_0" localSheetId="43">'203'!$P$20:$P$29,'203'!$P$31:$P$34,'203'!$P$36,'203'!$P$38,'203'!$P$40,'203'!$P$42,'203'!$P$44,'203'!$P$46,'203'!$P$48,'203'!$P$50:$P$51,'203'!$P$53:$P$54,'203'!$P$56,'203'!$P$58:$P$61,'203'!$P$63,'203'!$P$65,'203'!$P$67</definedName>
    <definedName name="OSRRefP22x_0" localSheetId="44">'204'!$P$20:$P$28,'204'!$P$30:$P$34,'204'!$P$36,'204'!$P$38,'204'!$P$40,'204'!$P$42,'204'!$P$44:$P$46,'204'!$P$48,'204'!$P$50:$P$51,'204'!$P$53,'204'!$P$55:$P$56</definedName>
    <definedName name="OSRRefP22x_0" localSheetId="45">'205'!$P$20:$P$27,'205'!$P$29,'205'!$P$31,'205'!$P$33,'205'!$P$35:$P$36,'205'!$P$38,'205'!$P$40:$P$42,'205'!$P$44,'205'!$P$46</definedName>
    <definedName name="OSRRefP22x_0" localSheetId="46">'206'!$P$20:$P$26,'206'!$P$28:$P$31,'206'!$P$33,'206'!$P$35,'206'!$P$37,'206'!$P$39:$P$40,'206'!$P$42,'206'!$P$44</definedName>
    <definedName name="OSRRefP22x_0" localSheetId="48">'300'!$P$162:$P$171,'300'!$P$173:$P$179,'300'!$P$181,'300'!$P$183:$P$184,'300'!$P$186,'300'!$P$188:$P$189,'300'!$P$191:$P$192,'300'!$P$194,'300'!$P$196,'300'!$P$198,'300'!$P$200:$P$201,'300'!$P$203,'300'!$P$205,'300'!$P$207,'300'!$P$209,'300'!$P$211,'300'!$P$213:$P$216,'300'!$P$218:$P$220,'300'!$P$222:$P$225,'300'!$P$227:$P$228,'300'!$P$230:$P$236,'300'!$P$238:$P$239,'300'!$P$241,'300'!$P$243:$P$245,'300'!$P$247</definedName>
    <definedName name="OSRRefP22x_0" localSheetId="49">'300 &amp; 317'!$P$187:$P$196,'300 &amp; 317'!$P$198:$P$204,'300 &amp; 317'!$P$206,'300 &amp; 317'!$P$208:$P$209,'300 &amp; 317'!$P$211,'300 &amp; 317'!$P$213:$P$214,'300 &amp; 317'!$P$216:$P$217,'300 &amp; 317'!$P$219,'300 &amp; 317'!$P$221,'300 &amp; 317'!$P$223,'300 &amp; 317'!$P$225:$P$226,'300 &amp; 317'!$P$228,'300 &amp; 317'!$P$230,'300 &amp; 317'!$P$232,'300 &amp; 317'!$P$234,'300 &amp; 317'!$P$236,'300 &amp; 317'!$P$238:$P$241,'300 &amp; 317'!$P$243:$P$245,'300 &amp; 317'!$P$247:$P$250,'300 &amp; 317'!$P$252:$P$253,'300 &amp; 317'!$P$255:$P$261,'300 &amp; 317'!$P$263:$P$264,'300 &amp; 317'!$P$266,'300 &amp; 317'!$P$268:$P$270,'300 &amp; 317'!$P$272</definedName>
    <definedName name="OSRRefP22x_0" localSheetId="50">'301'!$P$20:$P$28,'301'!$P$30:$P$36,'301'!$P$38,'301'!$P$40:$P$41,'301'!$P$43,'301'!$P$45:$P$46,'301'!$P$48:$P$49,'301'!$P$51,'301'!$P$53,'301'!$P$55,'301'!$P$57,'301'!$P$59,'301'!$P$61,'301'!$P$63,'301'!$P$65,'301'!$P$67:$P$70,'301'!$P$72:$P$74,'301'!$P$76,'301'!$P$78:$P$83,'301'!$P$85,'301'!$P$87,'301'!$P$89:$P$91,'301'!$P$93</definedName>
    <definedName name="OSRRefP22x_0" localSheetId="51">'306'!$P$20:$P$28,'306'!$P$30:$P$35,'306'!$P$37,'306'!$P$39,'306'!$P$41,'306'!$P$43,'306'!$P$45:$P$46,'306'!$P$48:$P$50,'306'!$P$52,'306'!$P$54</definedName>
    <definedName name="OSRRefP22x_0" localSheetId="53">'307'!$P$69:$P$76,'307'!$P$78:$P$81,'307'!$P$83,'307'!$P$85,'307'!$P$87:$P$88,'307'!$P$90,'307'!$P$92,'307'!$P$94:$P$95,'307'!$P$97:$P$98,'307'!$P$100:$P$102,'307'!$P$104,'307'!$P$106</definedName>
    <definedName name="OSRRefP22x_0" localSheetId="55">'308'!$P$63:$P$71,'308'!$P$73:$P$78,'308'!$P$80,'308'!$P$82:$P$83,'308'!$P$85,'308'!$P$87,'308'!$P$89:$P$90,'308'!$P$92,'308'!$P$94,'308'!$P$96:$P$97,'308'!$P$99,'308'!$P$101:$P$103,'308'!$P$105:$P$106,'308'!$P$108,'308'!$P$110</definedName>
    <definedName name="OSRRefP22x_0" localSheetId="67">'309'!$P$24:$P$31,'309'!$P$33:$P$37,'309'!$P$39,'309'!$P$41,'309'!$P$43,'309'!$P$45,'309'!$P$47,'309'!$P$49:$P$50,'309'!$P$52:$P$54,'309'!$P$56:$P$58,'309'!$P$60</definedName>
    <definedName name="OSRRefP22x_0" localSheetId="66">'310'!$P$30:$P$37,'310'!$P$39:$P$44,'310'!$P$46,'310'!$P$48,'310'!$P$50,'310'!$P$52:$P$53,'310'!$P$55,'310'!$P$57,'310'!$P$59,'310'!$P$61,'310'!$P$63,'310'!$P$65,'310'!$P$67,'310'!$P$69,'310'!$P$71:$P$73,'310'!$P$75,'310'!$P$77:$P$80,'310'!$P$82,'310'!$P$84:$P$90,'310'!$P$92,'310'!$P$94,'310'!$P$96</definedName>
    <definedName name="OSRRefP22x_0" localSheetId="74">'310 &amp; 491'!$P$37:$P$45,'310 &amp; 491'!$P$47:$P$53,'310 &amp; 491'!$P$55,'310 &amp; 491'!$P$57,'310 &amp; 491'!$P$59,'310 &amp; 491'!$P$61:$P$63,'310 &amp; 491'!$P$65,'310 &amp; 491'!$P$67,'310 &amp; 491'!$P$69,'310 &amp; 491'!$P$71,'310 &amp; 491'!$P$73:$P$74,'310 &amp; 491'!$P$76:$P$77,'310 &amp; 491'!$P$79,'310 &amp; 491'!$P$81,'310 &amp; 491'!$P$83,'310 &amp; 491'!$P$85,'310 &amp; 491'!$P$87:$P$89,'310 &amp; 491'!$P$91:$P$92,'310 &amp; 491'!$P$94:$P$98,'310 &amp; 491'!$P$100,'310 &amp; 491'!$P$102:$P$110,'310 &amp; 491'!$P$112,'310 &amp; 491'!$P$114,'310 &amp; 491'!$P$116:$P$118,'310 &amp; 491'!$P$120</definedName>
    <definedName name="OSRRefP22x_0" localSheetId="56">'311'!$P$62:$P$70,'311'!$P$72:$P$77,'311'!$P$79,'311'!$P$81:$P$82,'311'!$P$84,'311'!$P$86,'311'!$P$88:$P$89,'311'!$P$91,'311'!$P$93,'311'!$P$95:$P$96,'311'!$P$98,'311'!$P$100:$P$102,'311'!$P$104:$P$105,'311'!$P$107,'311'!$P$109</definedName>
    <definedName name="OSRRefP22x_0" localSheetId="68">'313'!$P$27:$P$34,'313'!$P$36:$P$40,'313'!$P$42,'313'!$P$44,'313'!$P$46,'313'!$P$48,'313'!$P$50,'313'!$P$52,'313'!$P$54:$P$56,'313'!$P$58,'313'!$P$60:$P$64,'313'!$P$66,'313'!$P$68</definedName>
    <definedName name="OSRRefP22x_0" localSheetId="54">'314'!$P$55:$P$61,'314'!$P$63:$P$65,'314'!$P$67,'314'!$P$69:$P$70,'314'!$P$72,'314'!$P$74,'314'!$P$76</definedName>
    <definedName name="OSRRefP22x_0" localSheetId="59">'315'!$P$81:$P$88,'315'!$P$90:$P$95,'315'!$P$97,'315'!$P$99:$P$100,'315'!$P$102,'315'!$P$104:$P$105,'315'!$P$107,'315'!$P$109:$P$110,'315'!$P$112:$P$113,'315'!$P$115:$P$119,'315'!$P$121,'315'!$P$123,'315'!$P$125:$P$126</definedName>
    <definedName name="OSRRefP22x_0" localSheetId="62">'316'!$P$32:$P$39,'316'!$P$41:$P$43,'316'!$P$45,'316'!$P$47,'316'!$P$49,'316'!$P$51:$P$52,'316'!$P$54:$P$55,'316'!$P$57,'316'!$P$59:$P$64,'316'!$P$66,'316'!$P$68,'316'!$P$70</definedName>
    <definedName name="OSRRefP22x_0" localSheetId="65">'317'!$P$58:$P$66,'317'!$P$68:$P$72,'317'!$P$74,'317'!$P$76,'317'!$P$78,'317'!$P$80:$P$81,'317'!$P$83,'317'!$P$85,'317'!$P$87,'317'!$P$89:$P$91,'317'!$P$93,'317'!$P$95,'317'!$P$97</definedName>
    <definedName name="OSRRefP22x_0" localSheetId="63">'320'!$P$28:$P$34,'320'!$P$36:$P$38,'320'!$P$40,'320'!$P$42,'320'!$P$44:$P$45,'320'!$P$47,'320'!$P$49,'320'!$P$51:$P$52,'320'!$P$54</definedName>
    <definedName name="OSRRefP22x_0" localSheetId="69">'321'!$P$24:$P$31,'321'!$P$33:$P$37,'321'!$P$39,'321'!$P$41,'321'!$P$43,'321'!$P$45,'321'!$P$47:$P$49,'321'!$P$51,'321'!$P$53:$P$55,'321'!$P$57:$P$60,'321'!$P$62,'321'!$P$64</definedName>
    <definedName name="OSRRefP22x_0" localSheetId="70">'322'!$P$24:$P$31,'322'!$P$33:$P$36,'322'!$P$38,'322'!$P$40,'322'!$P$42,'322'!$P$44,'322'!$P$46,'322'!$P$48,'322'!$P$50:$P$51,'322'!$P$53:$P$55,'322'!$P$57:$P$61,'322'!$P$63,'322'!$P$65</definedName>
    <definedName name="OSRRefP22x_0" localSheetId="71">'325'!$P$24:$P$31,'325'!$P$33:$P$37,'325'!$P$39,'325'!$P$41,'325'!$P$43,'325'!$P$45:$P$46,'325'!$P$48,'325'!$P$50,'325'!$P$52,'325'!$P$54,'325'!$P$56,'325'!$P$58:$P$60,'325'!$P$62:$P$64,'325'!$P$66,'325'!$P$68:$P$72,'325'!$P$74,'325'!$P$76</definedName>
    <definedName name="OSRRefP22x_0" localSheetId="60">'326'!$P$58:$P$65,'326'!$P$67:$P$71,'326'!$P$73,'326'!$P$75,'326'!$P$77,'326'!$P$79,'326'!$P$81,'326'!$P$83,'326'!$P$85,'326'!$P$87,'326'!$P$89,'326'!$P$91,'326'!$P$93:$P$94,'326'!$P$96:$P$98,'326'!$P$100,'326'!$P$102:$P$105,'326'!$P$107,'326'!$P$109,'326'!$P$111</definedName>
    <definedName name="OSRRefP22x_0" localSheetId="72">'327'!$P$22,'327'!$P$24,'327'!$P$26</definedName>
    <definedName name="OSRRefP22x_0" localSheetId="52">'330'!$P$78:$P$85,'330'!$P$87:$P$91,'330'!$P$93,'330'!$P$95,'330'!$P$97:$P$98,'330'!$P$100,'330'!$P$102,'330'!$P$104,'330'!$P$106:$P$107,'330'!$P$109:$P$110,'330'!$P$112,'330'!$P$114:$P$116,'330'!$P$118,'330'!$P$120</definedName>
    <definedName name="OSRRefP22x_0" localSheetId="58">'331'!$P$88:$P$95,'331'!$P$97:$P$102,'331'!$P$104,'331'!$P$106,'331'!$P$108,'331'!$P$110:$P$111,'331'!$P$113,'331'!$P$115:$P$116,'331'!$P$118,'331'!$P$120,'331'!$P$122,'331'!$P$124,'331'!$P$126,'331'!$P$128:$P$129,'331'!$P$131:$P$132,'331'!$P$134:$P$136,'331'!$P$138:$P$139,'331'!$P$141:$P$146,'331'!$P$148,'331'!$P$150,'331'!$P$152:$P$153,'331'!$P$155</definedName>
    <definedName name="OSRRefP22x_0" localSheetId="61">'332'!$P$40:$P$47,'332'!$P$49:$P$52,'332'!$P$54,'332'!$P$56,'332'!$P$58,'332'!$P$60,'332'!$P$62:$P$63,'332'!$P$65,'332'!$P$67,'332'!$P$69:$P$70,'332'!$P$72,'332'!$P$74:$P$79,'332'!$P$81,'332'!$P$83,'332'!$P$85</definedName>
    <definedName name="OSRRefP22x_0" localSheetId="76">'405'!$P$24:$P$31,'405'!$P$33:$P$36,'405'!$P$38,'405'!$P$40,'405'!$P$42,'405'!$P$44:$P$45,'405'!$P$47,'405'!$P$49,'405'!$P$51,'405'!$P$53,'405'!$P$55:$P$56,'405'!$P$58,'405'!$P$60:$P$62,'405'!$P$64,'405'!$P$66:$P$72,'405'!$P$74,'405'!$P$76,'405'!$P$78</definedName>
    <definedName name="OSRRefP22x_0" localSheetId="77">'406'!$P$24:$P$31,'406'!$P$33:$P$37,'406'!$P$39,'406'!$P$41,'406'!$P$43,'406'!$P$45,'406'!$P$47,'406'!$P$49,'406'!$P$51:$P$53,'406'!$P$55,'406'!$P$57:$P$61,'406'!$P$63,'406'!$P$65</definedName>
    <definedName name="OSRRefP22x_0" localSheetId="78">'411'!$P$20:$P$28,'411'!$P$30:$P$35,'411'!$P$37,'411'!$P$39,'411'!$P$41:$P$43,'411'!$P$45,'411'!$P$47,'411'!$P$49,'411'!$P$51,'411'!$P$53,'411'!$P$55,'411'!$P$57,'411'!$P$59:$P$60,'411'!$P$62:$P$66,'411'!$P$68:$P$73,'411'!$P$75,'411'!$P$77,'411'!$P$79:$P$81,'411'!$P$83</definedName>
    <definedName name="OSRRefP22x_0" localSheetId="79">'412'!$P$23:$P$30,'412'!$P$32:$P$37,'412'!$P$39,'412'!$P$41,'412'!$P$43,'412'!$P$45,'412'!$P$47,'412'!$P$49,'412'!$P$51:$P$52,'412'!$P$54:$P$55,'412'!$P$57:$P$62,'412'!$P$64,'412'!$P$66</definedName>
    <definedName name="OSRRefP22x_0" localSheetId="80">'413'!$P$24:$P$31,'413'!$P$33:$P$36,'413'!$P$38,'413'!$P$40,'413'!$P$42,'413'!$P$44,'413'!$P$46,'413'!$P$48:$P$50,'413'!$P$52:$P$53,'413'!$P$55:$P$59,'413'!$P$61</definedName>
    <definedName name="OSRRefP22x_0" localSheetId="81">'414'!$P$24:$P$30,'414'!$P$32:$P$35,'414'!$P$37,'414'!$P$39,'414'!$P$41,'414'!$P$43,'414'!$P$45,'414'!$P$47,'414'!$P$49,'414'!$P$51:$P$52,'414'!$P$54,'414'!$P$56,'414'!$P$58,'414'!$P$60:$P$66,'414'!$P$68,'414'!$P$70</definedName>
    <definedName name="OSRRefP22x_0" localSheetId="82">'415'!$P$24:$P$31,'415'!$P$33:$P$37,'415'!$P$39,'415'!$P$41,'415'!$P$43,'415'!$P$45:$P$46,'415'!$P$48,'415'!$P$50,'415'!$P$52,'415'!$P$54,'415'!$P$56,'415'!$P$58:$P$60,'415'!$P$62:$P$66,'415'!$P$68,'415'!$P$70:$P$77,'415'!$P$79,'415'!$P$81,'415'!$P$83</definedName>
    <definedName name="OSRRefP22x_0" localSheetId="83">'418'!$P$24:$P$31,'418'!$P$33:$P$38,'418'!$P$40,'418'!$P$42,'418'!$P$44,'418'!$P$46:$P$47,'418'!$P$49,'418'!$P$51,'418'!$P$53:$P$54,'418'!$P$56:$P$58,'418'!$P$60:$P$62,'418'!$P$64,'418'!$P$66:$P$71,'418'!$P$73,'418'!$P$75</definedName>
    <definedName name="OSRRefP22x_0" localSheetId="84">'420'!$P$22:$P$28,'420'!$P$30:$P$33,'420'!$P$35,'420'!$P$37,'420'!$P$39</definedName>
    <definedName name="OSRRefP22x_0" localSheetId="85">'423'!$P$21:$P$28,'423'!$P$30,'423'!$P$32,'423'!$P$34,'423'!$P$36,'423'!$P$38</definedName>
    <definedName name="OSRRefP22x_0" localSheetId="86">'424'!$P$23:$P$24,'424'!$P$26:$P$29,'424'!$P$31,'424'!$P$33,'424'!$P$35,'424'!$P$37,'424'!$P$39,'424'!$P$41,'424'!$P$43:$P$44,'424'!$P$46,'424'!$P$48,'424'!$P$50:$P$52,'424'!$P$54</definedName>
    <definedName name="OSRRefP22x_0" localSheetId="87">'425'!$P$24:$P$31,'425'!$P$33:$P$37,'425'!$P$39,'425'!$P$41,'425'!$P$43,'425'!$P$45,'425'!$P$47,'425'!$P$49,'425'!$P$51,'425'!$P$53:$P$55,'425'!$P$57,'425'!$P$59:$P$60,'425'!$P$62:$P$68,'425'!$P$70,'425'!$P$72</definedName>
    <definedName name="OSRRefP22x_0" localSheetId="90">'430'!$P$20:$P$27,'430'!$P$29,'430'!$P$31,'430'!$P$33,'430'!$P$35:$P$36,'430'!$P$38,'430'!$P$40,'430'!$P$42</definedName>
    <definedName name="OSRRefP22x_0" localSheetId="91">'433'!$P$25:$P$33,'433'!$P$35:$P$40,'433'!$P$42,'433'!$P$44,'433'!$P$46,'433'!$P$48,'433'!$P$50,'433'!$P$52,'433'!$P$54,'433'!$P$56,'433'!$P$58,'433'!$P$60:$P$62,'433'!$P$64:$P$66,'433'!$P$68:$P$75,'433'!$P$77,'433'!$P$79,'433'!$P$81</definedName>
    <definedName name="OSRRefP22x_0" localSheetId="92">'435'!$P$25:$P$27,'435'!$P$29:$P$30,'435'!$P$32,'435'!$P$34,'435'!$P$36,'435'!$P$38,'435'!$P$40:$P$42,'435'!$P$44</definedName>
    <definedName name="OSRRefP22x_0" localSheetId="93">'444'!$P$25:$P$33,'444'!$P$35:$P$40,'444'!$P$42,'444'!$P$44,'444'!$P$46,'444'!$P$48,'444'!$P$50,'444'!$P$52,'444'!$P$54,'444'!$P$56,'444'!$P$58,'444'!$P$60:$P$62,'444'!$P$64:$P$66,'444'!$P$68,'444'!$P$70:$P$78,'444'!$P$80,'444'!$P$82,'444'!$P$84</definedName>
    <definedName name="OSRRefP22x_0" localSheetId="94">'450'!$P$25:$P$33,'450'!$P$35:$P$40,'450'!$P$42,'450'!$P$44,'450'!$P$46,'450'!$P$48,'450'!$P$50,'450'!$P$52,'450'!$P$54,'450'!$P$56,'450'!$P$58,'450'!$P$60,'450'!$P$62,'450'!$P$64:$P$66,'450'!$P$68:$P$73,'450'!$P$75,'450'!$P$77,'450'!$P$79</definedName>
    <definedName name="OSRRefP22x_0" localSheetId="88">'455'!$P$20:$P$26,'455'!$P$28:$P$29</definedName>
    <definedName name="OSRRefP22x_0" localSheetId="75">'491'!$P$31:$P$39,'491'!$P$41:$P$47,'491'!$P$49,'491'!$P$51,'491'!$P$53,'491'!$P$55:$P$57,'491'!$P$59,'491'!$P$61,'491'!$P$63,'491'!$P$65,'491'!$P$67:$P$68,'491'!$P$70,'491'!$P$72,'491'!$P$74,'491'!$P$76,'491'!$P$78:$P$80,'491'!$P$82:$P$83,'491'!$P$85:$P$89,'491'!$P$91,'491'!$P$93:$P$101,'491'!$P$103,'491'!$P$105,'491'!$P$107:$P$109,'491'!$P$111</definedName>
    <definedName name="OSRRefP22x_0" localSheetId="89">'492'!$P$27:$P$35,'492'!$P$37:$P$43,'492'!$P$45,'492'!$P$47,'492'!$P$49,'492'!$P$51,'492'!$P$53,'492'!$P$55,'492'!$P$57,'492'!$P$59,'492'!$P$61,'492'!$P$63,'492'!$P$65:$P$67,'492'!$P$69:$P$71,'492'!$P$73,'492'!$P$75:$P$83,'492'!$P$85,'492'!$P$87,'492'!$P$89</definedName>
    <definedName name="OSRRefP22x_0" localSheetId="96">'501'!$P$21:$P$29,'501'!$P$31:$P$35,'501'!$P$37,'501'!$P$39,'501'!$P$41,'501'!$P$43:$P$44,'501'!$P$46,'501'!$P$48,'501'!$P$50:$P$52,'501'!$P$54:$P$56,'501'!$P$58</definedName>
    <definedName name="OSRRefP22x_0" localSheetId="39">'Div 2'!$P$20:$P$30,'Div 2'!$P$32:$P$38,'Div 2'!$P$40,'Div 2'!$P$42,'Div 2'!$P$44,'Div 2'!$P$46,'Div 2'!$P$48,'Div 2'!$P$50,'Div 2'!$P$52,'Div 2'!$P$54:$P$55,'Div 2'!$P$57,'Div 2'!$P$59,'Div 2'!$P$61:$P$64,'Div 2'!$P$66:$P$68,'Div 2'!$P$70:$P$71,'Div 2'!$P$73,'Div 2'!$P$75:$P$79,'Div 2'!$P$81:$P$82,'Div 2'!$P$84,'Div 2'!$P$86:$P$87</definedName>
    <definedName name="OSRRefP22x_0" localSheetId="47">'Div 3'!$P$167:$P$176,'Div 3'!$P$178:$P$184,'Div 3'!$P$186,'Div 3'!$P$188:$P$189,'Div 3'!$P$191,'Div 3'!$P$193:$P$194,'Div 3'!$P$196:$P$197,'Div 3'!$P$199,'Div 3'!$P$201,'Div 3'!$P$203,'Div 3'!$P$205:$P$206,'Div 3'!$P$208,'Div 3'!$P$210,'Div 3'!$P$212,'Div 3'!$P$214,'Div 3'!$P$216,'Div 3'!$P$218,'Div 3'!$P$220:$P$223,'Div 3'!$P$225:$P$227,'Div 3'!$P$229:$P$233,'Div 3'!$P$235:$P$236,'Div 3'!$P$238:$P$244,'Div 3'!$P$246:$P$247,'Div 3'!$P$249,'Div 3'!$P$251:$P$253,'Div 3'!$P$255</definedName>
    <definedName name="OSRRefP22x_0" localSheetId="73">'Div 4'!$P$32:$P$40,'Div 4'!$P$42:$P$48,'Div 4'!$P$50,'Div 4'!$P$52,'Div 4'!$P$54,'Div 4'!$P$56:$P$58,'Div 4'!$P$60,'Div 4'!$P$62,'Div 4'!$P$64,'Div 4'!$P$66,'Div 4'!$P$68:$P$69,'Div 4'!$P$71,'Div 4'!$P$73,'Div 4'!$P$75,'Div 4'!$P$77,'Div 4'!$P$79,'Div 4'!$P$81:$P$83,'Div 4'!$P$85:$P$86,'Div 4'!$P$88:$P$92,'Div 4'!$P$94:$P$95,'Div 4'!$P$97:$P$105,'Div 4'!$P$107,'Div 4'!$P$109,'Div 4'!$P$111:$P$113,'Div 4'!$P$115</definedName>
    <definedName name="OSRRefP22x_0" localSheetId="95">'Div 5'!$P$21:$P$29,'Div 5'!$P$31:$P$35,'Div 5'!$P$37,'Div 5'!$P$39,'Div 5'!$P$41,'Div 5'!$P$43:$P$44,'Div 5'!$P$46,'Div 5'!$P$48,'Div 5'!$P$50:$P$52,'Div 5'!$P$54:$P$56,'Div 5'!$P$58</definedName>
    <definedName name="OSRRefP22x_0" localSheetId="64">'Div 6'!$P$58:$P$66,'Div 6'!$P$68:$P$72,'Div 6'!$P$74,'Div 6'!$P$76,'Div 6'!$P$78,'Div 6'!$P$80:$P$81,'Div 6'!$P$83,'Div 6'!$P$85,'Div 6'!$P$87,'Div 6'!$P$89:$P$91,'Div 6'!$P$93,'Div 6'!$P$95,'Div 6'!$P$97</definedName>
    <definedName name="OSRRefP22x_0" localSheetId="2">Summary!$P$199:$P$208,Summary!$P$210:$P$216,Summary!$P$218,Summary!$P$220:$P$221,Summary!$P$223,Summary!$P$225:$P$227,Summary!$P$229:$P$230,Summary!$P$232,Summary!$P$234,Summary!$P$236,Summary!$P$238:$P$239,Summary!$P$241:$P$242,Summary!$P$244,Summary!$P$246,Summary!$P$248,Summary!$P$250,Summary!$P$252,Summary!$P$254,Summary!$P$256:$P$259,Summary!$P$261:$P$263,Summary!$P$265:$P$269,Summary!$P$271:$P$272,Summary!$P$274:$P$282,Summary!$P$284:$P$285,Summary!$P$287,Summary!$P$289:$P$291,Summary!$P$293</definedName>
    <definedName name="OSRRefP25x_0" localSheetId="48">'300'!$P$250:$P$258</definedName>
    <definedName name="OSRRefP25x_0" localSheetId="49">'300 &amp; 317'!$P$275:$P$285</definedName>
    <definedName name="OSRRefP25x_0" localSheetId="50">'301'!$P$96:$P$98</definedName>
    <definedName name="OSRRefP25x_0" localSheetId="55">'308'!$P$113:$P$115</definedName>
    <definedName name="OSRRefP25x_0" localSheetId="74">'310 &amp; 491'!$P$123:$P$125</definedName>
    <definedName name="OSRRefP25x_0" localSheetId="56">'311'!$P$112:$P$114</definedName>
    <definedName name="OSRRefP25x_0" localSheetId="59">'315'!$P$129:$P$130</definedName>
    <definedName name="OSRRefP25x_0" localSheetId="62">'316'!$P$73</definedName>
    <definedName name="OSRRefP25x_0" localSheetId="65">'317'!$P$100:$P$102</definedName>
    <definedName name="OSRRefP25x_0" localSheetId="63">'320'!$P$57:$P$61</definedName>
    <definedName name="OSRRefP25x_0" localSheetId="58">'331'!$P$158:$P$159</definedName>
    <definedName name="OSRRefP25x_0" localSheetId="61">'332'!$P$88:$P$93</definedName>
    <definedName name="OSRRefP25x_0" localSheetId="78">'411'!$P$86:$P$87</definedName>
    <definedName name="OSRRefP25x_0" localSheetId="80">'413'!$P$64</definedName>
    <definedName name="OSRRefP25x_0" localSheetId="83">'418'!$P$78</definedName>
    <definedName name="OSRRefP25x_0" localSheetId="85">'423'!$P$41</definedName>
    <definedName name="OSRRefP25x_0" localSheetId="86">'424'!$P$57</definedName>
    <definedName name="OSRRefP25x_0" localSheetId="87">'425'!$P$75</definedName>
    <definedName name="OSRRefP25x_0" localSheetId="88">'455'!$P$32:$P$33</definedName>
    <definedName name="OSRRefP25x_0" localSheetId="75">'491'!$P$114:$P$116</definedName>
    <definedName name="OSRRefP25x_0" localSheetId="96">'501'!$P$61</definedName>
    <definedName name="OSRRefP25x_0" localSheetId="47">'Div 3'!$P$258:$P$266</definedName>
    <definedName name="OSRRefP25x_0" localSheetId="73">'Div 4'!$P$118:$P$120</definedName>
    <definedName name="OSRRefP25x_0" localSheetId="95">'Div 5'!$P$61</definedName>
    <definedName name="OSRRefP25x_0" localSheetId="64">'Div 6'!$P$100:$P$102</definedName>
    <definedName name="OSRRefP25x_0" localSheetId="2">Summary!$P$296:$P$307</definedName>
    <definedName name="OSRRefT13x_0" localSheetId="48">'300'!$T$13:$T$104</definedName>
    <definedName name="OSRRefT13x_0" localSheetId="49">'300 &amp; 317'!$T$13:$T$122</definedName>
    <definedName name="OSRRefT13x_0" localSheetId="53">'307'!$T$13:$T$42</definedName>
    <definedName name="OSRRefT13x_0" localSheetId="55">'308'!$T$13:$T$40</definedName>
    <definedName name="OSRRefT13x_0" localSheetId="67">'309'!$T$13:$T$14</definedName>
    <definedName name="OSRRefT13x_0" localSheetId="66">'310'!$T$13:$T$20</definedName>
    <definedName name="OSRRefT13x_0" localSheetId="74">'310 &amp; 491'!$T$13:$T$27</definedName>
    <definedName name="OSRRefT13x_0" localSheetId="56">'311'!$T$13:$T$39</definedName>
    <definedName name="OSRRefT13x_0" localSheetId="68">'313'!$T$13:$T$17</definedName>
    <definedName name="OSRRefT13x_0" localSheetId="54">'314'!$T$13:$T$32</definedName>
    <definedName name="OSRRefT13x_0" localSheetId="59">'315'!$T$13:$T$50</definedName>
    <definedName name="OSRRefT13x_0" localSheetId="62">'316'!$T$13:$T$24</definedName>
    <definedName name="OSRRefT13x_0" localSheetId="65">'317'!$T$13:$T$37</definedName>
    <definedName name="OSRRefT13x_0" localSheetId="63">'320'!$T$13:$T$15</definedName>
    <definedName name="OSRRefT13x_0" localSheetId="69">'321'!$T$13:$T$14</definedName>
    <definedName name="OSRRefT13x_0" localSheetId="70">'322'!$T$13:$T$14</definedName>
    <definedName name="OSRRefT13x_0" localSheetId="57">'324'!$T$13:$T$15</definedName>
    <definedName name="OSRRefT13x_0" localSheetId="71">'325'!$T$13:$T$14</definedName>
    <definedName name="OSRRefT13x_0" localSheetId="60">'326'!$T$13:$T$36</definedName>
    <definedName name="OSRRefT13x_0" localSheetId="72">'327'!$T$13</definedName>
    <definedName name="OSRRefT13x_0" localSheetId="52">'330'!$T$13:$T$47</definedName>
    <definedName name="OSRRefT13x_0" localSheetId="58">'331'!$T$13:$T$53</definedName>
    <definedName name="OSRRefT13x_0" localSheetId="61">'332'!$T$13:$T$27</definedName>
    <definedName name="OSRRefT13x_0" localSheetId="76">'405'!$T$13:$T$14</definedName>
    <definedName name="OSRRefT13x_0" localSheetId="77">'406'!$T$13:$T$14</definedName>
    <definedName name="OSRRefT13x_0" localSheetId="79">'412'!$T$13:$T$14</definedName>
    <definedName name="OSRRefT13x_0" localSheetId="80">'413'!$T$13:$T$14</definedName>
    <definedName name="OSRRefT13x_0" localSheetId="81">'414'!$T$13:$T$14</definedName>
    <definedName name="OSRRefT13x_0" localSheetId="82">'415'!$T$13:$T$14</definedName>
    <definedName name="OSRRefT13x_0" localSheetId="83">'418'!$T$13:$T$14</definedName>
    <definedName name="OSRRefT13x_0" localSheetId="84">'420'!$T$13:$T$14</definedName>
    <definedName name="OSRRefT13x_0" localSheetId="86">'424'!$T$13</definedName>
    <definedName name="OSRRefT13x_0" localSheetId="87">'425'!$T$13:$T$14</definedName>
    <definedName name="OSRRefT13x_0" localSheetId="91">'433'!$T$13:$T$15</definedName>
    <definedName name="OSRRefT13x_0" localSheetId="92">'435'!$T$13:$T$15</definedName>
    <definedName name="OSRRefT13x_0" localSheetId="93">'444'!$T$13:$T$15</definedName>
    <definedName name="OSRRefT13x_0" localSheetId="94">'450'!$T$13:$T$15</definedName>
    <definedName name="OSRRefT13x_0" localSheetId="75">'491'!$T$13:$T$21</definedName>
    <definedName name="OSRRefT13x_0" localSheetId="89">'492'!$T$13:$T$17</definedName>
    <definedName name="OSRRefT13x_0" localSheetId="96">'501'!$T$13</definedName>
    <definedName name="OSRRefT13x_0" localSheetId="47">'Div 3'!$T$13:$T$107</definedName>
    <definedName name="OSRRefT13x_0" localSheetId="73">'Div 4'!$T$13:$T$22</definedName>
    <definedName name="OSRRefT13x_0" localSheetId="95">'Div 5'!$T$13</definedName>
    <definedName name="OSRRefT13x_0" localSheetId="64">'Div 6'!$T$13:$T$37</definedName>
    <definedName name="OSRRefT13x_0" localSheetId="2">Summary!$T$13:$T$132</definedName>
    <definedName name="OSRRefT16x_0" localSheetId="48">'300'!$T$107:$T$156</definedName>
    <definedName name="OSRRefT16x_0" localSheetId="49">'300 &amp; 317'!$T$125:$T$181</definedName>
    <definedName name="OSRRefT16x_0" localSheetId="53">'307'!$T$45:$T$63</definedName>
    <definedName name="OSRRefT16x_0" localSheetId="55">'308'!$T$43:$T$57</definedName>
    <definedName name="OSRRefT16x_0" localSheetId="67">'309'!$T$17:$T$18</definedName>
    <definedName name="OSRRefT16x_0" localSheetId="66">'310'!$T$23:$T$24</definedName>
    <definedName name="OSRRefT16x_0" localSheetId="74">'310 &amp; 491'!$T$30:$T$31</definedName>
    <definedName name="OSRRefT16x_0" localSheetId="56">'311'!$T$42:$T$56</definedName>
    <definedName name="OSRRefT16x_0" localSheetId="68">'313'!$T$20:$T$21</definedName>
    <definedName name="OSRRefT16x_0" localSheetId="54">'314'!$T$35:$T$49</definedName>
    <definedName name="OSRRefT16x_0" localSheetId="59">'315'!$T$53:$T$75</definedName>
    <definedName name="OSRRefT16x_0" localSheetId="65">'317'!$T$40:$T$52</definedName>
    <definedName name="OSRRefT16x_0" localSheetId="63">'320'!$T$18:$T$22</definedName>
    <definedName name="OSRRefT16x_0" localSheetId="69">'321'!$T$17:$T$18</definedName>
    <definedName name="OSRRefT16x_0" localSheetId="70">'322'!$T$17:$T$18</definedName>
    <definedName name="OSRRefT16x_0" localSheetId="57">'324'!$T$18:$T$19</definedName>
    <definedName name="OSRRefT16x_0" localSheetId="71">'325'!$T$17:$T$18</definedName>
    <definedName name="OSRRefT16x_0" localSheetId="60">'326'!$T$39:$T$52</definedName>
    <definedName name="OSRRefT16x_0" localSheetId="72">'327'!$T$16</definedName>
    <definedName name="OSRRefT16x_0" localSheetId="52">'330'!$T$50:$T$72</definedName>
    <definedName name="OSRRefT16x_0" localSheetId="58">'331'!$T$56:$T$82</definedName>
    <definedName name="OSRRefT16x_0" localSheetId="61">'332'!$T$30:$T$34</definedName>
    <definedName name="OSRRefT16x_0" localSheetId="76">'405'!$T$17:$T$18</definedName>
    <definedName name="OSRRefT16x_0" localSheetId="77">'406'!$T$17:$T$18</definedName>
    <definedName name="OSRRefT16x_0" localSheetId="79">'412'!$T$17</definedName>
    <definedName name="OSRRefT16x_0" localSheetId="80">'413'!$T$17:$T$18</definedName>
    <definedName name="OSRRefT16x_0" localSheetId="81">'414'!$T$17:$T$18</definedName>
    <definedName name="OSRRefT16x_0" localSheetId="82">'415'!$T$17:$T$18</definedName>
    <definedName name="OSRRefT16x_0" localSheetId="83">'418'!$T$17:$T$18</definedName>
    <definedName name="OSRRefT16x_0" localSheetId="85">'423'!$T$15</definedName>
    <definedName name="OSRRefT16x_0" localSheetId="86">'424'!$T$16:$T$17</definedName>
    <definedName name="OSRRefT16x_0" localSheetId="87">'425'!$T$17:$T$18</definedName>
    <definedName name="OSRRefT16x_0" localSheetId="91">'433'!$T$18:$T$19</definedName>
    <definedName name="OSRRefT16x_0" localSheetId="92">'435'!$T$18:$T$19</definedName>
    <definedName name="OSRRefT16x_0" localSheetId="93">'444'!$T$18:$T$19</definedName>
    <definedName name="OSRRefT16x_0" localSheetId="94">'450'!$T$18:$T$19</definedName>
    <definedName name="OSRRefT16x_0" localSheetId="75">'491'!$T$24:$T$25</definedName>
    <definedName name="OSRRefT16x_0" localSheetId="89">'492'!$T$20:$T$21</definedName>
    <definedName name="OSRRefT16x_0" localSheetId="47">'Div 3'!$T$110:$T$161</definedName>
    <definedName name="OSRRefT16x_0" localSheetId="73">'Div 4'!$T$25:$T$26</definedName>
    <definedName name="OSRRefT16x_0" localSheetId="64">'Div 6'!$T$40:$T$52</definedName>
    <definedName name="OSRRefT16x_0" localSheetId="2">Summary!$T$135:$T$193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'203'!$T$20:$T$29</definedName>
    <definedName name="OSRRefT22_0x_0" localSheetId="44">'204'!$T$20:$T$28</definedName>
    <definedName name="OSRRefT22_0x_0" localSheetId="45">'205'!$T$20:$T$27</definedName>
    <definedName name="OSRRefT22_0x_0" localSheetId="46">'206'!$T$20:$T$26</definedName>
    <definedName name="OSRRefT22_0x_0" localSheetId="48">'300'!$T$162:$T$171</definedName>
    <definedName name="OSRRefT22_0x_0" localSheetId="49">'300 &amp; 317'!$T$187:$T$196</definedName>
    <definedName name="OSRRefT22_0x_0" localSheetId="50">'301'!$T$20:$T$28</definedName>
    <definedName name="OSRRefT22_0x_0" localSheetId="51">'306'!$T$20:$T$28</definedName>
    <definedName name="OSRRefT22_0x_0" localSheetId="53">'307'!$T$69:$T$76</definedName>
    <definedName name="OSRRefT22_0x_0" localSheetId="55">'308'!$T$63:$T$71</definedName>
    <definedName name="OSRRefT22_0x_0" localSheetId="67">'309'!$T$24:$T$31</definedName>
    <definedName name="OSRRefT22_0x_0" localSheetId="66">'310'!$T$30:$T$37</definedName>
    <definedName name="OSRRefT22_0x_0" localSheetId="74">'310 &amp; 491'!$T$37:$T$45</definedName>
    <definedName name="OSRRefT22_0x_0" localSheetId="56">'311'!$T$62:$T$70</definedName>
    <definedName name="OSRRefT22_0x_0" localSheetId="68">'313'!$T$27:$T$34</definedName>
    <definedName name="OSRRefT22_0x_0" localSheetId="54">'314'!$T$55:$T$61</definedName>
    <definedName name="OSRRefT22_0x_0" localSheetId="59">'315'!$T$81:$T$88</definedName>
    <definedName name="OSRRefT22_0x_0" localSheetId="62">'316'!$T$32:$T$39</definedName>
    <definedName name="OSRRefT22_0x_0" localSheetId="65">'317'!$T$58:$T$66</definedName>
    <definedName name="OSRRefT22_0x_0" localSheetId="63">'320'!$T$28:$T$34</definedName>
    <definedName name="OSRRefT22_0x_0" localSheetId="69">'321'!$T$24:$T$31</definedName>
    <definedName name="OSRRefT22_0x_0" localSheetId="70">'322'!$T$24:$T$31</definedName>
    <definedName name="OSRRefT22_0x_0" localSheetId="71">'325'!$T$24:$T$31</definedName>
    <definedName name="OSRRefT22_0x_0" localSheetId="60">'326'!$T$58:$T$65</definedName>
    <definedName name="OSRRefT22_0x_0" localSheetId="72">'327'!$T$22</definedName>
    <definedName name="OSRRefT22_0x_0" localSheetId="52">'330'!$T$78:$T$85</definedName>
    <definedName name="OSRRefT22_0x_0" localSheetId="58">'331'!$T$88:$T$95</definedName>
    <definedName name="OSRRefT22_0x_0" localSheetId="61">'332'!$T$40:$T$47</definedName>
    <definedName name="OSRRefT22_0x_0" localSheetId="76">'405'!$T$24:$T$31</definedName>
    <definedName name="OSRRefT22_0x_0" localSheetId="77">'406'!$T$24:$T$31</definedName>
    <definedName name="OSRRefT22_0x_0" localSheetId="78">'411'!$T$20:$T$28</definedName>
    <definedName name="OSRRefT22_0x_0" localSheetId="79">'412'!$T$23:$T$30</definedName>
    <definedName name="OSRRefT22_0x_0" localSheetId="80">'413'!$T$24:$T$31</definedName>
    <definedName name="OSRRefT22_0x_0" localSheetId="81">'414'!$T$24:$T$30</definedName>
    <definedName name="OSRRefT22_0x_0" localSheetId="82">'415'!$T$24:$T$31</definedName>
    <definedName name="OSRRefT22_0x_0" localSheetId="83">'418'!$T$24:$T$31</definedName>
    <definedName name="OSRRefT22_0x_0" localSheetId="84">'420'!$T$22:$T$28</definedName>
    <definedName name="OSRRefT22_0x_0" localSheetId="85">'423'!$T$21:$T$28</definedName>
    <definedName name="OSRRefT22_0x_0" localSheetId="86">'424'!$T$23:$T$24</definedName>
    <definedName name="OSRRefT22_0x_0" localSheetId="87">'425'!$T$24:$T$31</definedName>
    <definedName name="OSRRefT22_0x_0" localSheetId="90">'430'!$T$20:$T$27</definedName>
    <definedName name="OSRRefT22_0x_0" localSheetId="91">'433'!$T$25:$T$33</definedName>
    <definedName name="OSRRefT22_0x_0" localSheetId="92">'435'!$T$25:$T$27</definedName>
    <definedName name="OSRRefT22_0x_0" localSheetId="93">'444'!$T$25:$T$33</definedName>
    <definedName name="OSRRefT22_0x_0" localSheetId="94">'450'!$T$25:$T$33</definedName>
    <definedName name="OSRRefT22_0x_0" localSheetId="88">'455'!$T$20:$T$26</definedName>
    <definedName name="OSRRefT22_0x_0" localSheetId="75">'491'!$T$31:$T$39</definedName>
    <definedName name="OSRRefT22_0x_0" localSheetId="89">'492'!$T$27:$T$35</definedName>
    <definedName name="OSRRefT22_0x_0" localSheetId="96">'501'!$T$21:$T$29</definedName>
    <definedName name="OSRRefT22_0x_0" localSheetId="39">'Div 2'!$T$20:$T$30</definedName>
    <definedName name="OSRRefT22_0x_0" localSheetId="47">'Div 3'!$T$167:$T$176</definedName>
    <definedName name="OSRRefT22_0x_0" localSheetId="73">'Div 4'!$T$32:$T$40</definedName>
    <definedName name="OSRRefT22_0x_0" localSheetId="95">'Div 5'!$T$21:$T$29</definedName>
    <definedName name="OSRRefT22_0x_0" localSheetId="64">'Div 6'!$T$58:$T$66</definedName>
    <definedName name="OSRRefT22_0x_0" localSheetId="2">Summary!$T$199:$T$208</definedName>
    <definedName name="OSRRefT22_10x_0" localSheetId="41">'201'!$T$51:$T$53</definedName>
    <definedName name="OSRRefT22_10x_0" localSheetId="42">'202'!$T$53:$T$55</definedName>
    <definedName name="OSRRefT22_10x_0" localSheetId="43">'203'!$T$53:$T$54</definedName>
    <definedName name="OSRRefT22_10x_0" localSheetId="44">'204'!$T$55:$T$56</definedName>
    <definedName name="OSRRefT22_10x_0" localSheetId="48">'300'!$T$200:$T$201</definedName>
    <definedName name="OSRRefT22_10x_0" localSheetId="49">'300 &amp; 317'!$T$225:$T$226</definedName>
    <definedName name="OSRRefT22_10x_0" localSheetId="50">'301'!$T$57</definedName>
    <definedName name="OSRRefT22_10x_0" localSheetId="53">'307'!$T$104</definedName>
    <definedName name="OSRRefT22_10x_0" localSheetId="55">'308'!$T$99</definedName>
    <definedName name="OSRRefT22_10x_0" localSheetId="67">'309'!$T$60</definedName>
    <definedName name="OSRRefT22_10x_0" localSheetId="66">'310'!$T$63</definedName>
    <definedName name="OSRRefT22_10x_0" localSheetId="74">'310 &amp; 491'!$T$73:$T$74</definedName>
    <definedName name="OSRRefT22_10x_0" localSheetId="56">'311'!$T$98</definedName>
    <definedName name="OSRRefT22_10x_0" localSheetId="68">'313'!$T$60:$T$64</definedName>
    <definedName name="OSRRefT22_10x_0" localSheetId="59">'315'!$T$121</definedName>
    <definedName name="OSRRefT22_10x_0" localSheetId="62">'316'!$T$68</definedName>
    <definedName name="OSRRefT22_10x_0" localSheetId="65">'317'!$T$93</definedName>
    <definedName name="OSRRefT22_10x_0" localSheetId="69">'321'!$T$62</definedName>
    <definedName name="OSRRefT22_10x_0" localSheetId="70">'322'!$T$57:$T$61</definedName>
    <definedName name="OSRRefT22_10x_0" localSheetId="71">'325'!$T$56</definedName>
    <definedName name="OSRRefT22_10x_0" localSheetId="60">'326'!$T$89</definedName>
    <definedName name="OSRRefT22_10x_0" localSheetId="52">'330'!$T$112</definedName>
    <definedName name="OSRRefT22_10x_0" localSheetId="58">'331'!$T$122</definedName>
    <definedName name="OSRRefT22_10x_0" localSheetId="61">'332'!$T$72</definedName>
    <definedName name="OSRRefT22_10x_0" localSheetId="76">'405'!$T$55:$T$56</definedName>
    <definedName name="OSRRefT22_10x_0" localSheetId="77">'406'!$T$57:$T$61</definedName>
    <definedName name="OSRRefT22_10x_0" localSheetId="78">'411'!$T$55</definedName>
    <definedName name="OSRRefT22_10x_0" localSheetId="79">'412'!$T$57:$T$62</definedName>
    <definedName name="OSRRefT22_10x_0" localSheetId="80">'413'!$T$61</definedName>
    <definedName name="OSRRefT22_10x_0" localSheetId="81">'414'!$T$54</definedName>
    <definedName name="OSRRefT22_10x_0" localSheetId="82">'415'!$T$56</definedName>
    <definedName name="OSRRefT22_10x_0" localSheetId="83">'418'!$T$60:$T$62</definedName>
    <definedName name="OSRRefT22_10x_0" localSheetId="86">'424'!$T$48</definedName>
    <definedName name="OSRRefT22_10x_0" localSheetId="87">'425'!$T$57</definedName>
    <definedName name="OSRRefT22_10x_0" localSheetId="91">'433'!$T$58</definedName>
    <definedName name="OSRRefT22_10x_0" localSheetId="93">'444'!$T$58</definedName>
    <definedName name="OSRRefT22_10x_0" localSheetId="94">'450'!$T$58</definedName>
    <definedName name="OSRRefT22_10x_0" localSheetId="75">'491'!$T$67:$T$68</definedName>
    <definedName name="OSRRefT22_10x_0" localSheetId="89">'492'!$T$61</definedName>
    <definedName name="OSRRefT22_10x_0" localSheetId="96">'501'!$T$58</definedName>
    <definedName name="OSRRefT22_10x_0" localSheetId="39">'Div 2'!$T$57</definedName>
    <definedName name="OSRRefT22_10x_0" localSheetId="47">'Div 3'!$T$205:$T$206</definedName>
    <definedName name="OSRRefT22_10x_0" localSheetId="73">'Div 4'!$T$68:$T$69</definedName>
    <definedName name="OSRRefT22_10x_0" localSheetId="95">'Div 5'!$T$58</definedName>
    <definedName name="OSRRefT22_10x_0" localSheetId="64">'Div 6'!$T$93</definedName>
    <definedName name="OSRRefT22_10x_0" localSheetId="2">Summary!$T$238:$T$239</definedName>
    <definedName name="OSRRefT22_11x_0" localSheetId="41">'201'!$T$55</definedName>
    <definedName name="OSRRefT22_11x_0" localSheetId="42">'202'!$T$57</definedName>
    <definedName name="OSRRefT22_11x_0" localSheetId="43">'203'!$T$56</definedName>
    <definedName name="OSRRefT22_11x_0" localSheetId="48">'300'!$T$203</definedName>
    <definedName name="OSRRefT22_11x_0" localSheetId="49">'300 &amp; 317'!$T$228</definedName>
    <definedName name="OSRRefT22_11x_0" localSheetId="50">'301'!$T$59</definedName>
    <definedName name="OSRRefT22_11x_0" localSheetId="53">'307'!$T$106</definedName>
    <definedName name="OSRRefT22_11x_0" localSheetId="55">'308'!$T$101:$T$103</definedName>
    <definedName name="OSRRefT22_11x_0" localSheetId="66">'310'!$T$65</definedName>
    <definedName name="OSRRefT22_11x_0" localSheetId="74">'310 &amp; 491'!$T$76:$T$77</definedName>
    <definedName name="OSRRefT22_11x_0" localSheetId="56">'311'!$T$100:$T$102</definedName>
    <definedName name="OSRRefT22_11x_0" localSheetId="68">'313'!$T$66</definedName>
    <definedName name="OSRRefT22_11x_0" localSheetId="59">'315'!$T$123</definedName>
    <definedName name="OSRRefT22_11x_0" localSheetId="62">'316'!$T$70</definedName>
    <definedName name="OSRRefT22_11x_0" localSheetId="65">'317'!$T$95</definedName>
    <definedName name="OSRRefT22_11x_0" localSheetId="69">'321'!$T$64</definedName>
    <definedName name="OSRRefT22_11x_0" localSheetId="70">'322'!$T$63</definedName>
    <definedName name="OSRRefT22_11x_0" localSheetId="71">'325'!$T$58:$T$60</definedName>
    <definedName name="OSRRefT22_11x_0" localSheetId="60">'326'!$T$91</definedName>
    <definedName name="OSRRefT22_11x_0" localSheetId="52">'330'!$T$114:$T$116</definedName>
    <definedName name="OSRRefT22_11x_0" localSheetId="58">'331'!$T$124</definedName>
    <definedName name="OSRRefT22_11x_0" localSheetId="61">'332'!$T$74:$T$79</definedName>
    <definedName name="OSRRefT22_11x_0" localSheetId="76">'405'!$T$58</definedName>
    <definedName name="OSRRefT22_11x_0" localSheetId="77">'406'!$T$63</definedName>
    <definedName name="OSRRefT22_11x_0" localSheetId="78">'411'!$T$57</definedName>
    <definedName name="OSRRefT22_11x_0" localSheetId="79">'412'!$T$64</definedName>
    <definedName name="OSRRefT22_11x_0" localSheetId="81">'414'!$T$56</definedName>
    <definedName name="OSRRefT22_11x_0" localSheetId="82">'415'!$T$58:$T$60</definedName>
    <definedName name="OSRRefT22_11x_0" localSheetId="83">'418'!$T$64</definedName>
    <definedName name="OSRRefT22_11x_0" localSheetId="86">'424'!$T$50:$T$52</definedName>
    <definedName name="OSRRefT22_11x_0" localSheetId="87">'425'!$T$59:$T$60</definedName>
    <definedName name="OSRRefT22_11x_0" localSheetId="91">'433'!$T$60:$T$62</definedName>
    <definedName name="OSRRefT22_11x_0" localSheetId="93">'444'!$T$60:$T$62</definedName>
    <definedName name="OSRRefT22_11x_0" localSheetId="94">'450'!$T$60</definedName>
    <definedName name="OSRRefT22_11x_0" localSheetId="75">'491'!$T$70</definedName>
    <definedName name="OSRRefT22_11x_0" localSheetId="89">'492'!$T$63</definedName>
    <definedName name="OSRRefT22_11x_0" localSheetId="39">'Div 2'!$T$59</definedName>
    <definedName name="OSRRefT22_11x_0" localSheetId="47">'Div 3'!$T$208</definedName>
    <definedName name="OSRRefT22_11x_0" localSheetId="73">'Div 4'!$T$71</definedName>
    <definedName name="OSRRefT22_11x_0" localSheetId="64">'Div 6'!$T$95</definedName>
    <definedName name="OSRRefT22_11x_0" localSheetId="2">Summary!$T$241:$T$242</definedName>
    <definedName name="OSRRefT22_12x_0" localSheetId="41">'201'!$T$57:$T$60</definedName>
    <definedName name="OSRRefT22_12x_0" localSheetId="42">'202'!$T$59</definedName>
    <definedName name="OSRRefT22_12x_0" localSheetId="43">'203'!$T$58:$T$61</definedName>
    <definedName name="OSRRefT22_12x_0" localSheetId="48">'300'!$T$205</definedName>
    <definedName name="OSRRefT22_12x_0" localSheetId="49">'300 &amp; 317'!$T$230</definedName>
    <definedName name="OSRRefT22_12x_0" localSheetId="50">'301'!$T$61</definedName>
    <definedName name="OSRRefT22_12x_0" localSheetId="55">'308'!$T$105:$T$106</definedName>
    <definedName name="OSRRefT22_12x_0" localSheetId="66">'310'!$T$67</definedName>
    <definedName name="OSRRefT22_12x_0" localSheetId="74">'310 &amp; 491'!$T$79</definedName>
    <definedName name="OSRRefT22_12x_0" localSheetId="56">'311'!$T$104:$T$105</definedName>
    <definedName name="OSRRefT22_12x_0" localSheetId="68">'313'!$T$68</definedName>
    <definedName name="OSRRefT22_12x_0" localSheetId="59">'315'!$T$125:$T$126</definedName>
    <definedName name="OSRRefT22_12x_0" localSheetId="65">'317'!$T$97</definedName>
    <definedName name="OSRRefT22_12x_0" localSheetId="70">'322'!$T$65</definedName>
    <definedName name="OSRRefT22_12x_0" localSheetId="71">'325'!$T$62:$T$64</definedName>
    <definedName name="OSRRefT22_12x_0" localSheetId="60">'326'!$T$93:$T$94</definedName>
    <definedName name="OSRRefT22_12x_0" localSheetId="52">'330'!$T$118</definedName>
    <definedName name="OSRRefT22_12x_0" localSheetId="58">'331'!$T$126</definedName>
    <definedName name="OSRRefT22_12x_0" localSheetId="61">'332'!$T$81</definedName>
    <definedName name="OSRRefT22_12x_0" localSheetId="76">'405'!$T$60:$T$62</definedName>
    <definedName name="OSRRefT22_12x_0" localSheetId="77">'406'!$T$65</definedName>
    <definedName name="OSRRefT22_12x_0" localSheetId="78">'411'!$T$59:$T$60</definedName>
    <definedName name="OSRRefT22_12x_0" localSheetId="79">'412'!$T$66</definedName>
    <definedName name="OSRRefT22_12x_0" localSheetId="81">'414'!$T$58</definedName>
    <definedName name="OSRRefT22_12x_0" localSheetId="82">'415'!$T$62:$T$66</definedName>
    <definedName name="OSRRefT22_12x_0" localSheetId="83">'418'!$T$66:$T$71</definedName>
    <definedName name="OSRRefT22_12x_0" localSheetId="86">'424'!$T$54</definedName>
    <definedName name="OSRRefT22_12x_0" localSheetId="87">'425'!$T$62:$T$68</definedName>
    <definedName name="OSRRefT22_12x_0" localSheetId="91">'433'!$T$64:$T$66</definedName>
    <definedName name="OSRRefT22_12x_0" localSheetId="93">'444'!$T$64:$T$66</definedName>
    <definedName name="OSRRefT22_12x_0" localSheetId="94">'450'!$T$62</definedName>
    <definedName name="OSRRefT22_12x_0" localSheetId="75">'491'!$T$72</definedName>
    <definedName name="OSRRefT22_12x_0" localSheetId="89">'492'!$T$65:$T$67</definedName>
    <definedName name="OSRRefT22_12x_0" localSheetId="39">'Div 2'!$T$61:$T$64</definedName>
    <definedName name="OSRRefT22_12x_0" localSheetId="47">'Div 3'!$T$210</definedName>
    <definedName name="OSRRefT22_12x_0" localSheetId="73">'Div 4'!$T$73</definedName>
    <definedName name="OSRRefT22_12x_0" localSheetId="64">'Div 6'!$T$97</definedName>
    <definedName name="OSRRefT22_12x_0" localSheetId="2">Summary!$T$244</definedName>
    <definedName name="OSRRefT22_13x_0" localSheetId="41">'201'!$T$62</definedName>
    <definedName name="OSRRefT22_13x_0" localSheetId="42">'202'!$T$61</definedName>
    <definedName name="OSRRefT22_13x_0" localSheetId="43">'203'!$T$63</definedName>
    <definedName name="OSRRefT22_13x_0" localSheetId="48">'300'!$T$207</definedName>
    <definedName name="OSRRefT22_13x_0" localSheetId="49">'300 &amp; 317'!$T$232</definedName>
    <definedName name="OSRRefT22_13x_0" localSheetId="50">'301'!$T$63</definedName>
    <definedName name="OSRRefT22_13x_0" localSheetId="55">'308'!$T$108</definedName>
    <definedName name="OSRRefT22_13x_0" localSheetId="66">'310'!$T$69</definedName>
    <definedName name="OSRRefT22_13x_0" localSheetId="74">'310 &amp; 491'!$T$81</definedName>
    <definedName name="OSRRefT22_13x_0" localSheetId="56">'311'!$T$107</definedName>
    <definedName name="OSRRefT22_13x_0" localSheetId="71">'325'!$T$66</definedName>
    <definedName name="OSRRefT22_13x_0" localSheetId="60">'326'!$T$96:$T$98</definedName>
    <definedName name="OSRRefT22_13x_0" localSheetId="52">'330'!$T$120</definedName>
    <definedName name="OSRRefT22_13x_0" localSheetId="58">'331'!$T$128:$T$129</definedName>
    <definedName name="OSRRefT22_13x_0" localSheetId="61">'332'!$T$83</definedName>
    <definedName name="OSRRefT22_13x_0" localSheetId="76">'405'!$T$64</definedName>
    <definedName name="OSRRefT22_13x_0" localSheetId="78">'411'!$T$62:$T$66</definedName>
    <definedName name="OSRRefT22_13x_0" localSheetId="81">'414'!$T$60:$T$66</definedName>
    <definedName name="OSRRefT22_13x_0" localSheetId="82">'415'!$T$68</definedName>
    <definedName name="OSRRefT22_13x_0" localSheetId="83">'418'!$T$73</definedName>
    <definedName name="OSRRefT22_13x_0" localSheetId="87">'425'!$T$70</definedName>
    <definedName name="OSRRefT22_13x_0" localSheetId="91">'433'!$T$68:$T$75</definedName>
    <definedName name="OSRRefT22_13x_0" localSheetId="93">'444'!$T$68</definedName>
    <definedName name="OSRRefT22_13x_0" localSheetId="94">'450'!$T$64:$T$66</definedName>
    <definedName name="OSRRefT22_13x_0" localSheetId="75">'491'!$T$74</definedName>
    <definedName name="OSRRefT22_13x_0" localSheetId="89">'492'!$T$69:$T$71</definedName>
    <definedName name="OSRRefT22_13x_0" localSheetId="39">'Div 2'!$T$66:$T$68</definedName>
    <definedName name="OSRRefT22_13x_0" localSheetId="47">'Div 3'!$T$212</definedName>
    <definedName name="OSRRefT22_13x_0" localSheetId="73">'Div 4'!$T$75</definedName>
    <definedName name="OSRRefT22_13x_0" localSheetId="2">Summary!$T$246</definedName>
    <definedName name="OSRRefT22_14x_0" localSheetId="41">'201'!$T$64</definedName>
    <definedName name="OSRRefT22_14x_0" localSheetId="43">'203'!$T$65</definedName>
    <definedName name="OSRRefT22_14x_0" localSheetId="48">'300'!$T$209</definedName>
    <definedName name="OSRRefT22_14x_0" localSheetId="49">'300 &amp; 317'!$T$234</definedName>
    <definedName name="OSRRefT22_14x_0" localSheetId="50">'301'!$T$65</definedName>
    <definedName name="OSRRefT22_14x_0" localSheetId="55">'308'!$T$110</definedName>
    <definedName name="OSRRefT22_14x_0" localSheetId="66">'310'!$T$71:$T$73</definedName>
    <definedName name="OSRRefT22_14x_0" localSheetId="74">'310 &amp; 491'!$T$83</definedName>
    <definedName name="OSRRefT22_14x_0" localSheetId="56">'311'!$T$109</definedName>
    <definedName name="OSRRefT22_14x_0" localSheetId="71">'325'!$T$68:$T$72</definedName>
    <definedName name="OSRRefT22_14x_0" localSheetId="60">'326'!$T$100</definedName>
    <definedName name="OSRRefT22_14x_0" localSheetId="58">'331'!$T$131:$T$132</definedName>
    <definedName name="OSRRefT22_14x_0" localSheetId="61">'332'!$T$85</definedName>
    <definedName name="OSRRefT22_14x_0" localSheetId="76">'405'!$T$66:$T$72</definedName>
    <definedName name="OSRRefT22_14x_0" localSheetId="78">'411'!$T$68:$T$73</definedName>
    <definedName name="OSRRefT22_14x_0" localSheetId="81">'414'!$T$68</definedName>
    <definedName name="OSRRefT22_14x_0" localSheetId="82">'415'!$T$70:$T$77</definedName>
    <definedName name="OSRRefT22_14x_0" localSheetId="83">'418'!$T$75</definedName>
    <definedName name="OSRRefT22_14x_0" localSheetId="87">'425'!$T$72</definedName>
    <definedName name="OSRRefT22_14x_0" localSheetId="91">'433'!$T$77</definedName>
    <definedName name="OSRRefT22_14x_0" localSheetId="93">'444'!$T$70:$T$78</definedName>
    <definedName name="OSRRefT22_14x_0" localSheetId="94">'450'!$T$68:$T$73</definedName>
    <definedName name="OSRRefT22_14x_0" localSheetId="75">'491'!$T$76</definedName>
    <definedName name="OSRRefT22_14x_0" localSheetId="89">'492'!$T$73</definedName>
    <definedName name="OSRRefT22_14x_0" localSheetId="39">'Div 2'!$T$70:$T$71</definedName>
    <definedName name="OSRRefT22_14x_0" localSheetId="47">'Div 3'!$T$214</definedName>
    <definedName name="OSRRefT22_14x_0" localSheetId="73">'Div 4'!$T$77</definedName>
    <definedName name="OSRRefT22_14x_0" localSheetId="2">Summary!$T$248</definedName>
    <definedName name="OSRRefT22_15x_0" localSheetId="41">'201'!$T$66</definedName>
    <definedName name="OSRRefT22_15x_0" localSheetId="43">'203'!$T$67</definedName>
    <definedName name="OSRRefT22_15x_0" localSheetId="48">'300'!$T$211</definedName>
    <definedName name="OSRRefT22_15x_0" localSheetId="49">'300 &amp; 317'!$T$236</definedName>
    <definedName name="OSRRefT22_15x_0" localSheetId="50">'301'!$T$67:$T$70</definedName>
    <definedName name="OSRRefT22_15x_0" localSheetId="66">'310'!$T$75</definedName>
    <definedName name="OSRRefT22_15x_0" localSheetId="74">'310 &amp; 491'!$T$85</definedName>
    <definedName name="OSRRefT22_15x_0" localSheetId="71">'325'!$T$74</definedName>
    <definedName name="OSRRefT22_15x_0" localSheetId="60">'326'!$T$102:$T$105</definedName>
    <definedName name="OSRRefT22_15x_0" localSheetId="58">'331'!$T$134:$T$136</definedName>
    <definedName name="OSRRefT22_15x_0" localSheetId="76">'405'!$T$74</definedName>
    <definedName name="OSRRefT22_15x_0" localSheetId="78">'411'!$T$75</definedName>
    <definedName name="OSRRefT22_15x_0" localSheetId="81">'414'!$T$70</definedName>
    <definedName name="OSRRefT22_15x_0" localSheetId="82">'415'!$T$79</definedName>
    <definedName name="OSRRefT22_15x_0" localSheetId="91">'433'!$T$79</definedName>
    <definedName name="OSRRefT22_15x_0" localSheetId="93">'444'!$T$80</definedName>
    <definedName name="OSRRefT22_15x_0" localSheetId="94">'450'!$T$75</definedName>
    <definedName name="OSRRefT22_15x_0" localSheetId="75">'491'!$T$78:$T$80</definedName>
    <definedName name="OSRRefT22_15x_0" localSheetId="89">'492'!$T$75:$T$83</definedName>
    <definedName name="OSRRefT22_15x_0" localSheetId="39">'Div 2'!$T$73</definedName>
    <definedName name="OSRRefT22_15x_0" localSheetId="47">'Div 3'!$T$216</definedName>
    <definedName name="OSRRefT22_15x_0" localSheetId="73">'Div 4'!$T$79</definedName>
    <definedName name="OSRRefT22_15x_0" localSheetId="2">Summary!$T$250</definedName>
    <definedName name="OSRRefT22_16x_0" localSheetId="48">'300'!$T$213:$T$216</definedName>
    <definedName name="OSRRefT22_16x_0" localSheetId="49">'300 &amp; 317'!$T$238:$T$241</definedName>
    <definedName name="OSRRefT22_16x_0" localSheetId="50">'301'!$T$72:$T$74</definedName>
    <definedName name="OSRRefT22_16x_0" localSheetId="66">'310'!$T$77:$T$80</definedName>
    <definedName name="OSRRefT22_16x_0" localSheetId="74">'310 &amp; 491'!$T$87:$T$89</definedName>
    <definedName name="OSRRefT22_16x_0" localSheetId="71">'325'!$T$76</definedName>
    <definedName name="OSRRefT22_16x_0" localSheetId="60">'326'!$T$107</definedName>
    <definedName name="OSRRefT22_16x_0" localSheetId="58">'331'!$T$138:$T$139</definedName>
    <definedName name="OSRRefT22_16x_0" localSheetId="76">'405'!$T$76</definedName>
    <definedName name="OSRRefT22_16x_0" localSheetId="78">'411'!$T$77</definedName>
    <definedName name="OSRRefT22_16x_0" localSheetId="82">'415'!$T$81</definedName>
    <definedName name="OSRRefT22_16x_0" localSheetId="91">'433'!$T$81</definedName>
    <definedName name="OSRRefT22_16x_0" localSheetId="93">'444'!$T$82</definedName>
    <definedName name="OSRRefT22_16x_0" localSheetId="94">'450'!$T$77</definedName>
    <definedName name="OSRRefT22_16x_0" localSheetId="75">'491'!$T$82:$T$83</definedName>
    <definedName name="OSRRefT22_16x_0" localSheetId="89">'492'!$T$85</definedName>
    <definedName name="OSRRefT22_16x_0" localSheetId="39">'Div 2'!$T$75:$T$79</definedName>
    <definedName name="OSRRefT22_16x_0" localSheetId="47">'Div 3'!$T$218</definedName>
    <definedName name="OSRRefT22_16x_0" localSheetId="73">'Div 4'!$T$81:$T$83</definedName>
    <definedName name="OSRRefT22_16x_0" localSheetId="2">Summary!$T$252</definedName>
    <definedName name="OSRRefT22_17x_0" localSheetId="48">'300'!$T$218:$T$220</definedName>
    <definedName name="OSRRefT22_17x_0" localSheetId="49">'300 &amp; 317'!$T$243:$T$245</definedName>
    <definedName name="OSRRefT22_17x_0" localSheetId="50">'301'!$T$76</definedName>
    <definedName name="OSRRefT22_17x_0" localSheetId="66">'310'!$T$82</definedName>
    <definedName name="OSRRefT22_17x_0" localSheetId="74">'310 &amp; 491'!$T$91:$T$92</definedName>
    <definedName name="OSRRefT22_17x_0" localSheetId="60">'326'!$T$109</definedName>
    <definedName name="OSRRefT22_17x_0" localSheetId="58">'331'!$T$141:$T$146</definedName>
    <definedName name="OSRRefT22_17x_0" localSheetId="76">'405'!$T$78</definedName>
    <definedName name="OSRRefT22_17x_0" localSheetId="78">'411'!$T$79:$T$81</definedName>
    <definedName name="OSRRefT22_17x_0" localSheetId="82">'415'!$T$83</definedName>
    <definedName name="OSRRefT22_17x_0" localSheetId="93">'444'!$T$84</definedName>
    <definedName name="OSRRefT22_17x_0" localSheetId="94">'450'!$T$79</definedName>
    <definedName name="OSRRefT22_17x_0" localSheetId="75">'491'!$T$85:$T$89</definedName>
    <definedName name="OSRRefT22_17x_0" localSheetId="89">'492'!$T$87</definedName>
    <definedName name="OSRRefT22_17x_0" localSheetId="39">'Div 2'!$T$81:$T$82</definedName>
    <definedName name="OSRRefT22_17x_0" localSheetId="47">'Div 3'!$T$220:$T$223</definedName>
    <definedName name="OSRRefT22_17x_0" localSheetId="73">'Div 4'!$T$85:$T$86</definedName>
    <definedName name="OSRRefT22_17x_0" localSheetId="2">Summary!$T$254</definedName>
    <definedName name="OSRRefT22_18x_0" localSheetId="48">'300'!$T$222:$T$225</definedName>
    <definedName name="OSRRefT22_18x_0" localSheetId="49">'300 &amp; 317'!$T$247:$T$250</definedName>
    <definedName name="OSRRefT22_18x_0" localSheetId="50">'301'!$T$78:$T$83</definedName>
    <definedName name="OSRRefT22_18x_0" localSheetId="66">'310'!$T$84:$T$90</definedName>
    <definedName name="OSRRefT22_18x_0" localSheetId="74">'310 &amp; 491'!$T$94:$T$98</definedName>
    <definedName name="OSRRefT22_18x_0" localSheetId="60">'326'!$T$111</definedName>
    <definedName name="OSRRefT22_18x_0" localSheetId="58">'331'!$T$148</definedName>
    <definedName name="OSRRefT22_18x_0" localSheetId="78">'411'!$T$83</definedName>
    <definedName name="OSRRefT22_18x_0" localSheetId="75">'491'!$T$91</definedName>
    <definedName name="OSRRefT22_18x_0" localSheetId="89">'492'!$T$89</definedName>
    <definedName name="OSRRefT22_18x_0" localSheetId="39">'Div 2'!$T$84</definedName>
    <definedName name="OSRRefT22_18x_0" localSheetId="47">'Div 3'!$T$225:$T$227</definedName>
    <definedName name="OSRRefT22_18x_0" localSheetId="73">'Div 4'!$T$88:$T$92</definedName>
    <definedName name="OSRRefT22_18x_0" localSheetId="2">Summary!$T$256:$T$259</definedName>
    <definedName name="OSRRefT22_19x_0" localSheetId="48">'300'!$T$227:$T$228</definedName>
    <definedName name="OSRRefT22_19x_0" localSheetId="49">'300 &amp; 317'!$T$252:$T$253</definedName>
    <definedName name="OSRRefT22_19x_0" localSheetId="50">'301'!$T$85</definedName>
    <definedName name="OSRRefT22_19x_0" localSheetId="66">'310'!$T$92</definedName>
    <definedName name="OSRRefT22_19x_0" localSheetId="74">'310 &amp; 491'!$T$100</definedName>
    <definedName name="OSRRefT22_19x_0" localSheetId="58">'331'!$T$150</definedName>
    <definedName name="OSRRefT22_19x_0" localSheetId="75">'491'!$T$93:$T$101</definedName>
    <definedName name="OSRRefT22_19x_0" localSheetId="39">'Div 2'!$T$86:$T$87</definedName>
    <definedName name="OSRRefT22_19x_0" localSheetId="47">'Div 3'!$T$229:$T$233</definedName>
    <definedName name="OSRRefT22_19x_0" localSheetId="73">'Div 4'!$T$94:$T$95</definedName>
    <definedName name="OSRRefT22_19x_0" localSheetId="2">Summary!$T$261:$T$263</definedName>
    <definedName name="OSRRefT22_1x_0" localSheetId="40">'200'!$T$22</definedName>
    <definedName name="OSRRefT22_1x_0" localSheetId="41">'201'!$T$29:$T$31</definedName>
    <definedName name="OSRRefT22_1x_0" localSheetId="42">'202'!$T$29:$T$32</definedName>
    <definedName name="OSRRefT22_1x_0" localSheetId="43">'203'!$T$31:$T$34</definedName>
    <definedName name="OSRRefT22_1x_0" localSheetId="44">'204'!$T$30:$T$34</definedName>
    <definedName name="OSRRefT22_1x_0" localSheetId="45">'205'!$T$29</definedName>
    <definedName name="OSRRefT22_1x_0" localSheetId="46">'206'!$T$28:$T$31</definedName>
    <definedName name="OSRRefT22_1x_0" localSheetId="48">'300'!$T$173:$T$179</definedName>
    <definedName name="OSRRefT22_1x_0" localSheetId="49">'300 &amp; 317'!$T$198:$T$204</definedName>
    <definedName name="OSRRefT22_1x_0" localSheetId="50">'301'!$T$30:$T$36</definedName>
    <definedName name="OSRRefT22_1x_0" localSheetId="51">'306'!$T$30:$T$35</definedName>
    <definedName name="OSRRefT22_1x_0" localSheetId="53">'307'!$T$78:$T$81</definedName>
    <definedName name="OSRRefT22_1x_0" localSheetId="55">'308'!$T$73:$T$78</definedName>
    <definedName name="OSRRefT22_1x_0" localSheetId="67">'309'!$T$33:$T$37</definedName>
    <definedName name="OSRRefT22_1x_0" localSheetId="66">'310'!$T$39:$T$44</definedName>
    <definedName name="OSRRefT22_1x_0" localSheetId="74">'310 &amp; 491'!$T$47:$T$53</definedName>
    <definedName name="OSRRefT22_1x_0" localSheetId="56">'311'!$T$72:$T$77</definedName>
    <definedName name="OSRRefT22_1x_0" localSheetId="68">'313'!$T$36:$T$40</definedName>
    <definedName name="OSRRefT22_1x_0" localSheetId="54">'314'!$T$63:$T$65</definedName>
    <definedName name="OSRRefT22_1x_0" localSheetId="59">'315'!$T$90:$T$95</definedName>
    <definedName name="OSRRefT22_1x_0" localSheetId="62">'316'!$T$41:$T$43</definedName>
    <definedName name="OSRRefT22_1x_0" localSheetId="65">'317'!$T$68:$T$72</definedName>
    <definedName name="OSRRefT22_1x_0" localSheetId="63">'320'!$T$36:$T$38</definedName>
    <definedName name="OSRRefT22_1x_0" localSheetId="69">'321'!$T$33:$T$37</definedName>
    <definedName name="OSRRefT22_1x_0" localSheetId="70">'322'!$T$33:$T$36</definedName>
    <definedName name="OSRRefT22_1x_0" localSheetId="71">'325'!$T$33:$T$37</definedName>
    <definedName name="OSRRefT22_1x_0" localSheetId="60">'326'!$T$67:$T$71</definedName>
    <definedName name="OSRRefT22_1x_0" localSheetId="72">'327'!$T$24</definedName>
    <definedName name="OSRRefT22_1x_0" localSheetId="52">'330'!$T$87:$T$91</definedName>
    <definedName name="OSRRefT22_1x_0" localSheetId="58">'331'!$T$97:$T$102</definedName>
    <definedName name="OSRRefT22_1x_0" localSheetId="61">'332'!$T$49:$T$52</definedName>
    <definedName name="OSRRefT22_1x_0" localSheetId="76">'405'!$T$33:$T$36</definedName>
    <definedName name="OSRRefT22_1x_0" localSheetId="77">'406'!$T$33:$T$37</definedName>
    <definedName name="OSRRefT22_1x_0" localSheetId="78">'411'!$T$30:$T$35</definedName>
    <definedName name="OSRRefT22_1x_0" localSheetId="79">'412'!$T$32:$T$37</definedName>
    <definedName name="OSRRefT22_1x_0" localSheetId="80">'413'!$T$33:$T$36</definedName>
    <definedName name="OSRRefT22_1x_0" localSheetId="81">'414'!$T$32:$T$35</definedName>
    <definedName name="OSRRefT22_1x_0" localSheetId="82">'415'!$T$33:$T$37</definedName>
    <definedName name="OSRRefT22_1x_0" localSheetId="83">'418'!$T$33:$T$38</definedName>
    <definedName name="OSRRefT22_1x_0" localSheetId="84">'420'!$T$30:$T$33</definedName>
    <definedName name="OSRRefT22_1x_0" localSheetId="85">'423'!$T$30</definedName>
    <definedName name="OSRRefT22_1x_0" localSheetId="86">'424'!$T$26:$T$29</definedName>
    <definedName name="OSRRefT22_1x_0" localSheetId="87">'425'!$T$33:$T$37</definedName>
    <definedName name="OSRRefT22_1x_0" localSheetId="90">'430'!$T$29</definedName>
    <definedName name="OSRRefT22_1x_0" localSheetId="91">'433'!$T$35:$T$40</definedName>
    <definedName name="OSRRefT22_1x_0" localSheetId="92">'435'!$T$29:$T$30</definedName>
    <definedName name="OSRRefT22_1x_0" localSheetId="93">'444'!$T$35:$T$40</definedName>
    <definedName name="OSRRefT22_1x_0" localSheetId="94">'450'!$T$35:$T$40</definedName>
    <definedName name="OSRRefT22_1x_0" localSheetId="88">'455'!$T$28:$T$29</definedName>
    <definedName name="OSRRefT22_1x_0" localSheetId="75">'491'!$T$41:$T$47</definedName>
    <definedName name="OSRRefT22_1x_0" localSheetId="89">'492'!$T$37:$T$43</definedName>
    <definedName name="OSRRefT22_1x_0" localSheetId="96">'501'!$T$31:$T$35</definedName>
    <definedName name="OSRRefT22_1x_0" localSheetId="39">'Div 2'!$T$32:$T$38</definedName>
    <definedName name="OSRRefT22_1x_0" localSheetId="47">'Div 3'!$T$178:$T$184</definedName>
    <definedName name="OSRRefT22_1x_0" localSheetId="73">'Div 4'!$T$42:$T$48</definedName>
    <definedName name="OSRRefT22_1x_0" localSheetId="95">'Div 5'!$T$31:$T$35</definedName>
    <definedName name="OSRRefT22_1x_0" localSheetId="64">'Div 6'!$T$68:$T$72</definedName>
    <definedName name="OSRRefT22_1x_0" localSheetId="2">Summary!$T$210:$T$216</definedName>
    <definedName name="OSRRefT22_20x_0" localSheetId="48">'300'!$T$230:$T$236</definedName>
    <definedName name="OSRRefT22_20x_0" localSheetId="49">'300 &amp; 317'!$T$255:$T$261</definedName>
    <definedName name="OSRRefT22_20x_0" localSheetId="50">'301'!$T$87</definedName>
    <definedName name="OSRRefT22_20x_0" localSheetId="66">'310'!$T$94</definedName>
    <definedName name="OSRRefT22_20x_0" localSheetId="74">'310 &amp; 491'!$T$102:$T$110</definedName>
    <definedName name="OSRRefT22_20x_0" localSheetId="58">'331'!$T$152:$T$153</definedName>
    <definedName name="OSRRefT22_20x_0" localSheetId="75">'491'!$T$103</definedName>
    <definedName name="OSRRefT22_20x_0" localSheetId="47">'Div 3'!$T$235:$T$236</definedName>
    <definedName name="OSRRefT22_20x_0" localSheetId="73">'Div 4'!$T$97:$T$105</definedName>
    <definedName name="OSRRefT22_20x_0" localSheetId="2">Summary!$T$265:$T$269</definedName>
    <definedName name="OSRRefT22_21x_0" localSheetId="48">'300'!$T$238:$T$239</definedName>
    <definedName name="OSRRefT22_21x_0" localSheetId="49">'300 &amp; 317'!$T$263:$T$264</definedName>
    <definedName name="OSRRefT22_21x_0" localSheetId="50">'301'!$T$89:$T$91</definedName>
    <definedName name="OSRRefT22_21x_0" localSheetId="66">'310'!$T$96</definedName>
    <definedName name="OSRRefT22_21x_0" localSheetId="74">'310 &amp; 491'!$T$112</definedName>
    <definedName name="OSRRefT22_21x_0" localSheetId="58">'331'!$T$155</definedName>
    <definedName name="OSRRefT22_21x_0" localSheetId="75">'491'!$T$105</definedName>
    <definedName name="OSRRefT22_21x_0" localSheetId="47">'Div 3'!$T$238:$T$244</definedName>
    <definedName name="OSRRefT22_21x_0" localSheetId="73">'Div 4'!$T$107</definedName>
    <definedName name="OSRRefT22_21x_0" localSheetId="2">Summary!$T$271:$T$272</definedName>
    <definedName name="OSRRefT22_22x_0" localSheetId="48">'300'!$T$241</definedName>
    <definedName name="OSRRefT22_22x_0" localSheetId="49">'300 &amp; 317'!$T$266</definedName>
    <definedName name="OSRRefT22_22x_0" localSheetId="50">'301'!$T$93</definedName>
    <definedName name="OSRRefT22_22x_0" localSheetId="74">'310 &amp; 491'!$T$114</definedName>
    <definedName name="OSRRefT22_22x_0" localSheetId="75">'491'!$T$107:$T$109</definedName>
    <definedName name="OSRRefT22_22x_0" localSheetId="47">'Div 3'!$T$246:$T$247</definedName>
    <definedName name="OSRRefT22_22x_0" localSheetId="73">'Div 4'!$T$109</definedName>
    <definedName name="OSRRefT22_22x_0" localSheetId="2">Summary!$T$274:$T$282</definedName>
    <definedName name="OSRRefT22_23x_0" localSheetId="48">'300'!$T$243:$T$245</definedName>
    <definedName name="OSRRefT22_23x_0" localSheetId="49">'300 &amp; 317'!$T$268:$T$270</definedName>
    <definedName name="OSRRefT22_23x_0" localSheetId="74">'310 &amp; 491'!$T$116:$T$118</definedName>
    <definedName name="OSRRefT22_23x_0" localSheetId="75">'491'!$T$111</definedName>
    <definedName name="OSRRefT22_23x_0" localSheetId="47">'Div 3'!$T$249</definedName>
    <definedName name="OSRRefT22_23x_0" localSheetId="73">'Div 4'!$T$111:$T$113</definedName>
    <definedName name="OSRRefT22_23x_0" localSheetId="2">Summary!$T$284:$T$285</definedName>
    <definedName name="OSRRefT22_24x_0" localSheetId="48">'300'!$T$247</definedName>
    <definedName name="OSRRefT22_24x_0" localSheetId="49">'300 &amp; 317'!$T$272</definedName>
    <definedName name="OSRRefT22_24x_0" localSheetId="74">'310 &amp; 491'!$T$120</definedName>
    <definedName name="OSRRefT22_24x_0" localSheetId="47">'Div 3'!$T$251:$T$253</definedName>
    <definedName name="OSRRefT22_24x_0" localSheetId="73">'Div 4'!$T$115</definedName>
    <definedName name="OSRRefT22_24x_0" localSheetId="2">Summary!$T$287</definedName>
    <definedName name="OSRRefT22_25x_0" localSheetId="47">'Div 3'!$T$255</definedName>
    <definedName name="OSRRefT22_25x_0" localSheetId="2">Summary!$T$289:$T$291</definedName>
    <definedName name="OSRRefT22_26x_0" localSheetId="2">Summary!$T$293</definedName>
    <definedName name="OSRRefT22_2x_0" localSheetId="40">'200'!$T$24</definedName>
    <definedName name="OSRRefT22_2x_0" localSheetId="41">'201'!$T$33</definedName>
    <definedName name="OSRRefT22_2x_0" localSheetId="42">'202'!$T$34</definedName>
    <definedName name="OSRRefT22_2x_0" localSheetId="43">'203'!$T$36</definedName>
    <definedName name="OSRRefT22_2x_0" localSheetId="44">'204'!$T$36</definedName>
    <definedName name="OSRRefT22_2x_0" localSheetId="45">'205'!$T$31</definedName>
    <definedName name="OSRRefT22_2x_0" localSheetId="46">'206'!$T$33</definedName>
    <definedName name="OSRRefT22_2x_0" localSheetId="48">'300'!$T$181</definedName>
    <definedName name="OSRRefT22_2x_0" localSheetId="49">'300 &amp; 317'!$T$206</definedName>
    <definedName name="OSRRefT22_2x_0" localSheetId="50">'301'!$T$38</definedName>
    <definedName name="OSRRefT22_2x_0" localSheetId="51">'306'!$T$37</definedName>
    <definedName name="OSRRefT22_2x_0" localSheetId="53">'307'!$T$83</definedName>
    <definedName name="OSRRefT22_2x_0" localSheetId="55">'308'!$T$80</definedName>
    <definedName name="OSRRefT22_2x_0" localSheetId="67">'309'!$T$39</definedName>
    <definedName name="OSRRefT22_2x_0" localSheetId="66">'310'!$T$46</definedName>
    <definedName name="OSRRefT22_2x_0" localSheetId="74">'310 &amp; 491'!$T$55</definedName>
    <definedName name="OSRRefT22_2x_0" localSheetId="56">'311'!$T$79</definedName>
    <definedName name="OSRRefT22_2x_0" localSheetId="68">'313'!$T$42</definedName>
    <definedName name="OSRRefT22_2x_0" localSheetId="54">'314'!$T$67</definedName>
    <definedName name="OSRRefT22_2x_0" localSheetId="59">'315'!$T$97</definedName>
    <definedName name="OSRRefT22_2x_0" localSheetId="62">'316'!$T$45</definedName>
    <definedName name="OSRRefT22_2x_0" localSheetId="65">'317'!$T$74</definedName>
    <definedName name="OSRRefT22_2x_0" localSheetId="63">'320'!$T$40</definedName>
    <definedName name="OSRRefT22_2x_0" localSheetId="69">'321'!$T$39</definedName>
    <definedName name="OSRRefT22_2x_0" localSheetId="70">'322'!$T$38</definedName>
    <definedName name="OSRRefT22_2x_0" localSheetId="71">'325'!$T$39</definedName>
    <definedName name="OSRRefT22_2x_0" localSheetId="60">'326'!$T$73</definedName>
    <definedName name="OSRRefT22_2x_0" localSheetId="72">'327'!$T$26</definedName>
    <definedName name="OSRRefT22_2x_0" localSheetId="52">'330'!$T$93</definedName>
    <definedName name="OSRRefT22_2x_0" localSheetId="58">'331'!$T$104</definedName>
    <definedName name="OSRRefT22_2x_0" localSheetId="61">'332'!$T$54</definedName>
    <definedName name="OSRRefT22_2x_0" localSheetId="76">'405'!$T$38</definedName>
    <definedName name="OSRRefT22_2x_0" localSheetId="77">'406'!$T$39</definedName>
    <definedName name="OSRRefT22_2x_0" localSheetId="78">'411'!$T$37</definedName>
    <definedName name="OSRRefT22_2x_0" localSheetId="79">'412'!$T$39</definedName>
    <definedName name="OSRRefT22_2x_0" localSheetId="80">'413'!$T$38</definedName>
    <definedName name="OSRRefT22_2x_0" localSheetId="81">'414'!$T$37</definedName>
    <definedName name="OSRRefT22_2x_0" localSheetId="82">'415'!$T$39</definedName>
    <definedName name="OSRRefT22_2x_0" localSheetId="83">'418'!$T$40</definedName>
    <definedName name="OSRRefT22_2x_0" localSheetId="84">'420'!$T$35</definedName>
    <definedName name="OSRRefT22_2x_0" localSheetId="85">'423'!$T$32</definedName>
    <definedName name="OSRRefT22_2x_0" localSheetId="86">'424'!$T$31</definedName>
    <definedName name="OSRRefT22_2x_0" localSheetId="87">'425'!$T$39</definedName>
    <definedName name="OSRRefT22_2x_0" localSheetId="90">'430'!$T$31</definedName>
    <definedName name="OSRRefT22_2x_0" localSheetId="91">'433'!$T$42</definedName>
    <definedName name="OSRRefT22_2x_0" localSheetId="92">'435'!$T$32</definedName>
    <definedName name="OSRRefT22_2x_0" localSheetId="93">'444'!$T$42</definedName>
    <definedName name="OSRRefT22_2x_0" localSheetId="94">'450'!$T$42</definedName>
    <definedName name="OSRRefT22_2x_0" localSheetId="75">'491'!$T$49</definedName>
    <definedName name="OSRRefT22_2x_0" localSheetId="89">'492'!$T$45</definedName>
    <definedName name="OSRRefT22_2x_0" localSheetId="96">'501'!$T$37</definedName>
    <definedName name="OSRRefT22_2x_0" localSheetId="39">'Div 2'!$T$40</definedName>
    <definedName name="OSRRefT22_2x_0" localSheetId="47">'Div 3'!$T$186</definedName>
    <definedName name="OSRRefT22_2x_0" localSheetId="73">'Div 4'!$T$50</definedName>
    <definedName name="OSRRefT22_2x_0" localSheetId="95">'Div 5'!$T$37</definedName>
    <definedName name="OSRRefT22_2x_0" localSheetId="64">'Div 6'!$T$74</definedName>
    <definedName name="OSRRefT22_2x_0" localSheetId="2">Summary!$T$218</definedName>
    <definedName name="OSRRefT22_3x_0" localSheetId="40">'200'!$T$26</definedName>
    <definedName name="OSRRefT22_3x_0" localSheetId="41">'201'!$T$35</definedName>
    <definedName name="OSRRefT22_3x_0" localSheetId="42">'202'!$T$36</definedName>
    <definedName name="OSRRefT22_3x_0" localSheetId="43">'203'!$T$38</definedName>
    <definedName name="OSRRefT22_3x_0" localSheetId="44">'204'!$T$38</definedName>
    <definedName name="OSRRefT22_3x_0" localSheetId="45">'205'!$T$33</definedName>
    <definedName name="OSRRefT22_3x_0" localSheetId="46">'206'!$T$35</definedName>
    <definedName name="OSRRefT22_3x_0" localSheetId="48">'300'!$T$183:$T$184</definedName>
    <definedName name="OSRRefT22_3x_0" localSheetId="49">'300 &amp; 317'!$T$208:$T$209</definedName>
    <definedName name="OSRRefT22_3x_0" localSheetId="50">'301'!$T$40:$T$41</definedName>
    <definedName name="OSRRefT22_3x_0" localSheetId="51">'306'!$T$39</definedName>
    <definedName name="OSRRefT22_3x_0" localSheetId="53">'307'!$T$85</definedName>
    <definedName name="OSRRefT22_3x_0" localSheetId="55">'308'!$T$82:$T$83</definedName>
    <definedName name="OSRRefT22_3x_0" localSheetId="67">'309'!$T$41</definedName>
    <definedName name="OSRRefT22_3x_0" localSheetId="66">'310'!$T$48</definedName>
    <definedName name="OSRRefT22_3x_0" localSheetId="74">'310 &amp; 491'!$T$57</definedName>
    <definedName name="OSRRefT22_3x_0" localSheetId="56">'311'!$T$81:$T$82</definedName>
    <definedName name="OSRRefT22_3x_0" localSheetId="68">'313'!$T$44</definedName>
    <definedName name="OSRRefT22_3x_0" localSheetId="54">'314'!$T$69:$T$70</definedName>
    <definedName name="OSRRefT22_3x_0" localSheetId="59">'315'!$T$99:$T$100</definedName>
    <definedName name="OSRRefT22_3x_0" localSheetId="62">'316'!$T$47</definedName>
    <definedName name="OSRRefT22_3x_0" localSheetId="65">'317'!$T$76</definedName>
    <definedName name="OSRRefT22_3x_0" localSheetId="63">'320'!$T$42</definedName>
    <definedName name="OSRRefT22_3x_0" localSheetId="69">'321'!$T$41</definedName>
    <definedName name="OSRRefT22_3x_0" localSheetId="70">'322'!$T$40</definedName>
    <definedName name="OSRRefT22_3x_0" localSheetId="71">'325'!$T$41</definedName>
    <definedName name="OSRRefT22_3x_0" localSheetId="60">'326'!$T$75</definedName>
    <definedName name="OSRRefT22_3x_0" localSheetId="52">'330'!$T$95</definedName>
    <definedName name="OSRRefT22_3x_0" localSheetId="58">'331'!$T$106</definedName>
    <definedName name="OSRRefT22_3x_0" localSheetId="61">'332'!$T$56</definedName>
    <definedName name="OSRRefT22_3x_0" localSheetId="76">'405'!$T$40</definedName>
    <definedName name="OSRRefT22_3x_0" localSheetId="77">'406'!$T$41</definedName>
    <definedName name="OSRRefT22_3x_0" localSheetId="78">'411'!$T$39</definedName>
    <definedName name="OSRRefT22_3x_0" localSheetId="79">'412'!$T$41</definedName>
    <definedName name="OSRRefT22_3x_0" localSheetId="80">'413'!$T$40</definedName>
    <definedName name="OSRRefT22_3x_0" localSheetId="81">'414'!$T$39</definedName>
    <definedName name="OSRRefT22_3x_0" localSheetId="82">'415'!$T$41</definedName>
    <definedName name="OSRRefT22_3x_0" localSheetId="83">'418'!$T$42</definedName>
    <definedName name="OSRRefT22_3x_0" localSheetId="84">'420'!$T$37</definedName>
    <definedName name="OSRRefT22_3x_0" localSheetId="85">'423'!$T$34</definedName>
    <definedName name="OSRRefT22_3x_0" localSheetId="86">'424'!$T$33</definedName>
    <definedName name="OSRRefT22_3x_0" localSheetId="87">'425'!$T$41</definedName>
    <definedName name="OSRRefT22_3x_0" localSheetId="90">'430'!$T$33</definedName>
    <definedName name="OSRRefT22_3x_0" localSheetId="91">'433'!$T$44</definedName>
    <definedName name="OSRRefT22_3x_0" localSheetId="92">'435'!$T$34</definedName>
    <definedName name="OSRRefT22_3x_0" localSheetId="93">'444'!$T$44</definedName>
    <definedName name="OSRRefT22_3x_0" localSheetId="94">'450'!$T$44</definedName>
    <definedName name="OSRRefT22_3x_0" localSheetId="75">'491'!$T$51</definedName>
    <definedName name="OSRRefT22_3x_0" localSheetId="89">'492'!$T$47</definedName>
    <definedName name="OSRRefT22_3x_0" localSheetId="96">'501'!$T$39</definedName>
    <definedName name="OSRRefT22_3x_0" localSheetId="39">'Div 2'!$T$42</definedName>
    <definedName name="OSRRefT22_3x_0" localSheetId="47">'Div 3'!$T$188:$T$189</definedName>
    <definedName name="OSRRefT22_3x_0" localSheetId="73">'Div 4'!$T$52</definedName>
    <definedName name="OSRRefT22_3x_0" localSheetId="95">'Div 5'!$T$39</definedName>
    <definedName name="OSRRefT22_3x_0" localSheetId="64">'Div 6'!$T$76</definedName>
    <definedName name="OSRRefT22_3x_0" localSheetId="2">Summary!$T$220:$T$221</definedName>
    <definedName name="OSRRefT22_4x_0" localSheetId="40">'200'!$T$28:$T$29</definedName>
    <definedName name="OSRRefT22_4x_0" localSheetId="41">'201'!$T$37</definedName>
    <definedName name="OSRRefT22_4x_0" localSheetId="42">'202'!$T$38:$T$39</definedName>
    <definedName name="OSRRefT22_4x_0" localSheetId="43">'203'!$T$40</definedName>
    <definedName name="OSRRefT22_4x_0" localSheetId="44">'204'!$T$40</definedName>
    <definedName name="OSRRefT22_4x_0" localSheetId="45">'205'!$T$35:$T$36</definedName>
    <definedName name="OSRRefT22_4x_0" localSheetId="46">'206'!$T$37</definedName>
    <definedName name="OSRRefT22_4x_0" localSheetId="48">'300'!$T$186</definedName>
    <definedName name="OSRRefT22_4x_0" localSheetId="49">'300 &amp; 317'!$T$211</definedName>
    <definedName name="OSRRefT22_4x_0" localSheetId="50">'301'!$T$43</definedName>
    <definedName name="OSRRefT22_4x_0" localSheetId="51">'306'!$T$41</definedName>
    <definedName name="OSRRefT22_4x_0" localSheetId="53">'307'!$T$87:$T$88</definedName>
    <definedName name="OSRRefT22_4x_0" localSheetId="55">'308'!$T$85</definedName>
    <definedName name="OSRRefT22_4x_0" localSheetId="67">'309'!$T$43</definedName>
    <definedName name="OSRRefT22_4x_0" localSheetId="66">'310'!$T$50</definedName>
    <definedName name="OSRRefT22_4x_0" localSheetId="74">'310 &amp; 491'!$T$59</definedName>
    <definedName name="OSRRefT22_4x_0" localSheetId="56">'311'!$T$84</definedName>
    <definedName name="OSRRefT22_4x_0" localSheetId="68">'313'!$T$46</definedName>
    <definedName name="OSRRefT22_4x_0" localSheetId="54">'314'!$T$72</definedName>
    <definedName name="OSRRefT22_4x_0" localSheetId="59">'315'!$T$102</definedName>
    <definedName name="OSRRefT22_4x_0" localSheetId="62">'316'!$T$49</definedName>
    <definedName name="OSRRefT22_4x_0" localSheetId="65">'317'!$T$78</definedName>
    <definedName name="OSRRefT22_4x_0" localSheetId="63">'320'!$T$44:$T$45</definedName>
    <definedName name="OSRRefT22_4x_0" localSheetId="69">'321'!$T$43</definedName>
    <definedName name="OSRRefT22_4x_0" localSheetId="70">'322'!$T$42</definedName>
    <definedName name="OSRRefT22_4x_0" localSheetId="71">'325'!$T$43</definedName>
    <definedName name="OSRRefT22_4x_0" localSheetId="60">'326'!$T$77</definedName>
    <definedName name="OSRRefT22_4x_0" localSheetId="52">'330'!$T$97:$T$98</definedName>
    <definedName name="OSRRefT22_4x_0" localSheetId="58">'331'!$T$108</definedName>
    <definedName name="OSRRefT22_4x_0" localSheetId="61">'332'!$T$58</definedName>
    <definedName name="OSRRefT22_4x_0" localSheetId="76">'405'!$T$42</definedName>
    <definedName name="OSRRefT22_4x_0" localSheetId="77">'406'!$T$43</definedName>
    <definedName name="OSRRefT22_4x_0" localSheetId="78">'411'!$T$41:$T$43</definedName>
    <definedName name="OSRRefT22_4x_0" localSheetId="79">'412'!$T$43</definedName>
    <definedName name="OSRRefT22_4x_0" localSheetId="80">'413'!$T$42</definedName>
    <definedName name="OSRRefT22_4x_0" localSheetId="81">'414'!$T$41</definedName>
    <definedName name="OSRRefT22_4x_0" localSheetId="82">'415'!$T$43</definedName>
    <definedName name="OSRRefT22_4x_0" localSheetId="83">'418'!$T$44</definedName>
    <definedName name="OSRRefT22_4x_0" localSheetId="84">'420'!$T$39</definedName>
    <definedName name="OSRRefT22_4x_0" localSheetId="85">'423'!$T$36</definedName>
    <definedName name="OSRRefT22_4x_0" localSheetId="86">'424'!$T$35</definedName>
    <definedName name="OSRRefT22_4x_0" localSheetId="87">'425'!$T$43</definedName>
    <definedName name="OSRRefT22_4x_0" localSheetId="90">'430'!$T$35:$T$36</definedName>
    <definedName name="OSRRefT22_4x_0" localSheetId="91">'433'!$T$46</definedName>
    <definedName name="OSRRefT22_4x_0" localSheetId="92">'435'!$T$36</definedName>
    <definedName name="OSRRefT22_4x_0" localSheetId="93">'444'!$T$46</definedName>
    <definedName name="OSRRefT22_4x_0" localSheetId="94">'450'!$T$46</definedName>
    <definedName name="OSRRefT22_4x_0" localSheetId="75">'491'!$T$53</definedName>
    <definedName name="OSRRefT22_4x_0" localSheetId="89">'492'!$T$49</definedName>
    <definedName name="OSRRefT22_4x_0" localSheetId="96">'501'!$T$41</definedName>
    <definedName name="OSRRefT22_4x_0" localSheetId="39">'Div 2'!$T$44</definedName>
    <definedName name="OSRRefT22_4x_0" localSheetId="47">'Div 3'!$T$191</definedName>
    <definedName name="OSRRefT22_4x_0" localSheetId="73">'Div 4'!$T$54</definedName>
    <definedName name="OSRRefT22_4x_0" localSheetId="95">'Div 5'!$T$41</definedName>
    <definedName name="OSRRefT22_4x_0" localSheetId="64">'Div 6'!$T$78</definedName>
    <definedName name="OSRRefT22_4x_0" localSheetId="2">Summary!$T$223</definedName>
    <definedName name="OSRRefT22_5x_0" localSheetId="41">'201'!$T$39</definedName>
    <definedName name="OSRRefT22_5x_0" localSheetId="42">'202'!$T$41</definedName>
    <definedName name="OSRRefT22_5x_0" localSheetId="43">'203'!$T$42</definedName>
    <definedName name="OSRRefT22_5x_0" localSheetId="44">'204'!$T$42</definedName>
    <definedName name="OSRRefT22_5x_0" localSheetId="45">'205'!$T$38</definedName>
    <definedName name="OSRRefT22_5x_0" localSheetId="46">'206'!$T$39:$T$40</definedName>
    <definedName name="OSRRefT22_5x_0" localSheetId="48">'300'!$T$188:$T$189</definedName>
    <definedName name="OSRRefT22_5x_0" localSheetId="49">'300 &amp; 317'!$T$213:$T$214</definedName>
    <definedName name="OSRRefT22_5x_0" localSheetId="50">'301'!$T$45:$T$46</definedName>
    <definedName name="OSRRefT22_5x_0" localSheetId="51">'306'!$T$43</definedName>
    <definedName name="OSRRefT22_5x_0" localSheetId="53">'307'!$T$90</definedName>
    <definedName name="OSRRefT22_5x_0" localSheetId="55">'308'!$T$87</definedName>
    <definedName name="OSRRefT22_5x_0" localSheetId="67">'309'!$T$45</definedName>
    <definedName name="OSRRefT22_5x_0" localSheetId="66">'310'!$T$52:$T$53</definedName>
    <definedName name="OSRRefT22_5x_0" localSheetId="74">'310 &amp; 491'!$T$61:$T$63</definedName>
    <definedName name="OSRRefT22_5x_0" localSheetId="56">'311'!$T$86</definedName>
    <definedName name="OSRRefT22_5x_0" localSheetId="68">'313'!$T$48</definedName>
    <definedName name="OSRRefT22_5x_0" localSheetId="54">'314'!$T$74</definedName>
    <definedName name="OSRRefT22_5x_0" localSheetId="59">'315'!$T$104:$T$105</definedName>
    <definedName name="OSRRefT22_5x_0" localSheetId="62">'316'!$T$51:$T$52</definedName>
    <definedName name="OSRRefT22_5x_0" localSheetId="65">'317'!$T$80:$T$81</definedName>
    <definedName name="OSRRefT22_5x_0" localSheetId="63">'320'!$T$47</definedName>
    <definedName name="OSRRefT22_5x_0" localSheetId="69">'321'!$T$45</definedName>
    <definedName name="OSRRefT22_5x_0" localSheetId="70">'322'!$T$44</definedName>
    <definedName name="OSRRefT22_5x_0" localSheetId="71">'325'!$T$45:$T$46</definedName>
    <definedName name="OSRRefT22_5x_0" localSheetId="60">'326'!$T$79</definedName>
    <definedName name="OSRRefT22_5x_0" localSheetId="52">'330'!$T$100</definedName>
    <definedName name="OSRRefT22_5x_0" localSheetId="58">'331'!$T$110:$T$111</definedName>
    <definedName name="OSRRefT22_5x_0" localSheetId="61">'332'!$T$60</definedName>
    <definedName name="OSRRefT22_5x_0" localSheetId="76">'405'!$T$44:$T$45</definedName>
    <definedName name="OSRRefT22_5x_0" localSheetId="77">'406'!$T$45</definedName>
    <definedName name="OSRRefT22_5x_0" localSheetId="78">'411'!$T$45</definedName>
    <definedName name="OSRRefT22_5x_0" localSheetId="79">'412'!$T$45</definedName>
    <definedName name="OSRRefT22_5x_0" localSheetId="80">'413'!$T$44</definedName>
    <definedName name="OSRRefT22_5x_0" localSheetId="81">'414'!$T$43</definedName>
    <definedName name="OSRRefT22_5x_0" localSheetId="82">'415'!$T$45:$T$46</definedName>
    <definedName name="OSRRefT22_5x_0" localSheetId="83">'418'!$T$46:$T$47</definedName>
    <definedName name="OSRRefT22_5x_0" localSheetId="85">'423'!$T$38</definedName>
    <definedName name="OSRRefT22_5x_0" localSheetId="86">'424'!$T$37</definedName>
    <definedName name="OSRRefT22_5x_0" localSheetId="87">'425'!$T$45</definedName>
    <definedName name="OSRRefT22_5x_0" localSheetId="90">'430'!$T$38</definedName>
    <definedName name="OSRRefT22_5x_0" localSheetId="91">'433'!$T$48</definedName>
    <definedName name="OSRRefT22_5x_0" localSheetId="92">'435'!$T$38</definedName>
    <definedName name="OSRRefT22_5x_0" localSheetId="93">'444'!$T$48</definedName>
    <definedName name="OSRRefT22_5x_0" localSheetId="94">'450'!$T$48</definedName>
    <definedName name="OSRRefT22_5x_0" localSheetId="75">'491'!$T$55:$T$57</definedName>
    <definedName name="OSRRefT22_5x_0" localSheetId="89">'492'!$T$51</definedName>
    <definedName name="OSRRefT22_5x_0" localSheetId="96">'501'!$T$43:$T$44</definedName>
    <definedName name="OSRRefT22_5x_0" localSheetId="39">'Div 2'!$T$46</definedName>
    <definedName name="OSRRefT22_5x_0" localSheetId="47">'Div 3'!$T$193:$T$194</definedName>
    <definedName name="OSRRefT22_5x_0" localSheetId="73">'Div 4'!$T$56:$T$58</definedName>
    <definedName name="OSRRefT22_5x_0" localSheetId="95">'Div 5'!$T$43:$T$44</definedName>
    <definedName name="OSRRefT22_5x_0" localSheetId="64">'Div 6'!$T$80:$T$81</definedName>
    <definedName name="OSRRefT22_5x_0" localSheetId="2">Summary!$T$225:$T$227</definedName>
    <definedName name="OSRRefT22_6x_0" localSheetId="41">'201'!$T$41</definedName>
    <definedName name="OSRRefT22_6x_0" localSheetId="42">'202'!$T$43</definedName>
    <definedName name="OSRRefT22_6x_0" localSheetId="43">'203'!$T$44</definedName>
    <definedName name="OSRRefT22_6x_0" localSheetId="44">'204'!$T$44:$T$46</definedName>
    <definedName name="OSRRefT22_6x_0" localSheetId="45">'205'!$T$40:$T$42</definedName>
    <definedName name="OSRRefT22_6x_0" localSheetId="46">'206'!$T$42</definedName>
    <definedName name="OSRRefT22_6x_0" localSheetId="48">'300'!$T$191:$T$192</definedName>
    <definedName name="OSRRefT22_6x_0" localSheetId="49">'300 &amp; 317'!$T$216:$T$217</definedName>
    <definedName name="OSRRefT22_6x_0" localSheetId="50">'301'!$T$48:$T$49</definedName>
    <definedName name="OSRRefT22_6x_0" localSheetId="51">'306'!$T$45:$T$46</definedName>
    <definedName name="OSRRefT22_6x_0" localSheetId="53">'307'!$T$92</definedName>
    <definedName name="OSRRefT22_6x_0" localSheetId="55">'308'!$T$89:$T$90</definedName>
    <definedName name="OSRRefT22_6x_0" localSheetId="67">'309'!$T$47</definedName>
    <definedName name="OSRRefT22_6x_0" localSheetId="66">'310'!$T$55</definedName>
    <definedName name="OSRRefT22_6x_0" localSheetId="74">'310 &amp; 491'!$T$65</definedName>
    <definedName name="OSRRefT22_6x_0" localSheetId="56">'311'!$T$88:$T$89</definedName>
    <definedName name="OSRRefT22_6x_0" localSheetId="68">'313'!$T$50</definedName>
    <definedName name="OSRRefT22_6x_0" localSheetId="54">'314'!$T$76</definedName>
    <definedName name="OSRRefT22_6x_0" localSheetId="59">'315'!$T$107</definedName>
    <definedName name="OSRRefT22_6x_0" localSheetId="62">'316'!$T$54:$T$55</definedName>
    <definedName name="OSRRefT22_6x_0" localSheetId="65">'317'!$T$83</definedName>
    <definedName name="OSRRefT22_6x_0" localSheetId="63">'320'!$T$49</definedName>
    <definedName name="OSRRefT22_6x_0" localSheetId="69">'321'!$T$47:$T$49</definedName>
    <definedName name="OSRRefT22_6x_0" localSheetId="70">'322'!$T$46</definedName>
    <definedName name="OSRRefT22_6x_0" localSheetId="71">'325'!$T$48</definedName>
    <definedName name="OSRRefT22_6x_0" localSheetId="60">'326'!$T$81</definedName>
    <definedName name="OSRRefT22_6x_0" localSheetId="52">'330'!$T$102</definedName>
    <definedName name="OSRRefT22_6x_0" localSheetId="58">'331'!$T$113</definedName>
    <definedName name="OSRRefT22_6x_0" localSheetId="61">'332'!$T$62:$T$63</definedName>
    <definedName name="OSRRefT22_6x_0" localSheetId="76">'405'!$T$47</definedName>
    <definedName name="OSRRefT22_6x_0" localSheetId="77">'406'!$T$47</definedName>
    <definedName name="OSRRefT22_6x_0" localSheetId="78">'411'!$T$47</definedName>
    <definedName name="OSRRefT22_6x_0" localSheetId="79">'412'!$T$47</definedName>
    <definedName name="OSRRefT22_6x_0" localSheetId="80">'413'!$T$46</definedName>
    <definedName name="OSRRefT22_6x_0" localSheetId="81">'414'!$T$45</definedName>
    <definedName name="OSRRefT22_6x_0" localSheetId="82">'415'!$T$48</definedName>
    <definedName name="OSRRefT22_6x_0" localSheetId="83">'418'!$T$49</definedName>
    <definedName name="OSRRefT22_6x_0" localSheetId="86">'424'!$T$39</definedName>
    <definedName name="OSRRefT22_6x_0" localSheetId="87">'425'!$T$47</definedName>
    <definedName name="OSRRefT22_6x_0" localSheetId="90">'430'!$T$40</definedName>
    <definedName name="OSRRefT22_6x_0" localSheetId="91">'433'!$T$50</definedName>
    <definedName name="OSRRefT22_6x_0" localSheetId="92">'435'!$T$40:$T$42</definedName>
    <definedName name="OSRRefT22_6x_0" localSheetId="93">'444'!$T$50</definedName>
    <definedName name="OSRRefT22_6x_0" localSheetId="94">'450'!$T$50</definedName>
    <definedName name="OSRRefT22_6x_0" localSheetId="75">'491'!$T$59</definedName>
    <definedName name="OSRRefT22_6x_0" localSheetId="89">'492'!$T$53</definedName>
    <definedName name="OSRRefT22_6x_0" localSheetId="96">'501'!$T$46</definedName>
    <definedName name="OSRRefT22_6x_0" localSheetId="39">'Div 2'!$T$48</definedName>
    <definedName name="OSRRefT22_6x_0" localSheetId="47">'Div 3'!$T$196:$T$197</definedName>
    <definedName name="OSRRefT22_6x_0" localSheetId="73">'Div 4'!$T$60</definedName>
    <definedName name="OSRRefT22_6x_0" localSheetId="95">'Div 5'!$T$46</definedName>
    <definedName name="OSRRefT22_6x_0" localSheetId="64">'Div 6'!$T$83</definedName>
    <definedName name="OSRRefT22_6x_0" localSheetId="2">Summary!$T$229:$T$230</definedName>
    <definedName name="OSRRefT22_7x_0" localSheetId="41">'201'!$T$43</definedName>
    <definedName name="OSRRefT22_7x_0" localSheetId="42">'202'!$T$45:$T$47</definedName>
    <definedName name="OSRRefT22_7x_0" localSheetId="43">'203'!$T$46</definedName>
    <definedName name="OSRRefT22_7x_0" localSheetId="44">'204'!$T$48</definedName>
    <definedName name="OSRRefT22_7x_0" localSheetId="45">'205'!$T$44</definedName>
    <definedName name="OSRRefT22_7x_0" localSheetId="46">'206'!$T$44</definedName>
    <definedName name="OSRRefT22_7x_0" localSheetId="48">'300'!$T$194</definedName>
    <definedName name="OSRRefT22_7x_0" localSheetId="49">'300 &amp; 317'!$T$219</definedName>
    <definedName name="OSRRefT22_7x_0" localSheetId="50">'301'!$T$51</definedName>
    <definedName name="OSRRefT22_7x_0" localSheetId="51">'306'!$T$48:$T$50</definedName>
    <definedName name="OSRRefT22_7x_0" localSheetId="53">'307'!$T$94:$T$95</definedName>
    <definedName name="OSRRefT22_7x_0" localSheetId="55">'308'!$T$92</definedName>
    <definedName name="OSRRefT22_7x_0" localSheetId="67">'309'!$T$49:$T$50</definedName>
    <definedName name="OSRRefT22_7x_0" localSheetId="66">'310'!$T$57</definedName>
    <definedName name="OSRRefT22_7x_0" localSheetId="74">'310 &amp; 491'!$T$67</definedName>
    <definedName name="OSRRefT22_7x_0" localSheetId="56">'311'!$T$91</definedName>
    <definedName name="OSRRefT22_7x_0" localSheetId="68">'313'!$T$52</definedName>
    <definedName name="OSRRefT22_7x_0" localSheetId="59">'315'!$T$109:$T$110</definedName>
    <definedName name="OSRRefT22_7x_0" localSheetId="62">'316'!$T$57</definedName>
    <definedName name="OSRRefT22_7x_0" localSheetId="65">'317'!$T$85</definedName>
    <definedName name="OSRRefT22_7x_0" localSheetId="63">'320'!$T$51:$T$52</definedName>
    <definedName name="OSRRefT22_7x_0" localSheetId="69">'321'!$T$51</definedName>
    <definedName name="OSRRefT22_7x_0" localSheetId="70">'322'!$T$48</definedName>
    <definedName name="OSRRefT22_7x_0" localSheetId="71">'325'!$T$50</definedName>
    <definedName name="OSRRefT22_7x_0" localSheetId="60">'326'!$T$83</definedName>
    <definedName name="OSRRefT22_7x_0" localSheetId="52">'330'!$T$104</definedName>
    <definedName name="OSRRefT22_7x_0" localSheetId="58">'331'!$T$115:$T$116</definedName>
    <definedName name="OSRRefT22_7x_0" localSheetId="61">'332'!$T$65</definedName>
    <definedName name="OSRRefT22_7x_0" localSheetId="76">'405'!$T$49</definedName>
    <definedName name="OSRRefT22_7x_0" localSheetId="77">'406'!$T$49</definedName>
    <definedName name="OSRRefT22_7x_0" localSheetId="78">'411'!$T$49</definedName>
    <definedName name="OSRRefT22_7x_0" localSheetId="79">'412'!$T$49</definedName>
    <definedName name="OSRRefT22_7x_0" localSheetId="80">'413'!$T$48:$T$50</definedName>
    <definedName name="OSRRefT22_7x_0" localSheetId="81">'414'!$T$47</definedName>
    <definedName name="OSRRefT22_7x_0" localSheetId="82">'415'!$T$50</definedName>
    <definedName name="OSRRefT22_7x_0" localSheetId="83">'418'!$T$51</definedName>
    <definedName name="OSRRefT22_7x_0" localSheetId="86">'424'!$T$41</definedName>
    <definedName name="OSRRefT22_7x_0" localSheetId="87">'425'!$T$49</definedName>
    <definedName name="OSRRefT22_7x_0" localSheetId="90">'430'!$T$42</definedName>
    <definedName name="OSRRefT22_7x_0" localSheetId="91">'433'!$T$52</definedName>
    <definedName name="OSRRefT22_7x_0" localSheetId="92">'435'!$T$44</definedName>
    <definedName name="OSRRefT22_7x_0" localSheetId="93">'444'!$T$52</definedName>
    <definedName name="OSRRefT22_7x_0" localSheetId="94">'450'!$T$52</definedName>
    <definedName name="OSRRefT22_7x_0" localSheetId="75">'491'!$T$61</definedName>
    <definedName name="OSRRefT22_7x_0" localSheetId="89">'492'!$T$55</definedName>
    <definedName name="OSRRefT22_7x_0" localSheetId="96">'501'!$T$48</definedName>
    <definedName name="OSRRefT22_7x_0" localSheetId="39">'Div 2'!$T$50</definedName>
    <definedName name="OSRRefT22_7x_0" localSheetId="47">'Div 3'!$T$199</definedName>
    <definedName name="OSRRefT22_7x_0" localSheetId="73">'Div 4'!$T$62</definedName>
    <definedName name="OSRRefT22_7x_0" localSheetId="95">'Div 5'!$T$48</definedName>
    <definedName name="OSRRefT22_7x_0" localSheetId="64">'Div 6'!$T$85</definedName>
    <definedName name="OSRRefT22_7x_0" localSheetId="2">Summary!$T$232</definedName>
    <definedName name="OSRRefT22_8x_0" localSheetId="41">'201'!$T$45</definedName>
    <definedName name="OSRRefT22_8x_0" localSheetId="42">'202'!$T$49</definedName>
    <definedName name="OSRRefT22_8x_0" localSheetId="43">'203'!$T$48</definedName>
    <definedName name="OSRRefT22_8x_0" localSheetId="44">'204'!$T$50:$T$51</definedName>
    <definedName name="OSRRefT22_8x_0" localSheetId="45">'205'!$T$46</definedName>
    <definedName name="OSRRefT22_8x_0" localSheetId="48">'300'!$T$196</definedName>
    <definedName name="OSRRefT22_8x_0" localSheetId="49">'300 &amp; 317'!$T$221</definedName>
    <definedName name="OSRRefT22_8x_0" localSheetId="50">'301'!$T$53</definedName>
    <definedName name="OSRRefT22_8x_0" localSheetId="51">'306'!$T$52</definedName>
    <definedName name="OSRRefT22_8x_0" localSheetId="53">'307'!$T$97:$T$98</definedName>
    <definedName name="OSRRefT22_8x_0" localSheetId="55">'308'!$T$94</definedName>
    <definedName name="OSRRefT22_8x_0" localSheetId="67">'309'!$T$52:$T$54</definedName>
    <definedName name="OSRRefT22_8x_0" localSheetId="66">'310'!$T$59</definedName>
    <definedName name="OSRRefT22_8x_0" localSheetId="74">'310 &amp; 491'!$T$69</definedName>
    <definedName name="OSRRefT22_8x_0" localSheetId="56">'311'!$T$93</definedName>
    <definedName name="OSRRefT22_8x_0" localSheetId="68">'313'!$T$54:$T$56</definedName>
    <definedName name="OSRRefT22_8x_0" localSheetId="59">'315'!$T$112:$T$113</definedName>
    <definedName name="OSRRefT22_8x_0" localSheetId="62">'316'!$T$59:$T$64</definedName>
    <definedName name="OSRRefT22_8x_0" localSheetId="65">'317'!$T$87</definedName>
    <definedName name="OSRRefT22_8x_0" localSheetId="63">'320'!$T$54</definedName>
    <definedName name="OSRRefT22_8x_0" localSheetId="69">'321'!$T$53:$T$55</definedName>
    <definedName name="OSRRefT22_8x_0" localSheetId="70">'322'!$T$50:$T$51</definedName>
    <definedName name="OSRRefT22_8x_0" localSheetId="71">'325'!$T$52</definedName>
    <definedName name="OSRRefT22_8x_0" localSheetId="60">'326'!$T$85</definedName>
    <definedName name="OSRRefT22_8x_0" localSheetId="52">'330'!$T$106:$T$107</definedName>
    <definedName name="OSRRefT22_8x_0" localSheetId="58">'331'!$T$118</definedName>
    <definedName name="OSRRefT22_8x_0" localSheetId="61">'332'!$T$67</definedName>
    <definedName name="OSRRefT22_8x_0" localSheetId="76">'405'!$T$51</definedName>
    <definedName name="OSRRefT22_8x_0" localSheetId="77">'406'!$T$51:$T$53</definedName>
    <definedName name="OSRRefT22_8x_0" localSheetId="78">'411'!$T$51</definedName>
    <definedName name="OSRRefT22_8x_0" localSheetId="79">'412'!$T$51:$T$52</definedName>
    <definedName name="OSRRefT22_8x_0" localSheetId="80">'413'!$T$52:$T$53</definedName>
    <definedName name="OSRRefT22_8x_0" localSheetId="81">'414'!$T$49</definedName>
    <definedName name="OSRRefT22_8x_0" localSheetId="82">'415'!$T$52</definedName>
    <definedName name="OSRRefT22_8x_0" localSheetId="83">'418'!$T$53:$T$54</definedName>
    <definedName name="OSRRefT22_8x_0" localSheetId="86">'424'!$T$43:$T$44</definedName>
    <definedName name="OSRRefT22_8x_0" localSheetId="87">'425'!$T$51</definedName>
    <definedName name="OSRRefT22_8x_0" localSheetId="91">'433'!$T$54</definedName>
    <definedName name="OSRRefT22_8x_0" localSheetId="93">'444'!$T$54</definedName>
    <definedName name="OSRRefT22_8x_0" localSheetId="94">'450'!$T$54</definedName>
    <definedName name="OSRRefT22_8x_0" localSheetId="75">'491'!$T$63</definedName>
    <definedName name="OSRRefT22_8x_0" localSheetId="89">'492'!$T$57</definedName>
    <definedName name="OSRRefT22_8x_0" localSheetId="96">'501'!$T$50:$T$52</definedName>
    <definedName name="OSRRefT22_8x_0" localSheetId="39">'Div 2'!$T$52</definedName>
    <definedName name="OSRRefT22_8x_0" localSheetId="47">'Div 3'!$T$201</definedName>
    <definedName name="OSRRefT22_8x_0" localSheetId="73">'Div 4'!$T$64</definedName>
    <definedName name="OSRRefT22_8x_0" localSheetId="95">'Div 5'!$T$50:$T$52</definedName>
    <definedName name="OSRRefT22_8x_0" localSheetId="64">'Div 6'!$T$87</definedName>
    <definedName name="OSRRefT22_8x_0" localSheetId="2">Summary!$T$234</definedName>
    <definedName name="OSRRefT22_9x_0" localSheetId="41">'201'!$T$47:$T$49</definedName>
    <definedName name="OSRRefT22_9x_0" localSheetId="42">'202'!$T$51</definedName>
    <definedName name="OSRRefT22_9x_0" localSheetId="43">'203'!$T$50:$T$51</definedName>
    <definedName name="OSRRefT22_9x_0" localSheetId="44">'204'!$T$53</definedName>
    <definedName name="OSRRefT22_9x_0" localSheetId="48">'300'!$T$198</definedName>
    <definedName name="OSRRefT22_9x_0" localSheetId="49">'300 &amp; 317'!$T$223</definedName>
    <definedName name="OSRRefT22_9x_0" localSheetId="50">'301'!$T$55</definedName>
    <definedName name="OSRRefT22_9x_0" localSheetId="51">'306'!$T$54</definedName>
    <definedName name="OSRRefT22_9x_0" localSheetId="53">'307'!$T$100:$T$102</definedName>
    <definedName name="OSRRefT22_9x_0" localSheetId="55">'308'!$T$96:$T$97</definedName>
    <definedName name="OSRRefT22_9x_0" localSheetId="67">'309'!$T$56:$T$58</definedName>
    <definedName name="OSRRefT22_9x_0" localSheetId="66">'310'!$T$61</definedName>
    <definedName name="OSRRefT22_9x_0" localSheetId="74">'310 &amp; 491'!$T$71</definedName>
    <definedName name="OSRRefT22_9x_0" localSheetId="56">'311'!$T$95:$T$96</definedName>
    <definedName name="OSRRefT22_9x_0" localSheetId="68">'313'!$T$58</definedName>
    <definedName name="OSRRefT22_9x_0" localSheetId="59">'315'!$T$115:$T$119</definedName>
    <definedName name="OSRRefT22_9x_0" localSheetId="62">'316'!$T$66</definedName>
    <definedName name="OSRRefT22_9x_0" localSheetId="65">'317'!$T$89:$T$91</definedName>
    <definedName name="OSRRefT22_9x_0" localSheetId="69">'321'!$T$57:$T$60</definedName>
    <definedName name="OSRRefT22_9x_0" localSheetId="70">'322'!$T$53:$T$55</definedName>
    <definedName name="OSRRefT22_9x_0" localSheetId="71">'325'!$T$54</definedName>
    <definedName name="OSRRefT22_9x_0" localSheetId="60">'326'!$T$87</definedName>
    <definedName name="OSRRefT22_9x_0" localSheetId="52">'330'!$T$109:$T$110</definedName>
    <definedName name="OSRRefT22_9x_0" localSheetId="58">'331'!$T$120</definedName>
    <definedName name="OSRRefT22_9x_0" localSheetId="61">'332'!$T$69:$T$70</definedName>
    <definedName name="OSRRefT22_9x_0" localSheetId="76">'405'!$T$53</definedName>
    <definedName name="OSRRefT22_9x_0" localSheetId="77">'406'!$T$55</definedName>
    <definedName name="OSRRefT22_9x_0" localSheetId="78">'411'!$T$53</definedName>
    <definedName name="OSRRefT22_9x_0" localSheetId="79">'412'!$T$54:$T$55</definedName>
    <definedName name="OSRRefT22_9x_0" localSheetId="80">'413'!$T$55:$T$59</definedName>
    <definedName name="OSRRefT22_9x_0" localSheetId="81">'414'!$T$51:$T$52</definedName>
    <definedName name="OSRRefT22_9x_0" localSheetId="82">'415'!$T$54</definedName>
    <definedName name="OSRRefT22_9x_0" localSheetId="83">'418'!$T$56:$T$58</definedName>
    <definedName name="OSRRefT22_9x_0" localSheetId="86">'424'!$T$46</definedName>
    <definedName name="OSRRefT22_9x_0" localSheetId="87">'425'!$T$53:$T$55</definedName>
    <definedName name="OSRRefT22_9x_0" localSheetId="91">'433'!$T$56</definedName>
    <definedName name="OSRRefT22_9x_0" localSheetId="93">'444'!$T$56</definedName>
    <definedName name="OSRRefT22_9x_0" localSheetId="94">'450'!$T$56</definedName>
    <definedName name="OSRRefT22_9x_0" localSheetId="75">'491'!$T$65</definedName>
    <definedName name="OSRRefT22_9x_0" localSheetId="89">'492'!$T$59</definedName>
    <definedName name="OSRRefT22_9x_0" localSheetId="96">'501'!$T$54:$T$56</definedName>
    <definedName name="OSRRefT22_9x_0" localSheetId="39">'Div 2'!$T$54:$T$55</definedName>
    <definedName name="OSRRefT22_9x_0" localSheetId="47">'Div 3'!$T$203</definedName>
    <definedName name="OSRRefT22_9x_0" localSheetId="73">'Div 4'!$T$66</definedName>
    <definedName name="OSRRefT22_9x_0" localSheetId="95">'Div 5'!$T$54:$T$56</definedName>
    <definedName name="OSRRefT22_9x_0" localSheetId="64">'Div 6'!$T$89:$T$91</definedName>
    <definedName name="OSRRefT22_9x_0" localSheetId="2">Summary!$T$236</definedName>
    <definedName name="OSRRefT22x_0" localSheetId="40">'200'!$T$20,'200'!$T$22,'200'!$T$24,'200'!$T$26,'200'!$T$28:$T$29</definedName>
    <definedName name="OSRRefT22x_0" localSheetId="41">'201'!$T$20:$T$27,'201'!$T$29:$T$31,'201'!$T$33,'201'!$T$35,'201'!$T$37,'201'!$T$39,'201'!$T$41,'201'!$T$43,'201'!$T$45,'201'!$T$47:$T$49,'201'!$T$51:$T$53,'201'!$T$55,'201'!$T$57:$T$60,'201'!$T$62,'201'!$T$64,'201'!$T$66</definedName>
    <definedName name="OSRRefT22x_0" localSheetId="42">'202'!$T$20:$T$27,'202'!$T$29:$T$32,'202'!$T$34,'202'!$T$36,'202'!$T$38:$T$39,'202'!$T$41,'202'!$T$43,'202'!$T$45:$T$47,'202'!$T$49,'202'!$T$51,'202'!$T$53:$T$55,'202'!$T$57,'202'!$T$59,'202'!$T$61</definedName>
    <definedName name="OSRRefT22x_0" localSheetId="43">'203'!$T$20:$T$29,'203'!$T$31:$T$34,'203'!$T$36,'203'!$T$38,'203'!$T$40,'203'!$T$42,'203'!$T$44,'203'!$T$46,'203'!$T$48,'203'!$T$50:$T$51,'203'!$T$53:$T$54,'203'!$T$56,'203'!$T$58:$T$61,'203'!$T$63,'203'!$T$65,'203'!$T$67</definedName>
    <definedName name="OSRRefT22x_0" localSheetId="44">'204'!$T$20:$T$28,'204'!$T$30:$T$34,'204'!$T$36,'204'!$T$38,'204'!$T$40,'204'!$T$42,'204'!$T$44:$T$46,'204'!$T$48,'204'!$T$50:$T$51,'204'!$T$53,'204'!$T$55:$T$56</definedName>
    <definedName name="OSRRefT22x_0" localSheetId="45">'205'!$T$20:$T$27,'205'!$T$29,'205'!$T$31,'205'!$T$33,'205'!$T$35:$T$36,'205'!$T$38,'205'!$T$40:$T$42,'205'!$T$44,'205'!$T$46</definedName>
    <definedName name="OSRRefT22x_0" localSheetId="46">'206'!$T$20:$T$26,'206'!$T$28:$T$31,'206'!$T$33,'206'!$T$35,'206'!$T$37,'206'!$T$39:$T$40,'206'!$T$42,'206'!$T$44</definedName>
    <definedName name="OSRRefT22x_0" localSheetId="48">'300'!$T$162:$T$171,'300'!$T$173:$T$179,'300'!$T$181,'300'!$T$183:$T$184,'300'!$T$186,'300'!$T$188:$T$189,'300'!$T$191:$T$192,'300'!$T$194,'300'!$T$196,'300'!$T$198,'300'!$T$200:$T$201,'300'!$T$203,'300'!$T$205,'300'!$T$207,'300'!$T$209,'300'!$T$211,'300'!$T$213:$T$216,'300'!$T$218:$T$220,'300'!$T$222:$T$225,'300'!$T$227:$T$228,'300'!$T$230:$T$236,'300'!$T$238:$T$239,'300'!$T$241,'300'!$T$243:$T$245,'300'!$T$247</definedName>
    <definedName name="OSRRefT22x_0" localSheetId="49">'300 &amp; 317'!$T$187:$T$196,'300 &amp; 317'!$T$198:$T$204,'300 &amp; 317'!$T$206,'300 &amp; 317'!$T$208:$T$209,'300 &amp; 317'!$T$211,'300 &amp; 317'!$T$213:$T$214,'300 &amp; 317'!$T$216:$T$217,'300 &amp; 317'!$T$219,'300 &amp; 317'!$T$221,'300 &amp; 317'!$T$223,'300 &amp; 317'!$T$225:$T$226,'300 &amp; 317'!$T$228,'300 &amp; 317'!$T$230,'300 &amp; 317'!$T$232,'300 &amp; 317'!$T$234,'300 &amp; 317'!$T$236,'300 &amp; 317'!$T$238:$T$241,'300 &amp; 317'!$T$243:$T$245,'300 &amp; 317'!$T$247:$T$250,'300 &amp; 317'!$T$252:$T$253,'300 &amp; 317'!$T$255:$T$261,'300 &amp; 317'!$T$263:$T$264,'300 &amp; 317'!$T$266,'300 &amp; 317'!$T$268:$T$270,'300 &amp; 317'!$T$272</definedName>
    <definedName name="OSRRefT22x_0" localSheetId="50">'301'!$T$20:$T$28,'301'!$T$30:$T$36,'301'!$T$38,'301'!$T$40:$T$41,'301'!$T$43,'301'!$T$45:$T$46,'301'!$T$48:$T$49,'301'!$T$51,'301'!$T$53,'301'!$T$55,'301'!$T$57,'301'!$T$59,'301'!$T$61,'301'!$T$63,'301'!$T$65,'301'!$T$67:$T$70,'301'!$T$72:$T$74,'301'!$T$76,'301'!$T$78:$T$83,'301'!$T$85,'301'!$T$87,'301'!$T$89:$T$91,'301'!$T$93</definedName>
    <definedName name="OSRRefT22x_0" localSheetId="51">'306'!$T$20:$T$28,'306'!$T$30:$T$35,'306'!$T$37,'306'!$T$39,'306'!$T$41,'306'!$T$43,'306'!$T$45:$T$46,'306'!$T$48:$T$50,'306'!$T$52,'306'!$T$54</definedName>
    <definedName name="OSRRefT22x_0" localSheetId="53">'307'!$T$69:$T$76,'307'!$T$78:$T$81,'307'!$T$83,'307'!$T$85,'307'!$T$87:$T$88,'307'!$T$90,'307'!$T$92,'307'!$T$94:$T$95,'307'!$T$97:$T$98,'307'!$T$100:$T$102,'307'!$T$104,'307'!$T$106</definedName>
    <definedName name="OSRRefT22x_0" localSheetId="55">'308'!$T$63:$T$71,'308'!$T$73:$T$78,'308'!$T$80,'308'!$T$82:$T$83,'308'!$T$85,'308'!$T$87,'308'!$T$89:$T$90,'308'!$T$92,'308'!$T$94,'308'!$T$96:$T$97,'308'!$T$99,'308'!$T$101:$T$103,'308'!$T$105:$T$106,'308'!$T$108,'308'!$T$110</definedName>
    <definedName name="OSRRefT22x_0" localSheetId="67">'309'!$T$24:$T$31,'309'!$T$33:$T$37,'309'!$T$39,'309'!$T$41,'309'!$T$43,'309'!$T$45,'309'!$T$47,'309'!$T$49:$T$50,'309'!$T$52:$T$54,'309'!$T$56:$T$58,'309'!$T$60</definedName>
    <definedName name="OSRRefT22x_0" localSheetId="66">'310'!$T$30:$T$37,'310'!$T$39:$T$44,'310'!$T$46,'310'!$T$48,'310'!$T$50,'310'!$T$52:$T$53,'310'!$T$55,'310'!$T$57,'310'!$T$59,'310'!$T$61,'310'!$T$63,'310'!$T$65,'310'!$T$67,'310'!$T$69,'310'!$T$71:$T$73,'310'!$T$75,'310'!$T$77:$T$80,'310'!$T$82,'310'!$T$84:$T$90,'310'!$T$92,'310'!$T$94,'310'!$T$96</definedName>
    <definedName name="OSRRefT22x_0" localSheetId="74">'310 &amp; 491'!$T$37:$T$45,'310 &amp; 491'!$T$47:$T$53,'310 &amp; 491'!$T$55,'310 &amp; 491'!$T$57,'310 &amp; 491'!$T$59,'310 &amp; 491'!$T$61:$T$63,'310 &amp; 491'!$T$65,'310 &amp; 491'!$T$67,'310 &amp; 491'!$T$69,'310 &amp; 491'!$T$71,'310 &amp; 491'!$T$73:$T$74,'310 &amp; 491'!$T$76:$T$77,'310 &amp; 491'!$T$79,'310 &amp; 491'!$T$81,'310 &amp; 491'!$T$83,'310 &amp; 491'!$T$85,'310 &amp; 491'!$T$87:$T$89,'310 &amp; 491'!$T$91:$T$92,'310 &amp; 491'!$T$94:$T$98,'310 &amp; 491'!$T$100,'310 &amp; 491'!$T$102:$T$110,'310 &amp; 491'!$T$112,'310 &amp; 491'!$T$114,'310 &amp; 491'!$T$116:$T$118,'310 &amp; 491'!$T$120</definedName>
    <definedName name="OSRRefT22x_0" localSheetId="56">'311'!$T$62:$T$70,'311'!$T$72:$T$77,'311'!$T$79,'311'!$T$81:$T$82,'311'!$T$84,'311'!$T$86,'311'!$T$88:$T$89,'311'!$T$91,'311'!$T$93,'311'!$T$95:$T$96,'311'!$T$98,'311'!$T$100:$T$102,'311'!$T$104:$T$105,'311'!$T$107,'311'!$T$109</definedName>
    <definedName name="OSRRefT22x_0" localSheetId="68">'313'!$T$27:$T$34,'313'!$T$36:$T$40,'313'!$T$42,'313'!$T$44,'313'!$T$46,'313'!$T$48,'313'!$T$50,'313'!$T$52,'313'!$T$54:$T$56,'313'!$T$58,'313'!$T$60:$T$64,'313'!$T$66,'313'!$T$68</definedName>
    <definedName name="OSRRefT22x_0" localSheetId="54">'314'!$T$55:$T$61,'314'!$T$63:$T$65,'314'!$T$67,'314'!$T$69:$T$70,'314'!$T$72,'314'!$T$74,'314'!$T$76</definedName>
    <definedName name="OSRRefT22x_0" localSheetId="59">'315'!$T$81:$T$88,'315'!$T$90:$T$95,'315'!$T$97,'315'!$T$99:$T$100,'315'!$T$102,'315'!$T$104:$T$105,'315'!$T$107,'315'!$T$109:$T$110,'315'!$T$112:$T$113,'315'!$T$115:$T$119,'315'!$T$121,'315'!$T$123,'315'!$T$125:$T$126</definedName>
    <definedName name="OSRRefT22x_0" localSheetId="62">'316'!$T$32:$T$39,'316'!$T$41:$T$43,'316'!$T$45,'316'!$T$47,'316'!$T$49,'316'!$T$51:$T$52,'316'!$T$54:$T$55,'316'!$T$57,'316'!$T$59:$T$64,'316'!$T$66,'316'!$T$68,'316'!$T$70</definedName>
    <definedName name="OSRRefT22x_0" localSheetId="65">'317'!$T$58:$T$66,'317'!$T$68:$T$72,'317'!$T$74,'317'!$T$76,'317'!$T$78,'317'!$T$80:$T$81,'317'!$T$83,'317'!$T$85,'317'!$T$87,'317'!$T$89:$T$91,'317'!$T$93,'317'!$T$95,'317'!$T$97</definedName>
    <definedName name="OSRRefT22x_0" localSheetId="63">'320'!$T$28:$T$34,'320'!$T$36:$T$38,'320'!$T$40,'320'!$T$42,'320'!$T$44:$T$45,'320'!$T$47,'320'!$T$49,'320'!$T$51:$T$52,'320'!$T$54</definedName>
    <definedName name="OSRRefT22x_0" localSheetId="69">'321'!$T$24:$T$31,'321'!$T$33:$T$37,'321'!$T$39,'321'!$T$41,'321'!$T$43,'321'!$T$45,'321'!$T$47:$T$49,'321'!$T$51,'321'!$T$53:$T$55,'321'!$T$57:$T$60,'321'!$T$62,'321'!$T$64</definedName>
    <definedName name="OSRRefT22x_0" localSheetId="70">'322'!$T$24:$T$31,'322'!$T$33:$T$36,'322'!$T$38,'322'!$T$40,'322'!$T$42,'322'!$T$44,'322'!$T$46,'322'!$T$48,'322'!$T$50:$T$51,'322'!$T$53:$T$55,'322'!$T$57:$T$61,'322'!$T$63,'322'!$T$65</definedName>
    <definedName name="OSRRefT22x_0" localSheetId="71">'325'!$T$24:$T$31,'325'!$T$33:$T$37,'325'!$T$39,'325'!$T$41,'325'!$T$43,'325'!$T$45:$T$46,'325'!$T$48,'325'!$T$50,'325'!$T$52,'325'!$T$54,'325'!$T$56,'325'!$T$58:$T$60,'325'!$T$62:$T$64,'325'!$T$66,'325'!$T$68:$T$72,'325'!$T$74,'325'!$T$76</definedName>
    <definedName name="OSRRefT22x_0" localSheetId="60">'326'!$T$58:$T$65,'326'!$T$67:$T$71,'326'!$T$73,'326'!$T$75,'326'!$T$77,'326'!$T$79,'326'!$T$81,'326'!$T$83,'326'!$T$85,'326'!$T$87,'326'!$T$89,'326'!$T$91,'326'!$T$93:$T$94,'326'!$T$96:$T$98,'326'!$T$100,'326'!$T$102:$T$105,'326'!$T$107,'326'!$T$109,'326'!$T$111</definedName>
    <definedName name="OSRRefT22x_0" localSheetId="72">'327'!$T$22,'327'!$T$24,'327'!$T$26</definedName>
    <definedName name="OSRRefT22x_0" localSheetId="52">'330'!$T$78:$T$85,'330'!$T$87:$T$91,'330'!$T$93,'330'!$T$95,'330'!$T$97:$T$98,'330'!$T$100,'330'!$T$102,'330'!$T$104,'330'!$T$106:$T$107,'330'!$T$109:$T$110,'330'!$T$112,'330'!$T$114:$T$116,'330'!$T$118,'330'!$T$120</definedName>
    <definedName name="OSRRefT22x_0" localSheetId="58">'331'!$T$88:$T$95,'331'!$T$97:$T$102,'331'!$T$104,'331'!$T$106,'331'!$T$108,'331'!$T$110:$T$111,'331'!$T$113,'331'!$T$115:$T$116,'331'!$T$118,'331'!$T$120,'331'!$T$122,'331'!$T$124,'331'!$T$126,'331'!$T$128:$T$129,'331'!$T$131:$T$132,'331'!$T$134:$T$136,'331'!$T$138:$T$139,'331'!$T$141:$T$146,'331'!$T$148,'331'!$T$150,'331'!$T$152:$T$153,'331'!$T$155</definedName>
    <definedName name="OSRRefT22x_0" localSheetId="61">'332'!$T$40:$T$47,'332'!$T$49:$T$52,'332'!$T$54,'332'!$T$56,'332'!$T$58,'332'!$T$60,'332'!$T$62:$T$63,'332'!$T$65,'332'!$T$67,'332'!$T$69:$T$70,'332'!$T$72,'332'!$T$74:$T$79,'332'!$T$81,'332'!$T$83,'332'!$T$85</definedName>
    <definedName name="OSRRefT22x_0" localSheetId="76">'405'!$T$24:$T$31,'405'!$T$33:$T$36,'405'!$T$38,'405'!$T$40,'405'!$T$42,'405'!$T$44:$T$45,'405'!$T$47,'405'!$T$49,'405'!$T$51,'405'!$T$53,'405'!$T$55:$T$56,'405'!$T$58,'405'!$T$60:$T$62,'405'!$T$64,'405'!$T$66:$T$72,'405'!$T$74,'405'!$T$76,'405'!$T$78</definedName>
    <definedName name="OSRRefT22x_0" localSheetId="77">'406'!$T$24:$T$31,'406'!$T$33:$T$37,'406'!$T$39,'406'!$T$41,'406'!$T$43,'406'!$T$45,'406'!$T$47,'406'!$T$49,'406'!$T$51:$T$53,'406'!$T$55,'406'!$T$57:$T$61,'406'!$T$63,'406'!$T$65</definedName>
    <definedName name="OSRRefT22x_0" localSheetId="78">'411'!$T$20:$T$28,'411'!$T$30:$T$35,'411'!$T$37,'411'!$T$39,'411'!$T$41:$T$43,'411'!$T$45,'411'!$T$47,'411'!$T$49,'411'!$T$51,'411'!$T$53,'411'!$T$55,'411'!$T$57,'411'!$T$59:$T$60,'411'!$T$62:$T$66,'411'!$T$68:$T$73,'411'!$T$75,'411'!$T$77,'411'!$T$79:$T$81,'411'!$T$83</definedName>
    <definedName name="OSRRefT22x_0" localSheetId="79">'412'!$T$23:$T$30,'412'!$T$32:$T$37,'412'!$T$39,'412'!$T$41,'412'!$T$43,'412'!$T$45,'412'!$T$47,'412'!$T$49,'412'!$T$51:$T$52,'412'!$T$54:$T$55,'412'!$T$57:$T$62,'412'!$T$64,'412'!$T$66</definedName>
    <definedName name="OSRRefT22x_0" localSheetId="80">'413'!$T$24:$T$31,'413'!$T$33:$T$36,'413'!$T$38,'413'!$T$40,'413'!$T$42,'413'!$T$44,'413'!$T$46,'413'!$T$48:$T$50,'413'!$T$52:$T$53,'413'!$T$55:$T$59,'413'!$T$61</definedName>
    <definedName name="OSRRefT22x_0" localSheetId="81">'414'!$T$24:$T$30,'414'!$T$32:$T$35,'414'!$T$37,'414'!$T$39,'414'!$T$41,'414'!$T$43,'414'!$T$45,'414'!$T$47,'414'!$T$49,'414'!$T$51:$T$52,'414'!$T$54,'414'!$T$56,'414'!$T$58,'414'!$T$60:$T$66,'414'!$T$68,'414'!$T$70</definedName>
    <definedName name="OSRRefT22x_0" localSheetId="82">'415'!$T$24:$T$31,'415'!$T$33:$T$37,'415'!$T$39,'415'!$T$41,'415'!$T$43,'415'!$T$45:$T$46,'415'!$T$48,'415'!$T$50,'415'!$T$52,'415'!$T$54,'415'!$T$56,'415'!$T$58:$T$60,'415'!$T$62:$T$66,'415'!$T$68,'415'!$T$70:$T$77,'415'!$T$79,'415'!$T$81,'415'!$T$83</definedName>
    <definedName name="OSRRefT22x_0" localSheetId="83">'418'!$T$24:$T$31,'418'!$T$33:$T$38,'418'!$T$40,'418'!$T$42,'418'!$T$44,'418'!$T$46:$T$47,'418'!$T$49,'418'!$T$51,'418'!$T$53:$T$54,'418'!$T$56:$T$58,'418'!$T$60:$T$62,'418'!$T$64,'418'!$T$66:$T$71,'418'!$T$73,'418'!$T$75</definedName>
    <definedName name="OSRRefT22x_0" localSheetId="84">'420'!$T$22:$T$28,'420'!$T$30:$T$33,'420'!$T$35,'420'!$T$37,'420'!$T$39</definedName>
    <definedName name="OSRRefT22x_0" localSheetId="85">'423'!$T$21:$T$28,'423'!$T$30,'423'!$T$32,'423'!$T$34,'423'!$T$36,'423'!$T$38</definedName>
    <definedName name="OSRRefT22x_0" localSheetId="86">'424'!$T$23:$T$24,'424'!$T$26:$T$29,'424'!$T$31,'424'!$T$33,'424'!$T$35,'424'!$T$37,'424'!$T$39,'424'!$T$41,'424'!$T$43:$T$44,'424'!$T$46,'424'!$T$48,'424'!$T$50:$T$52,'424'!$T$54</definedName>
    <definedName name="OSRRefT22x_0" localSheetId="87">'425'!$T$24:$T$31,'425'!$T$33:$T$37,'425'!$T$39,'425'!$T$41,'425'!$T$43,'425'!$T$45,'425'!$T$47,'425'!$T$49,'425'!$T$51,'425'!$T$53:$T$55,'425'!$T$57,'425'!$T$59:$T$60,'425'!$T$62:$T$68,'425'!$T$70,'425'!$T$72</definedName>
    <definedName name="OSRRefT22x_0" localSheetId="90">'430'!$T$20:$T$27,'430'!$T$29,'430'!$T$31,'430'!$T$33,'430'!$T$35:$T$36,'430'!$T$38,'430'!$T$40,'430'!$T$42</definedName>
    <definedName name="OSRRefT22x_0" localSheetId="91">'433'!$T$25:$T$33,'433'!$T$35:$T$40,'433'!$T$42,'433'!$T$44,'433'!$T$46,'433'!$T$48,'433'!$T$50,'433'!$T$52,'433'!$T$54,'433'!$T$56,'433'!$T$58,'433'!$T$60:$T$62,'433'!$T$64:$T$66,'433'!$T$68:$T$75,'433'!$T$77,'433'!$T$79,'433'!$T$81</definedName>
    <definedName name="OSRRefT22x_0" localSheetId="92">'435'!$T$25:$T$27,'435'!$T$29:$T$30,'435'!$T$32,'435'!$T$34,'435'!$T$36,'435'!$T$38,'435'!$T$40:$T$42,'435'!$T$44</definedName>
    <definedName name="OSRRefT22x_0" localSheetId="93">'444'!$T$25:$T$33,'444'!$T$35:$T$40,'444'!$T$42,'444'!$T$44,'444'!$T$46,'444'!$T$48,'444'!$T$50,'444'!$T$52,'444'!$T$54,'444'!$T$56,'444'!$T$58,'444'!$T$60:$T$62,'444'!$T$64:$T$66,'444'!$T$68,'444'!$T$70:$T$78,'444'!$T$80,'444'!$T$82,'444'!$T$84</definedName>
    <definedName name="OSRRefT22x_0" localSheetId="94">'450'!$T$25:$T$33,'450'!$T$35:$T$40,'450'!$T$42,'450'!$T$44,'450'!$T$46,'450'!$T$48,'450'!$T$50,'450'!$T$52,'450'!$T$54,'450'!$T$56,'450'!$T$58,'450'!$T$60,'450'!$T$62,'450'!$T$64:$T$66,'450'!$T$68:$T$73,'450'!$T$75,'450'!$T$77,'450'!$T$79</definedName>
    <definedName name="OSRRefT22x_0" localSheetId="88">'455'!$T$20:$T$26,'455'!$T$28:$T$29</definedName>
    <definedName name="OSRRefT22x_0" localSheetId="75">'491'!$T$31:$T$39,'491'!$T$41:$T$47,'491'!$T$49,'491'!$T$51,'491'!$T$53,'491'!$T$55:$T$57,'491'!$T$59,'491'!$T$61,'491'!$T$63,'491'!$T$65,'491'!$T$67:$T$68,'491'!$T$70,'491'!$T$72,'491'!$T$74,'491'!$T$76,'491'!$T$78:$T$80,'491'!$T$82:$T$83,'491'!$T$85:$T$89,'491'!$T$91,'491'!$T$93:$T$101,'491'!$T$103,'491'!$T$105,'491'!$T$107:$T$109,'491'!$T$111</definedName>
    <definedName name="OSRRefT22x_0" localSheetId="89">'492'!$T$27:$T$35,'492'!$T$37:$T$43,'492'!$T$45,'492'!$T$47,'492'!$T$49,'492'!$T$51,'492'!$T$53,'492'!$T$55,'492'!$T$57,'492'!$T$59,'492'!$T$61,'492'!$T$63,'492'!$T$65:$T$67,'492'!$T$69:$T$71,'492'!$T$73,'492'!$T$75:$T$83,'492'!$T$85,'492'!$T$87,'492'!$T$89</definedName>
    <definedName name="OSRRefT22x_0" localSheetId="96">'501'!$T$21:$T$29,'501'!$T$31:$T$35,'501'!$T$37,'501'!$T$39,'501'!$T$41,'501'!$T$43:$T$44,'501'!$T$46,'501'!$T$48,'501'!$T$50:$T$52,'501'!$T$54:$T$56,'501'!$T$58</definedName>
    <definedName name="OSRRefT22x_0" localSheetId="39">'Div 2'!$T$20:$T$30,'Div 2'!$T$32:$T$38,'Div 2'!$T$40,'Div 2'!$T$42,'Div 2'!$T$44,'Div 2'!$T$46,'Div 2'!$T$48,'Div 2'!$T$50,'Div 2'!$T$52,'Div 2'!$T$54:$T$55,'Div 2'!$T$57,'Div 2'!$T$59,'Div 2'!$T$61:$T$64,'Div 2'!$T$66:$T$68,'Div 2'!$T$70:$T$71,'Div 2'!$T$73,'Div 2'!$T$75:$T$79,'Div 2'!$T$81:$T$82,'Div 2'!$T$84,'Div 2'!$T$86:$T$87</definedName>
    <definedName name="OSRRefT22x_0" localSheetId="47">'Div 3'!$T$167:$T$176,'Div 3'!$T$178:$T$184,'Div 3'!$T$186,'Div 3'!$T$188:$T$189,'Div 3'!$T$191,'Div 3'!$T$193:$T$194,'Div 3'!$T$196:$T$197,'Div 3'!$T$199,'Div 3'!$T$201,'Div 3'!$T$203,'Div 3'!$T$205:$T$206,'Div 3'!$T$208,'Div 3'!$T$210,'Div 3'!$T$212,'Div 3'!$T$214,'Div 3'!$T$216,'Div 3'!$T$218,'Div 3'!$T$220:$T$223,'Div 3'!$T$225:$T$227,'Div 3'!$T$229:$T$233,'Div 3'!$T$235:$T$236,'Div 3'!$T$238:$T$244,'Div 3'!$T$246:$T$247,'Div 3'!$T$249,'Div 3'!$T$251:$T$253,'Div 3'!$T$255</definedName>
    <definedName name="OSRRefT22x_0" localSheetId="73">'Div 4'!$T$32:$T$40,'Div 4'!$T$42:$T$48,'Div 4'!$T$50,'Div 4'!$T$52,'Div 4'!$T$54,'Div 4'!$T$56:$T$58,'Div 4'!$T$60,'Div 4'!$T$62,'Div 4'!$T$64,'Div 4'!$T$66,'Div 4'!$T$68:$T$69,'Div 4'!$T$71,'Div 4'!$T$73,'Div 4'!$T$75,'Div 4'!$T$77,'Div 4'!$T$79,'Div 4'!$T$81:$T$83,'Div 4'!$T$85:$T$86,'Div 4'!$T$88:$T$92,'Div 4'!$T$94:$T$95,'Div 4'!$T$97:$T$105,'Div 4'!$T$107,'Div 4'!$T$109,'Div 4'!$T$111:$T$113,'Div 4'!$T$115</definedName>
    <definedName name="OSRRefT22x_0" localSheetId="95">'Div 5'!$T$21:$T$29,'Div 5'!$T$31:$T$35,'Div 5'!$T$37,'Div 5'!$T$39,'Div 5'!$T$41,'Div 5'!$T$43:$T$44,'Div 5'!$T$46,'Div 5'!$T$48,'Div 5'!$T$50:$T$52,'Div 5'!$T$54:$T$56,'Div 5'!$T$58</definedName>
    <definedName name="OSRRefT22x_0" localSheetId="64">'Div 6'!$T$58:$T$66,'Div 6'!$T$68:$T$72,'Div 6'!$T$74,'Div 6'!$T$76,'Div 6'!$T$78,'Div 6'!$T$80:$T$81,'Div 6'!$T$83,'Div 6'!$T$85,'Div 6'!$T$87,'Div 6'!$T$89:$T$91,'Div 6'!$T$93,'Div 6'!$T$95,'Div 6'!$T$97</definedName>
    <definedName name="OSRRefT22x_0" localSheetId="2">Summary!$T$199:$T$208,Summary!$T$210:$T$216,Summary!$T$218,Summary!$T$220:$T$221,Summary!$T$223,Summary!$T$225:$T$227,Summary!$T$229:$T$230,Summary!$T$232,Summary!$T$234,Summary!$T$236,Summary!$T$238:$T$239,Summary!$T$241:$T$242,Summary!$T$244,Summary!$T$246,Summary!$T$248,Summary!$T$250,Summary!$T$252,Summary!$T$254,Summary!$T$256:$T$259,Summary!$T$261:$T$263,Summary!$T$265:$T$269,Summary!$T$271:$T$272,Summary!$T$274:$T$282,Summary!$T$284:$T$285,Summary!$T$287,Summary!$T$289:$T$291,Summary!$T$293</definedName>
    <definedName name="OSRRefT25x_0" localSheetId="48">'300'!$T$250:$T$258</definedName>
    <definedName name="OSRRefT25x_0" localSheetId="49">'300 &amp; 317'!$T$275:$T$285</definedName>
    <definedName name="OSRRefT25x_0" localSheetId="50">'301'!$T$96:$T$98</definedName>
    <definedName name="OSRRefT25x_0" localSheetId="55">'308'!$T$113:$T$115</definedName>
    <definedName name="OSRRefT25x_0" localSheetId="74">'310 &amp; 491'!$T$123:$T$125</definedName>
    <definedName name="OSRRefT25x_0" localSheetId="56">'311'!$T$112:$T$114</definedName>
    <definedName name="OSRRefT25x_0" localSheetId="59">'315'!$T$129:$T$130</definedName>
    <definedName name="OSRRefT25x_0" localSheetId="62">'316'!$T$73</definedName>
    <definedName name="OSRRefT25x_0" localSheetId="65">'317'!$T$100:$T$102</definedName>
    <definedName name="OSRRefT25x_0" localSheetId="63">'320'!$T$57:$T$61</definedName>
    <definedName name="OSRRefT25x_0" localSheetId="58">'331'!$T$158:$T$159</definedName>
    <definedName name="OSRRefT25x_0" localSheetId="61">'332'!$T$88:$T$93</definedName>
    <definedName name="OSRRefT25x_0" localSheetId="78">'411'!$T$86:$T$87</definedName>
    <definedName name="OSRRefT25x_0" localSheetId="80">'413'!$T$64</definedName>
    <definedName name="OSRRefT25x_0" localSheetId="83">'418'!$T$78</definedName>
    <definedName name="OSRRefT25x_0" localSheetId="85">'423'!$T$41</definedName>
    <definedName name="OSRRefT25x_0" localSheetId="86">'424'!$T$57</definedName>
    <definedName name="OSRRefT25x_0" localSheetId="87">'425'!$T$75</definedName>
    <definedName name="OSRRefT25x_0" localSheetId="88">'455'!$T$32:$T$33</definedName>
    <definedName name="OSRRefT25x_0" localSheetId="75">'491'!$T$114:$T$116</definedName>
    <definedName name="OSRRefT25x_0" localSheetId="96">'501'!$T$61</definedName>
    <definedName name="OSRRefT25x_0" localSheetId="47">'Div 3'!$T$258:$T$266</definedName>
    <definedName name="OSRRefT25x_0" localSheetId="73">'Div 4'!$T$118:$T$120</definedName>
    <definedName name="OSRRefT25x_0" localSheetId="95">'Div 5'!$T$61</definedName>
    <definedName name="OSRRefT25x_0" localSheetId="64">'Div 6'!$T$100:$T$102</definedName>
    <definedName name="OSRRefT25x_0" localSheetId="2">Summary!$T$296:$T$307</definedName>
    <definedName name="_xlnm.Print_Area" localSheetId="38">'100'!$A$1:$Z$34</definedName>
    <definedName name="_xlnm.Print_Area" localSheetId="40">'200'!$A$1:$Z$43</definedName>
    <definedName name="_xlnm.Print_Area" localSheetId="41">'201'!$A$1:$Z$80</definedName>
    <definedName name="_xlnm.Print_Area" localSheetId="42">'202'!$A$1:$Z$75</definedName>
    <definedName name="_xlnm.Print_Area" localSheetId="43">'203'!$A$1:$Z$81</definedName>
    <definedName name="_xlnm.Print_Area" localSheetId="44">'204'!$A$1:$Z$70</definedName>
    <definedName name="_xlnm.Print_Area" localSheetId="45">'205'!$A$1:$Z$60</definedName>
    <definedName name="_xlnm.Print_Area" localSheetId="46">'206'!$A$1:$Z$58</definedName>
    <definedName name="_xlnm.Print_Area" localSheetId="48">'300'!$A$1:$Z$270</definedName>
    <definedName name="_xlnm.Print_Area" localSheetId="49">'300 &amp; 317'!$A$1:$Z$297</definedName>
    <definedName name="_xlnm.Print_Area" localSheetId="50">'301'!$A$1:$Z$110</definedName>
    <definedName name="_xlnm.Print_Area" localSheetId="51">'306'!$A$1:$Z$68</definedName>
    <definedName name="_xlnm.Print_Area" localSheetId="53">'307'!$A$1:$Z$120</definedName>
    <definedName name="_xlnm.Print_Area" localSheetId="55">'308'!$A$1:$Z$127</definedName>
    <definedName name="_xlnm.Print_Area" localSheetId="67">'309'!$A$1:$Z$74</definedName>
    <definedName name="_xlnm.Print_Area" localSheetId="66">'310'!$A$1:$Z$110</definedName>
    <definedName name="_xlnm.Print_Area" localSheetId="74">'310 &amp; 491'!$A$1:$Z$137</definedName>
    <definedName name="_xlnm.Print_Area" localSheetId="56">'311'!$A$1:$Z$126</definedName>
    <definedName name="_xlnm.Print_Area" localSheetId="68">'313'!$A$1:$Z$82</definedName>
    <definedName name="_xlnm.Print_Area" localSheetId="54">'314'!$A$1:$Z$90</definedName>
    <definedName name="_xlnm.Print_Area" localSheetId="59">'315'!$A$1:$Z$142</definedName>
    <definedName name="_xlnm.Print_Area" localSheetId="62">'316'!$A$1:$Z$85</definedName>
    <definedName name="_xlnm.Print_Area" localSheetId="65">'317'!$A$1:$Z$114</definedName>
    <definedName name="_xlnm.Print_Area" localSheetId="63">'320'!$A$1:$Z$73</definedName>
    <definedName name="_xlnm.Print_Area" localSheetId="69">'321'!$A$1:$Z$78</definedName>
    <definedName name="_xlnm.Print_Area" localSheetId="70">'322'!$A$1:$Z$79</definedName>
    <definedName name="_xlnm.Print_Area" localSheetId="57">'324'!$A$1:$Z$37</definedName>
    <definedName name="_xlnm.Print_Area" localSheetId="71">'325'!$A$1:$Z$90</definedName>
    <definedName name="_xlnm.Print_Area" localSheetId="60">'326'!$A$1:$Z$125</definedName>
    <definedName name="_xlnm.Print_Area" localSheetId="72">'327'!$A$1:$Z$40</definedName>
    <definedName name="_xlnm.Print_Area" localSheetId="52">'330'!$A$1:$Z$134</definedName>
    <definedName name="_xlnm.Print_Area" localSheetId="58">'331'!$A$1:$Z$171</definedName>
    <definedName name="_xlnm.Print_Area" localSheetId="61">'332'!$A$1:$Z$105</definedName>
    <definedName name="_xlnm.Print_Area" localSheetId="76">'405'!$A$1:$Z$92</definedName>
    <definedName name="_xlnm.Print_Area" localSheetId="77">'406'!$A$1:$Z$79</definedName>
    <definedName name="_xlnm.Print_Area" localSheetId="78">'411'!$A$1:$Z$99</definedName>
    <definedName name="_xlnm.Print_Area" localSheetId="79">'412'!$A$1:$Z$80</definedName>
    <definedName name="_xlnm.Print_Area" localSheetId="80">'413'!$A$1:$Z$76</definedName>
    <definedName name="_xlnm.Print_Area" localSheetId="81">'414'!$A$1:$Z$84</definedName>
    <definedName name="_xlnm.Print_Area" localSheetId="82">'415'!$A$1:$Z$97</definedName>
    <definedName name="_xlnm.Print_Area" localSheetId="83">'418'!$A$1:$Z$90</definedName>
    <definedName name="_xlnm.Print_Area" localSheetId="84">'420'!$A$1:$Z$53</definedName>
    <definedName name="_xlnm.Print_Area" localSheetId="85">'423'!$A$1:$Z$53</definedName>
    <definedName name="_xlnm.Print_Area" localSheetId="86">'424'!$A$1:$Z$69</definedName>
    <definedName name="_xlnm.Print_Area" localSheetId="87">'425'!$A$1:$Z$87</definedName>
    <definedName name="_xlnm.Print_Area" localSheetId="90">'430'!$A$1:$Z$56</definedName>
    <definedName name="_xlnm.Print_Area" localSheetId="91">'433'!$A$1:$Z$95</definedName>
    <definedName name="_xlnm.Print_Area" localSheetId="92">'435'!$A$1:$Z$58</definedName>
    <definedName name="_xlnm.Print_Area" localSheetId="93">'444'!$A$1:$Z$98</definedName>
    <definedName name="_xlnm.Print_Area" localSheetId="94">'450'!$A$1:$Z$93</definedName>
    <definedName name="_xlnm.Print_Area" localSheetId="88">'455'!$A$1:$Z$45</definedName>
    <definedName name="_xlnm.Print_Area" localSheetId="75">'491'!$A$1:$Z$128</definedName>
    <definedName name="_xlnm.Print_Area" localSheetId="89">'492'!$A$1:$Z$103</definedName>
    <definedName name="_xlnm.Print_Area" localSheetId="96">'501'!$A$1:$Z$73</definedName>
    <definedName name="_xlnm.Print_Area" localSheetId="97">Dept!$A$1:$Z$39</definedName>
    <definedName name="_xlnm.Print_Area" localSheetId="5">'Div 1'!$A$1:$Z$34</definedName>
    <definedName name="_xlnm.Print_Area" localSheetId="39">'Div 2'!$A$1:$Z$101</definedName>
    <definedName name="_xlnm.Print_Area" localSheetId="47">'Div 3'!$A$1:$Z$278</definedName>
    <definedName name="_xlnm.Print_Area" localSheetId="73">'Div 4'!$A$1:$Z$132</definedName>
    <definedName name="_xlnm.Print_Area" localSheetId="95">'Div 5'!$A$1:$Z$73</definedName>
    <definedName name="_xlnm.Print_Area" localSheetId="64">'Div 6'!$A$1:$Z$114</definedName>
    <definedName name="_xlnm.Print_Area" localSheetId="14">'OSR_300 &amp; 317_1C00ID4'!$A$1:$Z$39</definedName>
    <definedName name="_xlnm.Print_Area" localSheetId="11">'OSR_300 (2)_7...54cb56fc_UFX0O2'!$A$1:$Z$39</definedName>
    <definedName name="_xlnm.Print_Area" localSheetId="15">'OSR_300 (2)_c...79cd3046_1TJM0H'!$A$1:$Z$39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(2)_0...c51cc666_QIOT67'!$A$1:$Z$39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8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3">'OSR_Div 3 (2)...b7db256a_40ITCB'!$A$1:$Z$39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(2...09141158_1BG9FGV'!$A$1:$Z$39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9">'OSR_Summary (...56e5d78f_5JEYZH'!$A$1:$Z$39</definedName>
    <definedName name="_xlnm.Print_Area" localSheetId="3">OSR_Summary_18VAVWG!$A$1:$Z$39</definedName>
    <definedName name="_xlnm.Print_Area" localSheetId="2">Summary!$A$1:$Z$321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7">'309'!$A:$C,'309'!$1:$10</definedName>
    <definedName name="_xlnm.Print_Titles" localSheetId="66">'310'!$A:$C,'310'!$1:$10</definedName>
    <definedName name="_xlnm.Print_Titles" localSheetId="74">'310 &amp; 491'!$A:$C,'310 &amp; 491'!$1:$10</definedName>
    <definedName name="_xlnm.Print_Titles" localSheetId="56">'311'!$A:$C,'311'!$1:$10</definedName>
    <definedName name="_xlnm.Print_Titles" localSheetId="68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2">'316'!$A:$C,'316'!$1:$10</definedName>
    <definedName name="_xlnm.Print_Titles" localSheetId="65">'317'!$A:$C,'317'!$1:$10</definedName>
    <definedName name="_xlnm.Print_Titles" localSheetId="63">'320'!$A:$C,'320'!$1:$10</definedName>
    <definedName name="_xlnm.Print_Titles" localSheetId="69">'321'!$A:$C,'321'!$1:$10</definedName>
    <definedName name="_xlnm.Print_Titles" localSheetId="70">'322'!$A:$C,'322'!$1:$10</definedName>
    <definedName name="_xlnm.Print_Titles" localSheetId="57">'324'!$A:$C,'324'!$1:$10</definedName>
    <definedName name="_xlnm.Print_Titles" localSheetId="71">'325'!$A:$C,'325'!$1:$10</definedName>
    <definedName name="_xlnm.Print_Titles" localSheetId="60">'326'!$A:$C,'326'!$1:$10</definedName>
    <definedName name="_xlnm.Print_Titles" localSheetId="72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1">'332'!$A:$C,'332'!$1:$10</definedName>
    <definedName name="_xlnm.Print_Titles" localSheetId="76">'405'!$A:$C,'405'!$1:$10</definedName>
    <definedName name="_xlnm.Print_Titles" localSheetId="77">'406'!$A:$C,'406'!$1:$10</definedName>
    <definedName name="_xlnm.Print_Titles" localSheetId="78">'411'!$A:$C,'411'!$1:$10</definedName>
    <definedName name="_xlnm.Print_Titles" localSheetId="79">'412'!$A:$C,'412'!$1:$10</definedName>
    <definedName name="_xlnm.Print_Titles" localSheetId="80">'413'!$A:$C,'413'!$1:$10</definedName>
    <definedName name="_xlnm.Print_Titles" localSheetId="81">'414'!$A:$C,'414'!$1:$10</definedName>
    <definedName name="_xlnm.Print_Titles" localSheetId="82">'415'!$A:$C,'415'!$1:$10</definedName>
    <definedName name="_xlnm.Print_Titles" localSheetId="83">'418'!$A:$C,'418'!$1:$10</definedName>
    <definedName name="_xlnm.Print_Titles" localSheetId="84">'420'!$A:$C,'420'!$1:$10</definedName>
    <definedName name="_xlnm.Print_Titles" localSheetId="85">'423'!$A:$C,'423'!$1:$10</definedName>
    <definedName name="_xlnm.Print_Titles" localSheetId="86">'424'!$A:$C,'424'!$1:$10</definedName>
    <definedName name="_xlnm.Print_Titles" localSheetId="87">'425'!$A:$C,'425'!$1:$10</definedName>
    <definedName name="_xlnm.Print_Titles" localSheetId="90">'430'!$A:$C,'430'!$1:$10</definedName>
    <definedName name="_xlnm.Print_Titles" localSheetId="91">'433'!$A:$C,'433'!$1:$10</definedName>
    <definedName name="_xlnm.Print_Titles" localSheetId="92">'435'!$A:$C,'435'!$1:$10</definedName>
    <definedName name="_xlnm.Print_Titles" localSheetId="93">'444'!$A:$C,'444'!$1:$10</definedName>
    <definedName name="_xlnm.Print_Titles" localSheetId="94">'450'!$A:$C,'450'!$1:$10</definedName>
    <definedName name="_xlnm.Print_Titles" localSheetId="88">'455'!$A:$C,'455'!$1:$10</definedName>
    <definedName name="_xlnm.Print_Titles" localSheetId="75">'491'!$A:$C,'491'!$1:$10</definedName>
    <definedName name="_xlnm.Print_Titles" localSheetId="89">'492'!$A:$C,'492'!$1:$10</definedName>
    <definedName name="_xlnm.Print_Titles" localSheetId="96">'501'!$A:$C,'501'!$1:$10</definedName>
    <definedName name="_xlnm.Print_Titles" localSheetId="97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3">'Div 4'!$A:$C,'Div 4'!$1:$10</definedName>
    <definedName name="_xlnm.Print_Titles" localSheetId="95">'Div 5'!$A:$C,'Div 5'!$1:$10</definedName>
    <definedName name="_xlnm.Print_Titles" localSheetId="64">'Div 6'!$A:$C,'Div 6'!$1:$10</definedName>
    <definedName name="_xlnm.Print_Titles" localSheetId="14">'OSR_300 &amp; 317_1C00ID4'!$A:$C,'OSR_300 &amp; 317_1C00ID4'!$1:$10</definedName>
    <definedName name="_xlnm.Print_Titles" localSheetId="11">'OSR_300 (2)_7...54cb56fc_UFX0O2'!$A:$C,'OSR_300 (2)_7...54cb56fc_UFX0O2'!$1:$10</definedName>
    <definedName name="_xlnm.Print_Titles" localSheetId="15">'OSR_300 (2)_c...79cd3046_1TJM0H'!$A:$C,'OSR_300 (2)_c...79cd3046_1TJM0H'!$1:$10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(2)_0...c51cc666_QIOT67'!$A:$C,'OSR_491 (2)_0...c51cc666_QIOT67'!$1:$10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8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3">'OSR_Div 3 (2)...b7db256a_40ITCB'!$A:$C,'OSR_Div 3 (2)...b7db256a_40ITCB'!$1:$10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(2...09141158_1BG9FGV'!$A:$C,'OSR_Div 5 (2...09141158_1BG9FGV'!$1:$10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9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65" i="109" l="1"/>
  <c r="X65" i="109"/>
  <c r="N65" i="109"/>
  <c r="L65" i="109"/>
  <c r="F65" i="109"/>
  <c r="X61" i="109"/>
  <c r="Z61" i="109" s="1"/>
  <c r="T61" i="109"/>
  <c r="P61" i="109"/>
  <c r="L61" i="109"/>
  <c r="N61" i="109" s="1"/>
  <c r="J61" i="109"/>
  <c r="H61" i="109"/>
  <c r="F61" i="109"/>
  <c r="D61" i="109"/>
  <c r="B61" i="109"/>
  <c r="T60" i="109"/>
  <c r="P60" i="109"/>
  <c r="X60" i="109" s="1"/>
  <c r="Z60" i="109" s="1"/>
  <c r="L60" i="109"/>
  <c r="N60" i="109" s="1"/>
  <c r="H60" i="109"/>
  <c r="F60" i="109"/>
  <c r="D60" i="109"/>
  <c r="Z58" i="109"/>
  <c r="X58" i="109"/>
  <c r="N58" i="109"/>
  <c r="L58" i="109"/>
  <c r="F58" i="109"/>
  <c r="B58" i="109"/>
  <c r="X57" i="109"/>
  <c r="Z57" i="109" s="1"/>
  <c r="T57" i="109"/>
  <c r="P57" i="109"/>
  <c r="L57" i="109"/>
  <c r="N57" i="109" s="1"/>
  <c r="H57" i="109"/>
  <c r="F57" i="109"/>
  <c r="D57" i="109"/>
  <c r="B57" i="109"/>
  <c r="Z56" i="109"/>
  <c r="X56" i="109"/>
  <c r="N56" i="109"/>
  <c r="L56" i="109"/>
  <c r="F56" i="109"/>
  <c r="B56" i="109"/>
  <c r="Z55" i="109"/>
  <c r="X55" i="109"/>
  <c r="N55" i="109"/>
  <c r="L55" i="109"/>
  <c r="F55" i="109"/>
  <c r="B55" i="109"/>
  <c r="Z54" i="109"/>
  <c r="X54" i="109"/>
  <c r="N54" i="109"/>
  <c r="L54" i="109"/>
  <c r="F54" i="109"/>
  <c r="B54" i="109"/>
  <c r="Z53" i="109"/>
  <c r="X53" i="109"/>
  <c r="T53" i="109"/>
  <c r="P53" i="109"/>
  <c r="N53" i="109"/>
  <c r="L53" i="109"/>
  <c r="H53" i="109"/>
  <c r="F53" i="109"/>
  <c r="D53" i="109"/>
  <c r="B53" i="109"/>
  <c r="Z52" i="109"/>
  <c r="X52" i="109"/>
  <c r="N52" i="109"/>
  <c r="L52" i="109"/>
  <c r="F52" i="109"/>
  <c r="B52" i="109"/>
  <c r="Z51" i="109"/>
  <c r="X51" i="109"/>
  <c r="N51" i="109"/>
  <c r="L51" i="109"/>
  <c r="F51" i="109"/>
  <c r="B51" i="109"/>
  <c r="Z50" i="109"/>
  <c r="X50" i="109"/>
  <c r="N50" i="109"/>
  <c r="L50" i="109"/>
  <c r="F50" i="109"/>
  <c r="B50" i="109"/>
  <c r="X49" i="109"/>
  <c r="Z49" i="109" s="1"/>
  <c r="T49" i="109"/>
  <c r="P49" i="109"/>
  <c r="N49" i="109"/>
  <c r="L49" i="109"/>
  <c r="H49" i="109"/>
  <c r="F49" i="109"/>
  <c r="D49" i="109"/>
  <c r="B49" i="109"/>
  <c r="X48" i="109"/>
  <c r="Z48" i="109" s="1"/>
  <c r="N48" i="109"/>
  <c r="L48" i="109"/>
  <c r="F48" i="109"/>
  <c r="B48" i="109"/>
  <c r="Z47" i="109"/>
  <c r="X47" i="109"/>
  <c r="T47" i="109"/>
  <c r="P47" i="109"/>
  <c r="L47" i="109"/>
  <c r="N47" i="109" s="1"/>
  <c r="H47" i="109"/>
  <c r="F47" i="109"/>
  <c r="D47" i="109"/>
  <c r="B47" i="109"/>
  <c r="Z46" i="109"/>
  <c r="X46" i="109"/>
  <c r="N46" i="109"/>
  <c r="L46" i="109"/>
  <c r="F46" i="109"/>
  <c r="B46" i="109"/>
  <c r="Z45" i="109"/>
  <c r="X45" i="109"/>
  <c r="T45" i="109"/>
  <c r="P45" i="109"/>
  <c r="N45" i="109"/>
  <c r="L45" i="109"/>
  <c r="H45" i="109"/>
  <c r="F45" i="109"/>
  <c r="D45" i="109"/>
  <c r="B45" i="109"/>
  <c r="Z44" i="109"/>
  <c r="X44" i="109"/>
  <c r="N44" i="109"/>
  <c r="L44" i="109"/>
  <c r="F44" i="109"/>
  <c r="B44" i="109"/>
  <c r="Z43" i="109"/>
  <c r="X43" i="109"/>
  <c r="N43" i="109"/>
  <c r="L43" i="109"/>
  <c r="F43" i="109"/>
  <c r="B43" i="109"/>
  <c r="Z42" i="109"/>
  <c r="X42" i="109"/>
  <c r="T42" i="109"/>
  <c r="P42" i="109"/>
  <c r="N42" i="109"/>
  <c r="H42" i="109"/>
  <c r="D42" i="109"/>
  <c r="B42" i="109"/>
  <c r="Z41" i="109"/>
  <c r="X41" i="109"/>
  <c r="N41" i="109"/>
  <c r="L41" i="109"/>
  <c r="F41" i="109"/>
  <c r="B41" i="109"/>
  <c r="X40" i="109"/>
  <c r="Z40" i="109" s="1"/>
  <c r="T40" i="109"/>
  <c r="P40" i="109"/>
  <c r="N40" i="109"/>
  <c r="L40" i="109"/>
  <c r="H40" i="109"/>
  <c r="F40" i="109"/>
  <c r="D40" i="109"/>
  <c r="B40" i="109"/>
  <c r="Z39" i="109"/>
  <c r="X39" i="109"/>
  <c r="N39" i="109"/>
  <c r="L39" i="109"/>
  <c r="F39" i="109"/>
  <c r="B39" i="109"/>
  <c r="T38" i="109"/>
  <c r="P38" i="109"/>
  <c r="N38" i="109"/>
  <c r="L38" i="109"/>
  <c r="H38" i="109"/>
  <c r="F38" i="109"/>
  <c r="D38" i="109"/>
  <c r="B38" i="109"/>
  <c r="Z37" i="109"/>
  <c r="X37" i="109"/>
  <c r="N37" i="109"/>
  <c r="L37" i="109"/>
  <c r="F37" i="109"/>
  <c r="B37" i="109"/>
  <c r="T36" i="109"/>
  <c r="P36" i="109"/>
  <c r="X36" i="109" s="1"/>
  <c r="Z36" i="109" s="1"/>
  <c r="N36" i="109"/>
  <c r="L36" i="109"/>
  <c r="H36" i="109"/>
  <c r="F36" i="109"/>
  <c r="D36" i="109"/>
  <c r="B36" i="109"/>
  <c r="Z35" i="109"/>
  <c r="X35" i="109"/>
  <c r="N35" i="109"/>
  <c r="L35" i="109"/>
  <c r="F35" i="109"/>
  <c r="B35" i="109"/>
  <c r="Z34" i="109"/>
  <c r="X34" i="109"/>
  <c r="N34" i="109"/>
  <c r="L34" i="109"/>
  <c r="J34" i="109"/>
  <c r="F34" i="109"/>
  <c r="B34" i="109"/>
  <c r="Z33" i="109"/>
  <c r="X33" i="109"/>
  <c r="N33" i="109"/>
  <c r="L33" i="109"/>
  <c r="F33" i="109"/>
  <c r="B33" i="109"/>
  <c r="X32" i="109"/>
  <c r="Z32" i="109" s="1"/>
  <c r="N32" i="109"/>
  <c r="L32" i="109"/>
  <c r="F32" i="109"/>
  <c r="B32" i="109"/>
  <c r="Z31" i="109"/>
  <c r="X31" i="109"/>
  <c r="N31" i="109"/>
  <c r="L31" i="109"/>
  <c r="F31" i="109"/>
  <c r="B31" i="109"/>
  <c r="Z30" i="109"/>
  <c r="X30" i="109"/>
  <c r="T30" i="109"/>
  <c r="P30" i="109"/>
  <c r="N30" i="109"/>
  <c r="L30" i="109"/>
  <c r="H30" i="109"/>
  <c r="F30" i="109"/>
  <c r="D30" i="109"/>
  <c r="B30" i="109"/>
  <c r="Z29" i="109"/>
  <c r="X29" i="109"/>
  <c r="N29" i="109"/>
  <c r="L29" i="109"/>
  <c r="J29" i="109"/>
  <c r="F29" i="109"/>
  <c r="B29" i="109"/>
  <c r="Z28" i="109"/>
  <c r="X28" i="109"/>
  <c r="N28" i="109"/>
  <c r="L28" i="109"/>
  <c r="F28" i="109"/>
  <c r="B28" i="109"/>
  <c r="Z27" i="109"/>
  <c r="X27" i="109"/>
  <c r="N27" i="109"/>
  <c r="L27" i="109"/>
  <c r="F27" i="109"/>
  <c r="B27" i="109"/>
  <c r="Z26" i="109"/>
  <c r="X26" i="109"/>
  <c r="N26" i="109"/>
  <c r="L26" i="109"/>
  <c r="J26" i="109"/>
  <c r="F26" i="109"/>
  <c r="B26" i="109"/>
  <c r="Z25" i="109"/>
  <c r="X25" i="109"/>
  <c r="N25" i="109"/>
  <c r="L25" i="109"/>
  <c r="J25" i="109"/>
  <c r="F25" i="109"/>
  <c r="B25" i="109"/>
  <c r="Z24" i="109"/>
  <c r="X24" i="109"/>
  <c r="N24" i="109"/>
  <c r="L24" i="109"/>
  <c r="F24" i="109"/>
  <c r="B24" i="109"/>
  <c r="Z23" i="109"/>
  <c r="X23" i="109"/>
  <c r="N23" i="109"/>
  <c r="L23" i="109"/>
  <c r="F23" i="109"/>
  <c r="B23" i="109"/>
  <c r="Z22" i="109"/>
  <c r="X22" i="109"/>
  <c r="N22" i="109"/>
  <c r="L22" i="109"/>
  <c r="J22" i="109"/>
  <c r="F22" i="109"/>
  <c r="B22" i="109"/>
  <c r="Z21" i="109"/>
  <c r="X21" i="109"/>
  <c r="N21" i="109"/>
  <c r="L21" i="109"/>
  <c r="J21" i="109"/>
  <c r="F21" i="109"/>
  <c r="B21" i="109"/>
  <c r="X20" i="109"/>
  <c r="Z20" i="109" s="1"/>
  <c r="T20" i="109"/>
  <c r="P20" i="109"/>
  <c r="H20" i="109"/>
  <c r="F20" i="109"/>
  <c r="D20" i="109"/>
  <c r="B20" i="109"/>
  <c r="X19" i="109"/>
  <c r="T19" i="109"/>
  <c r="Z19" i="109" s="1"/>
  <c r="P19" i="109"/>
  <c r="H19" i="109"/>
  <c r="D19" i="109"/>
  <c r="L19" i="109" s="1"/>
  <c r="N19" i="109" s="1"/>
  <c r="T17" i="109"/>
  <c r="D17" i="109"/>
  <c r="Z15" i="109"/>
  <c r="T15" i="109"/>
  <c r="X15" i="109" s="1"/>
  <c r="P15" i="109"/>
  <c r="N15" i="109"/>
  <c r="L15" i="109"/>
  <c r="J15" i="109"/>
  <c r="H15" i="109"/>
  <c r="D15" i="109"/>
  <c r="F15" i="109" s="1"/>
  <c r="T13" i="109"/>
  <c r="P13" i="109"/>
  <c r="X13" i="109" s="1"/>
  <c r="Z13" i="109" s="1"/>
  <c r="L13" i="109"/>
  <c r="N13" i="109" s="1"/>
  <c r="H13" i="109"/>
  <c r="D13" i="109"/>
  <c r="B13" i="109"/>
  <c r="T12" i="109"/>
  <c r="V37" i="109" s="1"/>
  <c r="H12" i="109"/>
  <c r="D12" i="109"/>
  <c r="D6" i="109"/>
  <c r="D4" i="109"/>
  <c r="Z37" i="108"/>
  <c r="X37" i="108"/>
  <c r="N37" i="108"/>
  <c r="L37" i="108"/>
  <c r="T33" i="108"/>
  <c r="P33" i="108"/>
  <c r="L33" i="108"/>
  <c r="N33" i="108" s="1"/>
  <c r="J33" i="108"/>
  <c r="H33" i="108"/>
  <c r="D33" i="108"/>
  <c r="B33" i="108"/>
  <c r="X32" i="108"/>
  <c r="Z32" i="108" s="1"/>
  <c r="T32" i="108"/>
  <c r="P32" i="108"/>
  <c r="L32" i="108"/>
  <c r="N32" i="108" s="1"/>
  <c r="H32" i="108"/>
  <c r="D32" i="108"/>
  <c r="D31" i="108" s="1"/>
  <c r="L31" i="108" s="1"/>
  <c r="N31" i="108" s="1"/>
  <c r="B32" i="108"/>
  <c r="T31" i="108"/>
  <c r="H31" i="108"/>
  <c r="Z29" i="108"/>
  <c r="X29" i="108"/>
  <c r="N29" i="108"/>
  <c r="L29" i="108"/>
  <c r="B29" i="108"/>
  <c r="X28" i="108"/>
  <c r="Z28" i="108" s="1"/>
  <c r="N28" i="108"/>
  <c r="L28" i="108"/>
  <c r="J28" i="108"/>
  <c r="B28" i="108"/>
  <c r="X27" i="108"/>
  <c r="Z27" i="108" s="1"/>
  <c r="T27" i="108"/>
  <c r="P27" i="108"/>
  <c r="L27" i="108"/>
  <c r="H27" i="108"/>
  <c r="N27" i="108" s="1"/>
  <c r="D27" i="108"/>
  <c r="B27" i="108"/>
  <c r="X26" i="108"/>
  <c r="Z26" i="108" s="1"/>
  <c r="L26" i="108"/>
  <c r="N26" i="108" s="1"/>
  <c r="B26" i="108"/>
  <c r="X25" i="108"/>
  <c r="Z25" i="108" s="1"/>
  <c r="N25" i="108"/>
  <c r="L25" i="108"/>
  <c r="B25" i="108"/>
  <c r="Z24" i="108"/>
  <c r="X24" i="108"/>
  <c r="L24" i="108"/>
  <c r="N24" i="108" s="1"/>
  <c r="B24" i="108"/>
  <c r="Z23" i="108"/>
  <c r="X23" i="108"/>
  <c r="L23" i="108"/>
  <c r="N23" i="108" s="1"/>
  <c r="B23" i="108"/>
  <c r="X22" i="108"/>
  <c r="Z22" i="108" s="1"/>
  <c r="L22" i="108"/>
  <c r="N22" i="108" s="1"/>
  <c r="F22" i="108"/>
  <c r="B22" i="108"/>
  <c r="X21" i="108"/>
  <c r="Z21" i="108" s="1"/>
  <c r="N21" i="108"/>
  <c r="L21" i="108"/>
  <c r="B21" i="108"/>
  <c r="Z20" i="108"/>
  <c r="X20" i="108"/>
  <c r="L20" i="108"/>
  <c r="N20" i="108" s="1"/>
  <c r="B20" i="108"/>
  <c r="Z19" i="108"/>
  <c r="T19" i="108"/>
  <c r="P19" i="108"/>
  <c r="X19" i="108" s="1"/>
  <c r="H19" i="108"/>
  <c r="D19" i="108"/>
  <c r="L19" i="108" s="1"/>
  <c r="B19" i="108"/>
  <c r="T18" i="108"/>
  <c r="P18" i="108"/>
  <c r="H18" i="108"/>
  <c r="D18" i="108"/>
  <c r="X14" i="108"/>
  <c r="V14" i="108"/>
  <c r="T14" i="108"/>
  <c r="Z14" i="108" s="1"/>
  <c r="P14" i="108"/>
  <c r="N14" i="108"/>
  <c r="H14" i="108"/>
  <c r="D14" i="108"/>
  <c r="L14" i="108" s="1"/>
  <c r="T12" i="108"/>
  <c r="V29" i="108" s="1"/>
  <c r="P12" i="108"/>
  <c r="H12" i="108"/>
  <c r="J23" i="108" s="1"/>
  <c r="D12" i="108"/>
  <c r="F35" i="108" s="1"/>
  <c r="D6" i="108"/>
  <c r="D4" i="108"/>
  <c r="Z85" i="107"/>
  <c r="X85" i="107"/>
  <c r="L85" i="107"/>
  <c r="N85" i="107" s="1"/>
  <c r="Z81" i="107"/>
  <c r="X81" i="107"/>
  <c r="T81" i="107"/>
  <c r="P81" i="107"/>
  <c r="L81" i="107"/>
  <c r="H81" i="107"/>
  <c r="N81" i="107" s="1"/>
  <c r="D81" i="107"/>
  <c r="X79" i="107"/>
  <c r="Z79" i="107" s="1"/>
  <c r="N79" i="107"/>
  <c r="L79" i="107"/>
  <c r="B79" i="107"/>
  <c r="T78" i="107"/>
  <c r="P78" i="107"/>
  <c r="X78" i="107" s="1"/>
  <c r="H78" i="107"/>
  <c r="L78" i="107" s="1"/>
  <c r="D78" i="107"/>
  <c r="B78" i="107"/>
  <c r="X77" i="107"/>
  <c r="Z77" i="107" s="1"/>
  <c r="N77" i="107"/>
  <c r="L77" i="107"/>
  <c r="B77" i="107"/>
  <c r="T76" i="107"/>
  <c r="P76" i="107"/>
  <c r="X76" i="107" s="1"/>
  <c r="Z76" i="107" s="1"/>
  <c r="L76" i="107"/>
  <c r="N76" i="107" s="1"/>
  <c r="H76" i="107"/>
  <c r="D76" i="107"/>
  <c r="B76" i="107"/>
  <c r="Z75" i="107"/>
  <c r="X75" i="107"/>
  <c r="L75" i="107"/>
  <c r="N75" i="107" s="1"/>
  <c r="B75" i="107"/>
  <c r="X74" i="107"/>
  <c r="Z74" i="107" s="1"/>
  <c r="T74" i="107"/>
  <c r="P74" i="107"/>
  <c r="H74" i="107"/>
  <c r="D74" i="107"/>
  <c r="B74" i="107"/>
  <c r="X73" i="107"/>
  <c r="Z73" i="107" s="1"/>
  <c r="N73" i="107"/>
  <c r="L73" i="107"/>
  <c r="B73" i="107"/>
  <c r="X72" i="107"/>
  <c r="Z72" i="107" s="1"/>
  <c r="N72" i="107"/>
  <c r="L72" i="107"/>
  <c r="B72" i="107"/>
  <c r="X71" i="107"/>
  <c r="Z71" i="107" s="1"/>
  <c r="L71" i="107"/>
  <c r="N71" i="107" s="1"/>
  <c r="B71" i="107"/>
  <c r="X70" i="107"/>
  <c r="Z70" i="107" s="1"/>
  <c r="L70" i="107"/>
  <c r="N70" i="107" s="1"/>
  <c r="B70" i="107"/>
  <c r="X69" i="107"/>
  <c r="Z69" i="107" s="1"/>
  <c r="L69" i="107"/>
  <c r="N69" i="107" s="1"/>
  <c r="B69" i="107"/>
  <c r="X68" i="107"/>
  <c r="Z68" i="107" s="1"/>
  <c r="N68" i="107"/>
  <c r="L68" i="107"/>
  <c r="B68" i="107"/>
  <c r="X67" i="107"/>
  <c r="Z67" i="107" s="1"/>
  <c r="T67" i="107"/>
  <c r="P67" i="107"/>
  <c r="L67" i="107"/>
  <c r="N67" i="107" s="1"/>
  <c r="H67" i="107"/>
  <c r="D67" i="107"/>
  <c r="B67" i="107"/>
  <c r="X66" i="107"/>
  <c r="Z66" i="107" s="1"/>
  <c r="L66" i="107"/>
  <c r="N66" i="107" s="1"/>
  <c r="B66" i="107"/>
  <c r="X65" i="107"/>
  <c r="Z65" i="107" s="1"/>
  <c r="N65" i="107"/>
  <c r="L65" i="107"/>
  <c r="B65" i="107"/>
  <c r="Z64" i="107"/>
  <c r="X64" i="107"/>
  <c r="N64" i="107"/>
  <c r="L64" i="107"/>
  <c r="B64" i="107"/>
  <c r="T63" i="107"/>
  <c r="P63" i="107"/>
  <c r="L63" i="107"/>
  <c r="H63" i="107"/>
  <c r="N63" i="107" s="1"/>
  <c r="D63" i="107"/>
  <c r="B63" i="107"/>
  <c r="X62" i="107"/>
  <c r="Z62" i="107" s="1"/>
  <c r="N62" i="107"/>
  <c r="L62" i="107"/>
  <c r="B62" i="107"/>
  <c r="T61" i="107"/>
  <c r="P61" i="107"/>
  <c r="X61" i="107" s="1"/>
  <c r="Z61" i="107" s="1"/>
  <c r="H61" i="107"/>
  <c r="N61" i="107" s="1"/>
  <c r="D61" i="107"/>
  <c r="L61" i="107" s="1"/>
  <c r="B61" i="107"/>
  <c r="X60" i="107"/>
  <c r="Z60" i="107" s="1"/>
  <c r="N60" i="107"/>
  <c r="L60" i="107"/>
  <c r="B60" i="107"/>
  <c r="X59" i="107"/>
  <c r="Z59" i="107" s="1"/>
  <c r="T59" i="107"/>
  <c r="P59" i="107"/>
  <c r="L59" i="107"/>
  <c r="N59" i="107" s="1"/>
  <c r="H59" i="107"/>
  <c r="D59" i="107"/>
  <c r="B59" i="107"/>
  <c r="X58" i="107"/>
  <c r="Z58" i="107" s="1"/>
  <c r="L58" i="107"/>
  <c r="N58" i="107" s="1"/>
  <c r="B58" i="107"/>
  <c r="X57" i="107"/>
  <c r="T57" i="107"/>
  <c r="Z57" i="107" s="1"/>
  <c r="P57" i="107"/>
  <c r="H57" i="107"/>
  <c r="D57" i="107"/>
  <c r="B57" i="107"/>
  <c r="Z56" i="107"/>
  <c r="X56" i="107"/>
  <c r="N56" i="107"/>
  <c r="L56" i="107"/>
  <c r="B56" i="107"/>
  <c r="T55" i="107"/>
  <c r="P55" i="107"/>
  <c r="X55" i="107" s="1"/>
  <c r="N55" i="107"/>
  <c r="H55" i="107"/>
  <c r="D55" i="107"/>
  <c r="L55" i="107" s="1"/>
  <c r="B55" i="107"/>
  <c r="X54" i="107"/>
  <c r="Z54" i="107" s="1"/>
  <c r="N54" i="107"/>
  <c r="L54" i="107"/>
  <c r="B54" i="107"/>
  <c r="X53" i="107"/>
  <c r="Z53" i="107" s="1"/>
  <c r="T53" i="107"/>
  <c r="P53" i="107"/>
  <c r="N53" i="107"/>
  <c r="L53" i="107"/>
  <c r="H53" i="107"/>
  <c r="D53" i="107"/>
  <c r="B53" i="107"/>
  <c r="Z52" i="107"/>
  <c r="X52" i="107"/>
  <c r="N52" i="107"/>
  <c r="L52" i="107"/>
  <c r="B52" i="107"/>
  <c r="T51" i="107"/>
  <c r="P51" i="107"/>
  <c r="H51" i="107"/>
  <c r="N51" i="107" s="1"/>
  <c r="D51" i="107"/>
  <c r="B51" i="107"/>
  <c r="X50" i="107"/>
  <c r="Z50" i="107" s="1"/>
  <c r="L50" i="107"/>
  <c r="N50" i="107" s="1"/>
  <c r="B50" i="107"/>
  <c r="Z49" i="107"/>
  <c r="T49" i="107"/>
  <c r="P49" i="107"/>
  <c r="X49" i="107" s="1"/>
  <c r="H49" i="107"/>
  <c r="D49" i="107"/>
  <c r="L49" i="107" s="1"/>
  <c r="B49" i="107"/>
  <c r="Z48" i="107"/>
  <c r="X48" i="107"/>
  <c r="N48" i="107"/>
  <c r="L48" i="107"/>
  <c r="B48" i="107"/>
  <c r="Z47" i="107"/>
  <c r="X47" i="107"/>
  <c r="T47" i="107"/>
  <c r="P47" i="107"/>
  <c r="N47" i="107"/>
  <c r="L47" i="107"/>
  <c r="H47" i="107"/>
  <c r="D47" i="107"/>
  <c r="B47" i="107"/>
  <c r="X46" i="107"/>
  <c r="Z46" i="107" s="1"/>
  <c r="L46" i="107"/>
  <c r="N46" i="107" s="1"/>
  <c r="B46" i="107"/>
  <c r="T45" i="107"/>
  <c r="P45" i="107"/>
  <c r="H45" i="107"/>
  <c r="D45" i="107"/>
  <c r="B45" i="107"/>
  <c r="Z44" i="107"/>
  <c r="X44" i="107"/>
  <c r="L44" i="107"/>
  <c r="N44" i="107" s="1"/>
  <c r="B44" i="107"/>
  <c r="T43" i="107"/>
  <c r="P43" i="107"/>
  <c r="X43" i="107" s="1"/>
  <c r="H43" i="107"/>
  <c r="D43" i="107"/>
  <c r="L43" i="107" s="1"/>
  <c r="N43" i="107" s="1"/>
  <c r="B43" i="107"/>
  <c r="X42" i="107"/>
  <c r="Z42" i="107" s="1"/>
  <c r="L42" i="107"/>
  <c r="N42" i="107" s="1"/>
  <c r="B42" i="107"/>
  <c r="X41" i="107"/>
  <c r="Z41" i="107" s="1"/>
  <c r="T41" i="107"/>
  <c r="P41" i="107"/>
  <c r="L41" i="107"/>
  <c r="N41" i="107" s="1"/>
  <c r="H41" i="107"/>
  <c r="D41" i="107"/>
  <c r="B41" i="107"/>
  <c r="Z40" i="107"/>
  <c r="X40" i="107"/>
  <c r="N40" i="107"/>
  <c r="L40" i="107"/>
  <c r="B40" i="107"/>
  <c r="X39" i="107"/>
  <c r="Z39" i="107" s="1"/>
  <c r="N39" i="107"/>
  <c r="L39" i="107"/>
  <c r="B39" i="107"/>
  <c r="X38" i="107"/>
  <c r="Z38" i="107" s="1"/>
  <c r="L38" i="107"/>
  <c r="N38" i="107" s="1"/>
  <c r="B38" i="107"/>
  <c r="X37" i="107"/>
  <c r="Z37" i="107" s="1"/>
  <c r="N37" i="107"/>
  <c r="L37" i="107"/>
  <c r="B37" i="107"/>
  <c r="Z36" i="107"/>
  <c r="X36" i="107"/>
  <c r="N36" i="107"/>
  <c r="L36" i="107"/>
  <c r="B36" i="107"/>
  <c r="X35" i="107"/>
  <c r="Z35" i="107" s="1"/>
  <c r="N35" i="107"/>
  <c r="L35" i="107"/>
  <c r="B35" i="107"/>
  <c r="X34" i="107"/>
  <c r="Z34" i="107" s="1"/>
  <c r="T34" i="107"/>
  <c r="P34" i="107"/>
  <c r="H34" i="107"/>
  <c r="D34" i="107"/>
  <c r="L34" i="107" s="1"/>
  <c r="N34" i="107" s="1"/>
  <c r="B34" i="107"/>
  <c r="Z33" i="107"/>
  <c r="X33" i="107"/>
  <c r="L33" i="107"/>
  <c r="N33" i="107" s="1"/>
  <c r="B33" i="107"/>
  <c r="Z32" i="107"/>
  <c r="X32" i="107"/>
  <c r="L32" i="107"/>
  <c r="N32" i="107" s="1"/>
  <c r="B32" i="107"/>
  <c r="Z31" i="107"/>
  <c r="X31" i="107"/>
  <c r="L31" i="107"/>
  <c r="N31" i="107" s="1"/>
  <c r="B31" i="107"/>
  <c r="X30" i="107"/>
  <c r="Z30" i="107" s="1"/>
  <c r="L30" i="107"/>
  <c r="N30" i="107" s="1"/>
  <c r="B30" i="107"/>
  <c r="Z29" i="107"/>
  <c r="X29" i="107"/>
  <c r="L29" i="107"/>
  <c r="N29" i="107" s="1"/>
  <c r="B29" i="107"/>
  <c r="Z28" i="107"/>
  <c r="X28" i="107"/>
  <c r="L28" i="107"/>
  <c r="N28" i="107" s="1"/>
  <c r="B28" i="107"/>
  <c r="Z27" i="107"/>
  <c r="X27" i="107"/>
  <c r="L27" i="107"/>
  <c r="N27" i="107" s="1"/>
  <c r="B27" i="107"/>
  <c r="X26" i="107"/>
  <c r="Z26" i="107" s="1"/>
  <c r="L26" i="107"/>
  <c r="N26" i="107" s="1"/>
  <c r="B26" i="107"/>
  <c r="Z25" i="107"/>
  <c r="X25" i="107"/>
  <c r="N25" i="107"/>
  <c r="L25" i="107"/>
  <c r="B25" i="107"/>
  <c r="T24" i="107"/>
  <c r="X24" i="107" s="1"/>
  <c r="P24" i="107"/>
  <c r="L24" i="107"/>
  <c r="N24" i="107" s="1"/>
  <c r="H24" i="107"/>
  <c r="D24" i="107"/>
  <c r="B24" i="107"/>
  <c r="X23" i="107"/>
  <c r="Z23" i="107" s="1"/>
  <c r="T23" i="107"/>
  <c r="P23" i="107"/>
  <c r="H23" i="107"/>
  <c r="D23" i="107"/>
  <c r="L23" i="107" s="1"/>
  <c r="N23" i="107" s="1"/>
  <c r="X19" i="107"/>
  <c r="Z19" i="107" s="1"/>
  <c r="L19" i="107"/>
  <c r="N19" i="107" s="1"/>
  <c r="B19" i="107"/>
  <c r="X18" i="107"/>
  <c r="Z18" i="107" s="1"/>
  <c r="L18" i="107"/>
  <c r="N18" i="107" s="1"/>
  <c r="B18" i="107"/>
  <c r="T17" i="107"/>
  <c r="P17" i="107"/>
  <c r="X17" i="107" s="1"/>
  <c r="Z17" i="107" s="1"/>
  <c r="L17" i="107"/>
  <c r="N17" i="107" s="1"/>
  <c r="H17" i="107"/>
  <c r="D17" i="107"/>
  <c r="X15" i="107"/>
  <c r="Z15" i="107" s="1"/>
  <c r="T15" i="107"/>
  <c r="P15" i="107"/>
  <c r="H15" i="107"/>
  <c r="D15" i="107"/>
  <c r="L15" i="107" s="1"/>
  <c r="B15" i="107"/>
  <c r="T14" i="107"/>
  <c r="P14" i="107"/>
  <c r="H14" i="107"/>
  <c r="D14" i="107"/>
  <c r="L14" i="107" s="1"/>
  <c r="N14" i="107" s="1"/>
  <c r="B14" i="107"/>
  <c r="T13" i="107"/>
  <c r="P13" i="107"/>
  <c r="H13" i="107"/>
  <c r="D13" i="107"/>
  <c r="D12" i="107" s="1"/>
  <c r="F52" i="107" s="1"/>
  <c r="B13" i="107"/>
  <c r="D6" i="107"/>
  <c r="D4" i="107"/>
  <c r="X90" i="105"/>
  <c r="Z90" i="105" s="1"/>
  <c r="N90" i="105"/>
  <c r="L90" i="105"/>
  <c r="T86" i="105"/>
  <c r="Z86" i="105" s="1"/>
  <c r="P86" i="105"/>
  <c r="H86" i="105"/>
  <c r="D86" i="105"/>
  <c r="X84" i="105"/>
  <c r="Z84" i="105" s="1"/>
  <c r="N84" i="105"/>
  <c r="L84" i="105"/>
  <c r="B84" i="105"/>
  <c r="T83" i="105"/>
  <c r="P83" i="105"/>
  <c r="X83" i="105" s="1"/>
  <c r="Z83" i="105" s="1"/>
  <c r="N83" i="105"/>
  <c r="L83" i="105"/>
  <c r="H83" i="105"/>
  <c r="D83" i="105"/>
  <c r="B83" i="105"/>
  <c r="Z82" i="105"/>
  <c r="X82" i="105"/>
  <c r="N82" i="105"/>
  <c r="L82" i="105"/>
  <c r="B82" i="105"/>
  <c r="T81" i="105"/>
  <c r="P81" i="105"/>
  <c r="H81" i="105"/>
  <c r="D81" i="105"/>
  <c r="B81" i="105"/>
  <c r="X80" i="105"/>
  <c r="Z80" i="105" s="1"/>
  <c r="L80" i="105"/>
  <c r="N80" i="105" s="1"/>
  <c r="B80" i="105"/>
  <c r="T79" i="105"/>
  <c r="P79" i="105"/>
  <c r="H79" i="105"/>
  <c r="D79" i="105"/>
  <c r="L79" i="105" s="1"/>
  <c r="B79" i="105"/>
  <c r="X78" i="105"/>
  <c r="Z78" i="105" s="1"/>
  <c r="N78" i="105"/>
  <c r="L78" i="105"/>
  <c r="B78" i="105"/>
  <c r="Z77" i="105"/>
  <c r="X77" i="105"/>
  <c r="N77" i="105"/>
  <c r="L77" i="105"/>
  <c r="B77" i="105"/>
  <c r="X76" i="105"/>
  <c r="Z76" i="105" s="1"/>
  <c r="N76" i="105"/>
  <c r="L76" i="105"/>
  <c r="B76" i="105"/>
  <c r="X75" i="105"/>
  <c r="Z75" i="105" s="1"/>
  <c r="L75" i="105"/>
  <c r="N75" i="105" s="1"/>
  <c r="B75" i="105"/>
  <c r="X74" i="105"/>
  <c r="Z74" i="105" s="1"/>
  <c r="N74" i="105"/>
  <c r="L74" i="105"/>
  <c r="B74" i="105"/>
  <c r="X73" i="105"/>
  <c r="Z73" i="105" s="1"/>
  <c r="L73" i="105"/>
  <c r="N73" i="105" s="1"/>
  <c r="B73" i="105"/>
  <c r="X72" i="105"/>
  <c r="Z72" i="105" s="1"/>
  <c r="N72" i="105"/>
  <c r="L72" i="105"/>
  <c r="B72" i="105"/>
  <c r="Z71" i="105"/>
  <c r="X71" i="105"/>
  <c r="N71" i="105"/>
  <c r="L71" i="105"/>
  <c r="B71" i="105"/>
  <c r="X70" i="105"/>
  <c r="Z70" i="105" s="1"/>
  <c r="N70" i="105"/>
  <c r="L70" i="105"/>
  <c r="B70" i="105"/>
  <c r="X69" i="105"/>
  <c r="Z69" i="105" s="1"/>
  <c r="T69" i="105"/>
  <c r="P69" i="105"/>
  <c r="H69" i="105"/>
  <c r="D69" i="105"/>
  <c r="L69" i="105" s="1"/>
  <c r="N69" i="105" s="1"/>
  <c r="B69" i="105"/>
  <c r="Z68" i="105"/>
  <c r="X68" i="105"/>
  <c r="N68" i="105"/>
  <c r="L68" i="105"/>
  <c r="B68" i="105"/>
  <c r="T67" i="105"/>
  <c r="Z67" i="105" s="1"/>
  <c r="P67" i="105"/>
  <c r="H67" i="105"/>
  <c r="N67" i="105" s="1"/>
  <c r="D67" i="105"/>
  <c r="B67" i="105"/>
  <c r="X66" i="105"/>
  <c r="Z66" i="105" s="1"/>
  <c r="L66" i="105"/>
  <c r="N66" i="105" s="1"/>
  <c r="B66" i="105"/>
  <c r="Z65" i="105"/>
  <c r="X65" i="105"/>
  <c r="L65" i="105"/>
  <c r="N65" i="105" s="1"/>
  <c r="B65" i="105"/>
  <c r="X64" i="105"/>
  <c r="Z64" i="105" s="1"/>
  <c r="L64" i="105"/>
  <c r="N64" i="105" s="1"/>
  <c r="B64" i="105"/>
  <c r="T63" i="105"/>
  <c r="P63" i="105"/>
  <c r="X63" i="105" s="1"/>
  <c r="H63" i="105"/>
  <c r="D63" i="105"/>
  <c r="L63" i="105" s="1"/>
  <c r="B63" i="105"/>
  <c r="X62" i="105"/>
  <c r="Z62" i="105" s="1"/>
  <c r="N62" i="105"/>
  <c r="L62" i="105"/>
  <c r="B62" i="105"/>
  <c r="X61" i="105"/>
  <c r="Z61" i="105" s="1"/>
  <c r="L61" i="105"/>
  <c r="N61" i="105" s="1"/>
  <c r="B61" i="105"/>
  <c r="X60" i="105"/>
  <c r="Z60" i="105" s="1"/>
  <c r="N60" i="105"/>
  <c r="L60" i="105"/>
  <c r="B60" i="105"/>
  <c r="T59" i="105"/>
  <c r="P59" i="105"/>
  <c r="X59" i="105" s="1"/>
  <c r="Z59" i="105" s="1"/>
  <c r="H59" i="105"/>
  <c r="D59" i="105"/>
  <c r="L59" i="105" s="1"/>
  <c r="N59" i="105" s="1"/>
  <c r="B59" i="105"/>
  <c r="Z58" i="105"/>
  <c r="X58" i="105"/>
  <c r="L58" i="105"/>
  <c r="N58" i="105" s="1"/>
  <c r="B58" i="105"/>
  <c r="T57" i="105"/>
  <c r="P57" i="105"/>
  <c r="H57" i="105"/>
  <c r="L57" i="105" s="1"/>
  <c r="D57" i="105"/>
  <c r="B57" i="105"/>
  <c r="X56" i="105"/>
  <c r="Z56" i="105" s="1"/>
  <c r="N56" i="105"/>
  <c r="L56" i="105"/>
  <c r="B56" i="105"/>
  <c r="T55" i="105"/>
  <c r="P55" i="105"/>
  <c r="H55" i="105"/>
  <c r="N55" i="105" s="1"/>
  <c r="D55" i="105"/>
  <c r="L55" i="105" s="1"/>
  <c r="B55" i="105"/>
  <c r="X54" i="105"/>
  <c r="Z54" i="105" s="1"/>
  <c r="N54" i="105"/>
  <c r="L54" i="105"/>
  <c r="B54" i="105"/>
  <c r="T53" i="105"/>
  <c r="P53" i="105"/>
  <c r="X53" i="105" s="1"/>
  <c r="Z53" i="105" s="1"/>
  <c r="H53" i="105"/>
  <c r="D53" i="105"/>
  <c r="L53" i="105" s="1"/>
  <c r="N53" i="105" s="1"/>
  <c r="B53" i="105"/>
  <c r="Z52" i="105"/>
  <c r="X52" i="105"/>
  <c r="L52" i="105"/>
  <c r="N52" i="105" s="1"/>
  <c r="B52" i="105"/>
  <c r="T51" i="105"/>
  <c r="X51" i="105" s="1"/>
  <c r="Z51" i="105" s="1"/>
  <c r="P51" i="105"/>
  <c r="H51" i="105"/>
  <c r="D51" i="105"/>
  <c r="B51" i="105"/>
  <c r="Z50" i="105"/>
  <c r="X50" i="105"/>
  <c r="L50" i="105"/>
  <c r="N50" i="105" s="1"/>
  <c r="B50" i="105"/>
  <c r="T49" i="105"/>
  <c r="P49" i="105"/>
  <c r="X49" i="105" s="1"/>
  <c r="N49" i="105"/>
  <c r="H49" i="105"/>
  <c r="D49" i="105"/>
  <c r="L49" i="105" s="1"/>
  <c r="B49" i="105"/>
  <c r="Z48" i="105"/>
  <c r="X48" i="105"/>
  <c r="N48" i="105"/>
  <c r="L48" i="105"/>
  <c r="B48" i="105"/>
  <c r="Z47" i="105"/>
  <c r="X47" i="105"/>
  <c r="T47" i="105"/>
  <c r="P47" i="105"/>
  <c r="N47" i="105"/>
  <c r="H47" i="105"/>
  <c r="D47" i="105"/>
  <c r="L47" i="105" s="1"/>
  <c r="B47" i="105"/>
  <c r="Z46" i="105"/>
  <c r="X46" i="105"/>
  <c r="N46" i="105"/>
  <c r="L46" i="105"/>
  <c r="B46" i="105"/>
  <c r="X45" i="105"/>
  <c r="Z45" i="105" s="1"/>
  <c r="T45" i="105"/>
  <c r="P45" i="105"/>
  <c r="L45" i="105"/>
  <c r="N45" i="105" s="1"/>
  <c r="H45" i="105"/>
  <c r="D45" i="105"/>
  <c r="B45" i="105"/>
  <c r="X44" i="105"/>
  <c r="Z44" i="105" s="1"/>
  <c r="N44" i="105"/>
  <c r="L44" i="105"/>
  <c r="B44" i="105"/>
  <c r="T43" i="105"/>
  <c r="Z43" i="105" s="1"/>
  <c r="P43" i="105"/>
  <c r="X43" i="105" s="1"/>
  <c r="N43" i="105"/>
  <c r="H43" i="105"/>
  <c r="D43" i="105"/>
  <c r="L43" i="105" s="1"/>
  <c r="B43" i="105"/>
  <c r="Z42" i="105"/>
  <c r="X42" i="105"/>
  <c r="L42" i="105"/>
  <c r="N42" i="105" s="1"/>
  <c r="B42" i="105"/>
  <c r="T41" i="105"/>
  <c r="P41" i="105"/>
  <c r="L41" i="105"/>
  <c r="N41" i="105" s="1"/>
  <c r="H41" i="105"/>
  <c r="D41" i="105"/>
  <c r="B41" i="105"/>
  <c r="X40" i="105"/>
  <c r="Z40" i="105" s="1"/>
  <c r="L40" i="105"/>
  <c r="N40" i="105" s="1"/>
  <c r="B40" i="105"/>
  <c r="Z39" i="105"/>
  <c r="X39" i="105"/>
  <c r="N39" i="105"/>
  <c r="L39" i="105"/>
  <c r="B39" i="105"/>
  <c r="X38" i="105"/>
  <c r="Z38" i="105" s="1"/>
  <c r="L38" i="105"/>
  <c r="N38" i="105" s="1"/>
  <c r="B38" i="105"/>
  <c r="Z37" i="105"/>
  <c r="X37" i="105"/>
  <c r="L37" i="105"/>
  <c r="N37" i="105" s="1"/>
  <c r="B37" i="105"/>
  <c r="X36" i="105"/>
  <c r="Z36" i="105" s="1"/>
  <c r="L36" i="105"/>
  <c r="N36" i="105" s="1"/>
  <c r="B36" i="105"/>
  <c r="Z35" i="105"/>
  <c r="X35" i="105"/>
  <c r="N35" i="105"/>
  <c r="L35" i="105"/>
  <c r="B35" i="105"/>
  <c r="T34" i="105"/>
  <c r="P34" i="105"/>
  <c r="L34" i="105"/>
  <c r="N34" i="105" s="1"/>
  <c r="H34" i="105"/>
  <c r="D34" i="105"/>
  <c r="B34" i="105"/>
  <c r="X33" i="105"/>
  <c r="Z33" i="105" s="1"/>
  <c r="L33" i="105"/>
  <c r="N33" i="105" s="1"/>
  <c r="B33" i="105"/>
  <c r="X32" i="105"/>
  <c r="Z32" i="105" s="1"/>
  <c r="N32" i="105"/>
  <c r="L32" i="105"/>
  <c r="B32" i="105"/>
  <c r="Z31" i="105"/>
  <c r="X31" i="105"/>
  <c r="L31" i="105"/>
  <c r="N31" i="105" s="1"/>
  <c r="B31" i="105"/>
  <c r="X30" i="105"/>
  <c r="Z30" i="105" s="1"/>
  <c r="N30" i="105"/>
  <c r="L30" i="105"/>
  <c r="B30" i="105"/>
  <c r="X29" i="105"/>
  <c r="Z29" i="105" s="1"/>
  <c r="L29" i="105"/>
  <c r="N29" i="105" s="1"/>
  <c r="B29" i="105"/>
  <c r="X28" i="105"/>
  <c r="Z28" i="105" s="1"/>
  <c r="L28" i="105"/>
  <c r="N28" i="105" s="1"/>
  <c r="B28" i="105"/>
  <c r="X27" i="105"/>
  <c r="Z27" i="105" s="1"/>
  <c r="L27" i="105"/>
  <c r="N27" i="105" s="1"/>
  <c r="B27" i="105"/>
  <c r="X26" i="105"/>
  <c r="Z26" i="105" s="1"/>
  <c r="N26" i="105"/>
  <c r="L26" i="105"/>
  <c r="B26" i="105"/>
  <c r="X25" i="105"/>
  <c r="Z25" i="105" s="1"/>
  <c r="L25" i="105"/>
  <c r="N25" i="105" s="1"/>
  <c r="B25" i="105"/>
  <c r="T24" i="105"/>
  <c r="P24" i="105"/>
  <c r="X24" i="105" s="1"/>
  <c r="H24" i="105"/>
  <c r="L24" i="105" s="1"/>
  <c r="D24" i="105"/>
  <c r="B24" i="105"/>
  <c r="T23" i="105"/>
  <c r="P23" i="105"/>
  <c r="H23" i="105"/>
  <c r="D23" i="105"/>
  <c r="H21" i="105"/>
  <c r="X19" i="105"/>
  <c r="Z19" i="105" s="1"/>
  <c r="N19" i="105"/>
  <c r="L19" i="105"/>
  <c r="B19" i="105"/>
  <c r="Z18" i="105"/>
  <c r="X18" i="105"/>
  <c r="L18" i="105"/>
  <c r="N18" i="105" s="1"/>
  <c r="B18" i="105"/>
  <c r="T17" i="105"/>
  <c r="P17" i="105"/>
  <c r="J17" i="105"/>
  <c r="H17" i="105"/>
  <c r="D17" i="105"/>
  <c r="T15" i="105"/>
  <c r="P15" i="105"/>
  <c r="X15" i="105" s="1"/>
  <c r="H15" i="105"/>
  <c r="D15" i="105"/>
  <c r="L15" i="105" s="1"/>
  <c r="B15" i="105"/>
  <c r="Z14" i="105"/>
  <c r="X14" i="105"/>
  <c r="T14" i="105"/>
  <c r="P14" i="105"/>
  <c r="H14" i="105"/>
  <c r="D14" i="105"/>
  <c r="B14" i="105"/>
  <c r="T13" i="105"/>
  <c r="P13" i="105"/>
  <c r="H13" i="105"/>
  <c r="D13" i="105"/>
  <c r="L13" i="105" s="1"/>
  <c r="N13" i="105" s="1"/>
  <c r="B13" i="105"/>
  <c r="L12" i="105"/>
  <c r="H12" i="105"/>
  <c r="J65" i="105" s="1"/>
  <c r="D12" i="105"/>
  <c r="F31" i="105" s="1"/>
  <c r="D6" i="105"/>
  <c r="D4" i="105"/>
  <c r="X50" i="104"/>
  <c r="Z50" i="104" s="1"/>
  <c r="L50" i="104"/>
  <c r="N50" i="104" s="1"/>
  <c r="Z46" i="104"/>
  <c r="T46" i="104"/>
  <c r="P46" i="104"/>
  <c r="X46" i="104" s="1"/>
  <c r="N46" i="104"/>
  <c r="H46" i="104"/>
  <c r="D46" i="104"/>
  <c r="L46" i="104" s="1"/>
  <c r="X44" i="104"/>
  <c r="Z44" i="104" s="1"/>
  <c r="L44" i="104"/>
  <c r="N44" i="104" s="1"/>
  <c r="B44" i="104"/>
  <c r="T43" i="104"/>
  <c r="P43" i="104"/>
  <c r="H43" i="104"/>
  <c r="D43" i="104"/>
  <c r="B43" i="104"/>
  <c r="X42" i="104"/>
  <c r="Z42" i="104" s="1"/>
  <c r="N42" i="104"/>
  <c r="L42" i="104"/>
  <c r="B42" i="104"/>
  <c r="X41" i="104"/>
  <c r="Z41" i="104" s="1"/>
  <c r="N41" i="104"/>
  <c r="L41" i="104"/>
  <c r="B41" i="104"/>
  <c r="Z40" i="104"/>
  <c r="X40" i="104"/>
  <c r="N40" i="104"/>
  <c r="L40" i="104"/>
  <c r="B40" i="104"/>
  <c r="T39" i="104"/>
  <c r="P39" i="104"/>
  <c r="H39" i="104"/>
  <c r="D39" i="104"/>
  <c r="B39" i="104"/>
  <c r="X38" i="104"/>
  <c r="Z38" i="104" s="1"/>
  <c r="N38" i="104"/>
  <c r="L38" i="104"/>
  <c r="B38" i="104"/>
  <c r="X37" i="104"/>
  <c r="Z37" i="104" s="1"/>
  <c r="T37" i="104"/>
  <c r="P37" i="104"/>
  <c r="N37" i="104"/>
  <c r="L37" i="104"/>
  <c r="H37" i="104"/>
  <c r="D37" i="104"/>
  <c r="B37" i="104"/>
  <c r="X36" i="104"/>
  <c r="Z36" i="104" s="1"/>
  <c r="L36" i="104"/>
  <c r="N36" i="104" s="1"/>
  <c r="B36" i="104"/>
  <c r="T35" i="104"/>
  <c r="P35" i="104"/>
  <c r="H35" i="104"/>
  <c r="D35" i="104"/>
  <c r="B35" i="104"/>
  <c r="Z34" i="104"/>
  <c r="X34" i="104"/>
  <c r="L34" i="104"/>
  <c r="N34" i="104" s="1"/>
  <c r="B34" i="104"/>
  <c r="T33" i="104"/>
  <c r="R33" i="104"/>
  <c r="P33" i="104"/>
  <c r="H33" i="104"/>
  <c r="D33" i="104"/>
  <c r="B33" i="104"/>
  <c r="X32" i="104"/>
  <c r="Z32" i="104" s="1"/>
  <c r="L32" i="104"/>
  <c r="N32" i="104" s="1"/>
  <c r="B32" i="104"/>
  <c r="T31" i="104"/>
  <c r="P31" i="104"/>
  <c r="X31" i="104" s="1"/>
  <c r="Z31" i="104" s="1"/>
  <c r="H31" i="104"/>
  <c r="D31" i="104"/>
  <c r="L31" i="104" s="1"/>
  <c r="N31" i="104" s="1"/>
  <c r="B31" i="104"/>
  <c r="Z30" i="104"/>
  <c r="X30" i="104"/>
  <c r="L30" i="104"/>
  <c r="N30" i="104" s="1"/>
  <c r="B30" i="104"/>
  <c r="X29" i="104"/>
  <c r="Z29" i="104" s="1"/>
  <c r="L29" i="104"/>
  <c r="N29" i="104" s="1"/>
  <c r="B29" i="104"/>
  <c r="T28" i="104"/>
  <c r="P28" i="104"/>
  <c r="X28" i="104" s="1"/>
  <c r="Z28" i="104" s="1"/>
  <c r="H28" i="104"/>
  <c r="D28" i="104"/>
  <c r="L28" i="104" s="1"/>
  <c r="N28" i="104" s="1"/>
  <c r="B28" i="104"/>
  <c r="Z27" i="104"/>
  <c r="X27" i="104"/>
  <c r="L27" i="104"/>
  <c r="N27" i="104" s="1"/>
  <c r="B27" i="104"/>
  <c r="Z26" i="104"/>
  <c r="X26" i="104"/>
  <c r="L26" i="104"/>
  <c r="N26" i="104" s="1"/>
  <c r="B26" i="104"/>
  <c r="X25" i="104"/>
  <c r="Z25" i="104" s="1"/>
  <c r="L25" i="104"/>
  <c r="N25" i="104" s="1"/>
  <c r="B25" i="104"/>
  <c r="X24" i="104"/>
  <c r="Z24" i="104" s="1"/>
  <c r="T24" i="104"/>
  <c r="P24" i="104"/>
  <c r="L24" i="104"/>
  <c r="N24" i="104" s="1"/>
  <c r="H24" i="104"/>
  <c r="D24" i="104"/>
  <c r="B24" i="104"/>
  <c r="T23" i="104"/>
  <c r="P23" i="104"/>
  <c r="X23" i="104" s="1"/>
  <c r="Z23" i="104" s="1"/>
  <c r="H23" i="104"/>
  <c r="D23" i="104"/>
  <c r="L23" i="104" s="1"/>
  <c r="N23" i="104" s="1"/>
  <c r="Z19" i="104"/>
  <c r="X19" i="104"/>
  <c r="L19" i="104"/>
  <c r="N19" i="104" s="1"/>
  <c r="B19" i="104"/>
  <c r="X18" i="104"/>
  <c r="Z18" i="104" s="1"/>
  <c r="N18" i="104"/>
  <c r="L18" i="104"/>
  <c r="B18" i="104"/>
  <c r="X17" i="104"/>
  <c r="Z17" i="104" s="1"/>
  <c r="T17" i="104"/>
  <c r="P17" i="104"/>
  <c r="H17" i="104"/>
  <c r="D17" i="104"/>
  <c r="L17" i="104" s="1"/>
  <c r="N17" i="104" s="1"/>
  <c r="T15" i="104"/>
  <c r="P15" i="104"/>
  <c r="H15" i="104"/>
  <c r="N15" i="104" s="1"/>
  <c r="D15" i="104"/>
  <c r="L15" i="104" s="1"/>
  <c r="B15" i="104"/>
  <c r="T14" i="104"/>
  <c r="P14" i="104"/>
  <c r="X14" i="104" s="1"/>
  <c r="N14" i="104"/>
  <c r="H14" i="104"/>
  <c r="D14" i="104"/>
  <c r="L14" i="104" s="1"/>
  <c r="B14" i="104"/>
  <c r="X13" i="104"/>
  <c r="Z13" i="104" s="1"/>
  <c r="T13" i="104"/>
  <c r="P13" i="104"/>
  <c r="H13" i="104"/>
  <c r="D13" i="104"/>
  <c r="B13" i="104"/>
  <c r="P12" i="104"/>
  <c r="D6" i="104"/>
  <c r="D4" i="104"/>
  <c r="X87" i="103"/>
  <c r="Z87" i="103" s="1"/>
  <c r="L87" i="103"/>
  <c r="N87" i="103" s="1"/>
  <c r="T83" i="103"/>
  <c r="Z83" i="103" s="1"/>
  <c r="P83" i="103"/>
  <c r="H83" i="103"/>
  <c r="N83" i="103" s="1"/>
  <c r="D83" i="103"/>
  <c r="X81" i="103"/>
  <c r="Z81" i="103" s="1"/>
  <c r="N81" i="103"/>
  <c r="L81" i="103"/>
  <c r="B81" i="103"/>
  <c r="X80" i="103"/>
  <c r="Z80" i="103" s="1"/>
  <c r="T80" i="103"/>
  <c r="P80" i="103"/>
  <c r="N80" i="103"/>
  <c r="L80" i="103"/>
  <c r="H80" i="103"/>
  <c r="D80" i="103"/>
  <c r="B80" i="103"/>
  <c r="Z79" i="103"/>
  <c r="X79" i="103"/>
  <c r="N79" i="103"/>
  <c r="L79" i="103"/>
  <c r="B79" i="103"/>
  <c r="X78" i="103"/>
  <c r="Z78" i="103" s="1"/>
  <c r="T78" i="103"/>
  <c r="P78" i="103"/>
  <c r="N78" i="103"/>
  <c r="L78" i="103"/>
  <c r="H78" i="103"/>
  <c r="D78" i="103"/>
  <c r="B78" i="103"/>
  <c r="X77" i="103"/>
  <c r="Z77" i="103" s="1"/>
  <c r="L77" i="103"/>
  <c r="N77" i="103" s="1"/>
  <c r="B77" i="103"/>
  <c r="T76" i="103"/>
  <c r="P76" i="103"/>
  <c r="H76" i="103"/>
  <c r="D76" i="103"/>
  <c r="B76" i="103"/>
  <c r="X75" i="103"/>
  <c r="Z75" i="103" s="1"/>
  <c r="N75" i="103"/>
  <c r="L75" i="103"/>
  <c r="B75" i="103"/>
  <c r="X74" i="103"/>
  <c r="Z74" i="103" s="1"/>
  <c r="N74" i="103"/>
  <c r="L74" i="103"/>
  <c r="B74" i="103"/>
  <c r="X73" i="103"/>
  <c r="Z73" i="103" s="1"/>
  <c r="N73" i="103"/>
  <c r="L73" i="103"/>
  <c r="B73" i="103"/>
  <c r="Z72" i="103"/>
  <c r="X72" i="103"/>
  <c r="N72" i="103"/>
  <c r="L72" i="103"/>
  <c r="B72" i="103"/>
  <c r="X71" i="103"/>
  <c r="Z71" i="103" s="1"/>
  <c r="N71" i="103"/>
  <c r="L71" i="103"/>
  <c r="B71" i="103"/>
  <c r="Z70" i="103"/>
  <c r="X70" i="103"/>
  <c r="L70" i="103"/>
  <c r="N70" i="103" s="1"/>
  <c r="B70" i="103"/>
  <c r="X69" i="103"/>
  <c r="Z69" i="103" s="1"/>
  <c r="L69" i="103"/>
  <c r="N69" i="103" s="1"/>
  <c r="B69" i="103"/>
  <c r="Z68" i="103"/>
  <c r="X68" i="103"/>
  <c r="N68" i="103"/>
  <c r="L68" i="103"/>
  <c r="B68" i="103"/>
  <c r="T67" i="103"/>
  <c r="P67" i="103"/>
  <c r="H67" i="103"/>
  <c r="D67" i="103"/>
  <c r="B67" i="103"/>
  <c r="Z66" i="103"/>
  <c r="X66" i="103"/>
  <c r="N66" i="103"/>
  <c r="L66" i="103"/>
  <c r="B66" i="103"/>
  <c r="X65" i="103"/>
  <c r="Z65" i="103" s="1"/>
  <c r="N65" i="103"/>
  <c r="L65" i="103"/>
  <c r="B65" i="103"/>
  <c r="X64" i="103"/>
  <c r="Z64" i="103" s="1"/>
  <c r="N64" i="103"/>
  <c r="L64" i="103"/>
  <c r="B64" i="103"/>
  <c r="X63" i="103"/>
  <c r="T63" i="103"/>
  <c r="Z63" i="103" s="1"/>
  <c r="P63" i="103"/>
  <c r="L63" i="103"/>
  <c r="N63" i="103" s="1"/>
  <c r="H63" i="103"/>
  <c r="D63" i="103"/>
  <c r="B63" i="103"/>
  <c r="Z62" i="103"/>
  <c r="X62" i="103"/>
  <c r="N62" i="103"/>
  <c r="L62" i="103"/>
  <c r="B62" i="103"/>
  <c r="X61" i="103"/>
  <c r="Z61" i="103" s="1"/>
  <c r="N61" i="103"/>
  <c r="L61" i="103"/>
  <c r="B61" i="103"/>
  <c r="Z60" i="103"/>
  <c r="X60" i="103"/>
  <c r="L60" i="103"/>
  <c r="N60" i="103" s="1"/>
  <c r="B60" i="103"/>
  <c r="X59" i="103"/>
  <c r="T59" i="103"/>
  <c r="Z59" i="103" s="1"/>
  <c r="P59" i="103"/>
  <c r="N59" i="103"/>
  <c r="L59" i="103"/>
  <c r="H59" i="103"/>
  <c r="D59" i="103"/>
  <c r="B59" i="103"/>
  <c r="Z58" i="103"/>
  <c r="X58" i="103"/>
  <c r="L58" i="103"/>
  <c r="N58" i="103" s="1"/>
  <c r="B58" i="103"/>
  <c r="T57" i="103"/>
  <c r="P57" i="103"/>
  <c r="X57" i="103" s="1"/>
  <c r="Z57" i="103" s="1"/>
  <c r="H57" i="103"/>
  <c r="D57" i="103"/>
  <c r="L57" i="103" s="1"/>
  <c r="B57" i="103"/>
  <c r="Z56" i="103"/>
  <c r="X56" i="103"/>
  <c r="N56" i="103"/>
  <c r="L56" i="103"/>
  <c r="B56" i="103"/>
  <c r="T55" i="103"/>
  <c r="X55" i="103" s="1"/>
  <c r="Z55" i="103" s="1"/>
  <c r="P55" i="103"/>
  <c r="H55" i="103"/>
  <c r="N55" i="103" s="1"/>
  <c r="D55" i="103"/>
  <c r="L55" i="103" s="1"/>
  <c r="B55" i="103"/>
  <c r="X54" i="103"/>
  <c r="Z54" i="103" s="1"/>
  <c r="N54" i="103"/>
  <c r="L54" i="103"/>
  <c r="B54" i="103"/>
  <c r="X53" i="103"/>
  <c r="T53" i="103"/>
  <c r="Z53" i="103" s="1"/>
  <c r="P53" i="103"/>
  <c r="H53" i="103"/>
  <c r="D53" i="103"/>
  <c r="L53" i="103" s="1"/>
  <c r="B53" i="103"/>
  <c r="Z52" i="103"/>
  <c r="X52" i="103"/>
  <c r="N52" i="103"/>
  <c r="L52" i="103"/>
  <c r="B52" i="103"/>
  <c r="T51" i="103"/>
  <c r="P51" i="103"/>
  <c r="X51" i="103" s="1"/>
  <c r="N51" i="103"/>
  <c r="H51" i="103"/>
  <c r="D51" i="103"/>
  <c r="L51" i="103" s="1"/>
  <c r="B51" i="103"/>
  <c r="X50" i="103"/>
  <c r="Z50" i="103" s="1"/>
  <c r="L50" i="103"/>
  <c r="N50" i="103" s="1"/>
  <c r="B50" i="103"/>
  <c r="T49" i="103"/>
  <c r="P49" i="103"/>
  <c r="X49" i="103" s="1"/>
  <c r="N49" i="103"/>
  <c r="H49" i="103"/>
  <c r="L49" i="103" s="1"/>
  <c r="D49" i="103"/>
  <c r="B49" i="103"/>
  <c r="Z48" i="103"/>
  <c r="X48" i="103"/>
  <c r="N48" i="103"/>
  <c r="L48" i="103"/>
  <c r="B48" i="103"/>
  <c r="T47" i="103"/>
  <c r="Z47" i="103" s="1"/>
  <c r="P47" i="103"/>
  <c r="X47" i="103" s="1"/>
  <c r="N47" i="103"/>
  <c r="L47" i="103"/>
  <c r="H47" i="103"/>
  <c r="D47" i="103"/>
  <c r="B47" i="103"/>
  <c r="Z46" i="103"/>
  <c r="X46" i="103"/>
  <c r="L46" i="103"/>
  <c r="N46" i="103" s="1"/>
  <c r="B46" i="103"/>
  <c r="T45" i="103"/>
  <c r="P45" i="103"/>
  <c r="X45" i="103" s="1"/>
  <c r="Z45" i="103" s="1"/>
  <c r="H45" i="103"/>
  <c r="D45" i="103"/>
  <c r="L45" i="103" s="1"/>
  <c r="B45" i="103"/>
  <c r="Z44" i="103"/>
  <c r="X44" i="103"/>
  <c r="N44" i="103"/>
  <c r="L44" i="103"/>
  <c r="B44" i="103"/>
  <c r="Z43" i="103"/>
  <c r="T43" i="103"/>
  <c r="X43" i="103" s="1"/>
  <c r="P43" i="103"/>
  <c r="H43" i="103"/>
  <c r="N43" i="103" s="1"/>
  <c r="D43" i="103"/>
  <c r="L43" i="103" s="1"/>
  <c r="B43" i="103"/>
  <c r="X42" i="103"/>
  <c r="Z42" i="103" s="1"/>
  <c r="N42" i="103"/>
  <c r="L42" i="103"/>
  <c r="B42" i="103"/>
  <c r="X41" i="103"/>
  <c r="Z41" i="103" s="1"/>
  <c r="T41" i="103"/>
  <c r="P41" i="103"/>
  <c r="H41" i="103"/>
  <c r="N41" i="103" s="1"/>
  <c r="D41" i="103"/>
  <c r="L41" i="103" s="1"/>
  <c r="B41" i="103"/>
  <c r="Z40" i="103"/>
  <c r="X40" i="103"/>
  <c r="N40" i="103"/>
  <c r="L40" i="103"/>
  <c r="B40" i="103"/>
  <c r="Z39" i="103"/>
  <c r="X39" i="103"/>
  <c r="N39" i="103"/>
  <c r="L39" i="103"/>
  <c r="B39" i="103"/>
  <c r="Z38" i="103"/>
  <c r="X38" i="103"/>
  <c r="L38" i="103"/>
  <c r="N38" i="103" s="1"/>
  <c r="B38" i="103"/>
  <c r="X37" i="103"/>
  <c r="Z37" i="103" s="1"/>
  <c r="L37" i="103"/>
  <c r="N37" i="103" s="1"/>
  <c r="B37" i="103"/>
  <c r="Z36" i="103"/>
  <c r="X36" i="103"/>
  <c r="N36" i="103"/>
  <c r="L36" i="103"/>
  <c r="B36" i="103"/>
  <c r="Z35" i="103"/>
  <c r="X35" i="103"/>
  <c r="N35" i="103"/>
  <c r="L35" i="103"/>
  <c r="B35" i="103"/>
  <c r="T34" i="103"/>
  <c r="Z34" i="103" s="1"/>
  <c r="P34" i="103"/>
  <c r="X34" i="103" s="1"/>
  <c r="L34" i="103"/>
  <c r="N34" i="103" s="1"/>
  <c r="H34" i="103"/>
  <c r="D34" i="103"/>
  <c r="B34" i="103"/>
  <c r="X33" i="103"/>
  <c r="Z33" i="103" s="1"/>
  <c r="N33" i="103"/>
  <c r="L33" i="103"/>
  <c r="B33" i="103"/>
  <c r="Z32" i="103"/>
  <c r="X32" i="103"/>
  <c r="N32" i="103"/>
  <c r="L32" i="103"/>
  <c r="B32" i="103"/>
  <c r="Z31" i="103"/>
  <c r="X31" i="103"/>
  <c r="N31" i="103"/>
  <c r="L31" i="103"/>
  <c r="B31" i="103"/>
  <c r="X30" i="103"/>
  <c r="Z30" i="103" s="1"/>
  <c r="L30" i="103"/>
  <c r="N30" i="103" s="1"/>
  <c r="B30" i="103"/>
  <c r="X29" i="103"/>
  <c r="Z29" i="103" s="1"/>
  <c r="L29" i="103"/>
  <c r="N29" i="103" s="1"/>
  <c r="B29" i="103"/>
  <c r="Z28" i="103"/>
  <c r="X28" i="103"/>
  <c r="N28" i="103"/>
  <c r="L28" i="103"/>
  <c r="B28" i="103"/>
  <c r="Z27" i="103"/>
  <c r="X27" i="103"/>
  <c r="N27" i="103"/>
  <c r="L27" i="103"/>
  <c r="B27" i="103"/>
  <c r="X26" i="103"/>
  <c r="Z26" i="103" s="1"/>
  <c r="L26" i="103"/>
  <c r="N26" i="103" s="1"/>
  <c r="B26" i="103"/>
  <c r="X25" i="103"/>
  <c r="Z25" i="103" s="1"/>
  <c r="L25" i="103"/>
  <c r="N25" i="103" s="1"/>
  <c r="B25" i="103"/>
  <c r="X24" i="103"/>
  <c r="Z24" i="103" s="1"/>
  <c r="T24" i="103"/>
  <c r="P24" i="103"/>
  <c r="H24" i="103"/>
  <c r="D24" i="103"/>
  <c r="B24" i="103"/>
  <c r="T23" i="103"/>
  <c r="P23" i="103"/>
  <c r="X23" i="103" s="1"/>
  <c r="H23" i="103"/>
  <c r="D23" i="103"/>
  <c r="L23" i="103" s="1"/>
  <c r="N23" i="103" s="1"/>
  <c r="Z19" i="103"/>
  <c r="X19" i="103"/>
  <c r="L19" i="103"/>
  <c r="N19" i="103" s="1"/>
  <c r="B19" i="103"/>
  <c r="Z18" i="103"/>
  <c r="X18" i="103"/>
  <c r="N18" i="103"/>
  <c r="L18" i="103"/>
  <c r="B18" i="103"/>
  <c r="Z17" i="103"/>
  <c r="X17" i="103"/>
  <c r="T17" i="103"/>
  <c r="P17" i="103"/>
  <c r="H17" i="103"/>
  <c r="D17" i="103"/>
  <c r="L17" i="103" s="1"/>
  <c r="T15" i="103"/>
  <c r="P15" i="103"/>
  <c r="L15" i="103"/>
  <c r="H15" i="103"/>
  <c r="N15" i="103" s="1"/>
  <c r="D15" i="103"/>
  <c r="B15" i="103"/>
  <c r="T14" i="103"/>
  <c r="P14" i="103"/>
  <c r="X14" i="103" s="1"/>
  <c r="Z14" i="103" s="1"/>
  <c r="L14" i="103"/>
  <c r="N14" i="103" s="1"/>
  <c r="H14" i="103"/>
  <c r="D14" i="103"/>
  <c r="B14" i="103"/>
  <c r="T13" i="103"/>
  <c r="P13" i="103"/>
  <c r="H13" i="103"/>
  <c r="D13" i="103"/>
  <c r="B13" i="103"/>
  <c r="D6" i="103"/>
  <c r="D4" i="103"/>
  <c r="V50" i="102"/>
  <c r="Z48" i="102"/>
  <c r="X48" i="102"/>
  <c r="V48" i="102"/>
  <c r="N48" i="102"/>
  <c r="L48" i="102"/>
  <c r="T44" i="102"/>
  <c r="Z44" i="102" s="1"/>
  <c r="R44" i="102"/>
  <c r="P44" i="102"/>
  <c r="N44" i="102"/>
  <c r="H44" i="102"/>
  <c r="L44" i="102" s="1"/>
  <c r="D44" i="102"/>
  <c r="Z42" i="102"/>
  <c r="X42" i="102"/>
  <c r="V42" i="102"/>
  <c r="L42" i="102"/>
  <c r="N42" i="102" s="1"/>
  <c r="B42" i="102"/>
  <c r="T41" i="102"/>
  <c r="Z41" i="102" s="1"/>
  <c r="P41" i="102"/>
  <c r="X41" i="102" s="1"/>
  <c r="L41" i="102"/>
  <c r="N41" i="102" s="1"/>
  <c r="J41" i="102"/>
  <c r="H41" i="102"/>
  <c r="D41" i="102"/>
  <c r="B41" i="102"/>
  <c r="Z40" i="102"/>
  <c r="X40" i="102"/>
  <c r="V40" i="102"/>
  <c r="N40" i="102"/>
  <c r="L40" i="102"/>
  <c r="J40" i="102"/>
  <c r="B40" i="102"/>
  <c r="V39" i="102"/>
  <c r="T39" i="102"/>
  <c r="P39" i="102"/>
  <c r="X39" i="102" s="1"/>
  <c r="Z39" i="102" s="1"/>
  <c r="J39" i="102"/>
  <c r="H39" i="102"/>
  <c r="N39" i="102" s="1"/>
  <c r="F39" i="102"/>
  <c r="D39" i="102"/>
  <c r="L39" i="102" s="1"/>
  <c r="B39" i="102"/>
  <c r="Z38" i="102"/>
  <c r="X38" i="102"/>
  <c r="N38" i="102"/>
  <c r="L38" i="102"/>
  <c r="B38" i="102"/>
  <c r="T37" i="102"/>
  <c r="X37" i="102" s="1"/>
  <c r="Z37" i="102" s="1"/>
  <c r="P37" i="102"/>
  <c r="N37" i="102"/>
  <c r="H37" i="102"/>
  <c r="D37" i="102"/>
  <c r="L37" i="102" s="1"/>
  <c r="B37" i="102"/>
  <c r="Z36" i="102"/>
  <c r="X36" i="102"/>
  <c r="V36" i="102"/>
  <c r="N36" i="102"/>
  <c r="L36" i="102"/>
  <c r="B36" i="102"/>
  <c r="Z35" i="102"/>
  <c r="X35" i="102"/>
  <c r="V35" i="102"/>
  <c r="N35" i="102"/>
  <c r="L35" i="102"/>
  <c r="B35" i="102"/>
  <c r="V34" i="102"/>
  <c r="T34" i="102"/>
  <c r="P34" i="102"/>
  <c r="X34" i="102" s="1"/>
  <c r="N34" i="102"/>
  <c r="H34" i="102"/>
  <c r="D34" i="102"/>
  <c r="L34" i="102" s="1"/>
  <c r="B34" i="102"/>
  <c r="X33" i="102"/>
  <c r="Z33" i="102" s="1"/>
  <c r="V33" i="102"/>
  <c r="N33" i="102"/>
  <c r="L33" i="102"/>
  <c r="B33" i="102"/>
  <c r="V32" i="102"/>
  <c r="T32" i="102"/>
  <c r="P32" i="102"/>
  <c r="X32" i="102" s="1"/>
  <c r="N32" i="102"/>
  <c r="L32" i="102"/>
  <c r="H32" i="102"/>
  <c r="D32" i="102"/>
  <c r="B32" i="102"/>
  <c r="Z31" i="102"/>
  <c r="X31" i="102"/>
  <c r="N31" i="102"/>
  <c r="L31" i="102"/>
  <c r="J31" i="102"/>
  <c r="B31" i="102"/>
  <c r="T30" i="102"/>
  <c r="P30" i="102"/>
  <c r="L30" i="102"/>
  <c r="J30" i="102"/>
  <c r="H30" i="102"/>
  <c r="D30" i="102"/>
  <c r="B30" i="102"/>
  <c r="Z29" i="102"/>
  <c r="X29" i="102"/>
  <c r="V29" i="102"/>
  <c r="L29" i="102"/>
  <c r="N29" i="102" s="1"/>
  <c r="J29" i="102"/>
  <c r="F29" i="102"/>
  <c r="B29" i="102"/>
  <c r="V28" i="102"/>
  <c r="T28" i="102"/>
  <c r="Z28" i="102" s="1"/>
  <c r="P28" i="102"/>
  <c r="X28" i="102" s="1"/>
  <c r="H28" i="102"/>
  <c r="D28" i="102"/>
  <c r="L28" i="102" s="1"/>
  <c r="B28" i="102"/>
  <c r="X27" i="102"/>
  <c r="Z27" i="102" s="1"/>
  <c r="V27" i="102"/>
  <c r="N27" i="102"/>
  <c r="L27" i="102"/>
  <c r="B27" i="102"/>
  <c r="Z26" i="102"/>
  <c r="X26" i="102"/>
  <c r="V26" i="102"/>
  <c r="N26" i="102"/>
  <c r="L26" i="102"/>
  <c r="B26" i="102"/>
  <c r="X25" i="102"/>
  <c r="Z25" i="102" s="1"/>
  <c r="V25" i="102"/>
  <c r="N25" i="102"/>
  <c r="L25" i="102"/>
  <c r="B25" i="102"/>
  <c r="X24" i="102"/>
  <c r="Z24" i="102" s="1"/>
  <c r="V24" i="102"/>
  <c r="L24" i="102"/>
  <c r="N24" i="102" s="1"/>
  <c r="J24" i="102"/>
  <c r="B24" i="102"/>
  <c r="X23" i="102"/>
  <c r="Z23" i="102" s="1"/>
  <c r="V23" i="102"/>
  <c r="N23" i="102"/>
  <c r="L23" i="102"/>
  <c r="B23" i="102"/>
  <c r="X22" i="102"/>
  <c r="Z22" i="102" s="1"/>
  <c r="V22" i="102"/>
  <c r="N22" i="102"/>
  <c r="L22" i="102"/>
  <c r="B22" i="102"/>
  <c r="X21" i="102"/>
  <c r="Z21" i="102" s="1"/>
  <c r="V21" i="102"/>
  <c r="N21" i="102"/>
  <c r="L21" i="102"/>
  <c r="B21" i="102"/>
  <c r="X20" i="102"/>
  <c r="Z20" i="102" s="1"/>
  <c r="V20" i="102"/>
  <c r="L20" i="102"/>
  <c r="N20" i="102" s="1"/>
  <c r="J20" i="102"/>
  <c r="B20" i="102"/>
  <c r="V19" i="102"/>
  <c r="T19" i="102"/>
  <c r="P19" i="102"/>
  <c r="X19" i="102" s="1"/>
  <c r="Z19" i="102" s="1"/>
  <c r="J19" i="102"/>
  <c r="H19" i="102"/>
  <c r="F19" i="102"/>
  <c r="D19" i="102"/>
  <c r="B19" i="102"/>
  <c r="T18" i="102"/>
  <c r="P18" i="102"/>
  <c r="J18" i="102"/>
  <c r="H18" i="102"/>
  <c r="D18" i="102"/>
  <c r="T16" i="102"/>
  <c r="R16" i="102"/>
  <c r="J16" i="102"/>
  <c r="T14" i="102"/>
  <c r="P14" i="102"/>
  <c r="J14" i="102"/>
  <c r="H14" i="102"/>
  <c r="N14" i="102" s="1"/>
  <c r="D14" i="102"/>
  <c r="Z12" i="102"/>
  <c r="T12" i="102"/>
  <c r="V53" i="102" s="1"/>
  <c r="P12" i="102"/>
  <c r="N12" i="102"/>
  <c r="H12" i="102"/>
  <c r="J42" i="102" s="1"/>
  <c r="D12" i="102"/>
  <c r="F26" i="102" s="1"/>
  <c r="D6" i="102"/>
  <c r="D4" i="102"/>
  <c r="Z79" i="101"/>
  <c r="X79" i="101"/>
  <c r="L79" i="101"/>
  <c r="N79" i="101" s="1"/>
  <c r="F77" i="101"/>
  <c r="T75" i="101"/>
  <c r="P75" i="101"/>
  <c r="H75" i="101"/>
  <c r="D75" i="101"/>
  <c r="B75" i="101"/>
  <c r="P74" i="101"/>
  <c r="D74" i="101"/>
  <c r="Z72" i="101"/>
  <c r="X72" i="101"/>
  <c r="N72" i="101"/>
  <c r="L72" i="101"/>
  <c r="B72" i="101"/>
  <c r="T71" i="101"/>
  <c r="P71" i="101"/>
  <c r="N71" i="101"/>
  <c r="H71" i="101"/>
  <c r="D71" i="101"/>
  <c r="B71" i="101"/>
  <c r="X70" i="101"/>
  <c r="Z70" i="101" s="1"/>
  <c r="R70" i="101"/>
  <c r="N70" i="101"/>
  <c r="L70" i="101"/>
  <c r="B70" i="101"/>
  <c r="X69" i="101"/>
  <c r="T69" i="101"/>
  <c r="P69" i="101"/>
  <c r="H69" i="101"/>
  <c r="D69" i="101"/>
  <c r="L69" i="101" s="1"/>
  <c r="N69" i="101" s="1"/>
  <c r="B69" i="101"/>
  <c r="X68" i="101"/>
  <c r="Z68" i="101" s="1"/>
  <c r="N68" i="101"/>
  <c r="L68" i="101"/>
  <c r="B68" i="101"/>
  <c r="X67" i="101"/>
  <c r="Z67" i="101" s="1"/>
  <c r="N67" i="101"/>
  <c r="L67" i="101"/>
  <c r="B67" i="101"/>
  <c r="Z66" i="101"/>
  <c r="X66" i="101"/>
  <c r="N66" i="101"/>
  <c r="L66" i="101"/>
  <c r="F66" i="101"/>
  <c r="B66" i="101"/>
  <c r="X65" i="101"/>
  <c r="Z65" i="101" s="1"/>
  <c r="N65" i="101"/>
  <c r="L65" i="101"/>
  <c r="B65" i="101"/>
  <c r="X64" i="101"/>
  <c r="Z64" i="101" s="1"/>
  <c r="L64" i="101"/>
  <c r="N64" i="101" s="1"/>
  <c r="B64" i="101"/>
  <c r="Z63" i="101"/>
  <c r="X63" i="101"/>
  <c r="N63" i="101"/>
  <c r="L63" i="101"/>
  <c r="B63" i="101"/>
  <c r="X62" i="101"/>
  <c r="Z62" i="101" s="1"/>
  <c r="N62" i="101"/>
  <c r="L62" i="101"/>
  <c r="B62" i="101"/>
  <c r="T61" i="101"/>
  <c r="P61" i="101"/>
  <c r="X61" i="101" s="1"/>
  <c r="H61" i="101"/>
  <c r="N61" i="101" s="1"/>
  <c r="D61" i="101"/>
  <c r="L61" i="101" s="1"/>
  <c r="B61" i="101"/>
  <c r="Z60" i="101"/>
  <c r="X60" i="101"/>
  <c r="L60" i="101"/>
  <c r="N60" i="101" s="1"/>
  <c r="B60" i="101"/>
  <c r="Z59" i="101"/>
  <c r="X59" i="101"/>
  <c r="N59" i="101"/>
  <c r="L59" i="101"/>
  <c r="B59" i="101"/>
  <c r="Z58" i="101"/>
  <c r="T58" i="101"/>
  <c r="P58" i="101"/>
  <c r="X58" i="101" s="1"/>
  <c r="H58" i="101"/>
  <c r="D58" i="101"/>
  <c r="L58" i="101" s="1"/>
  <c r="B58" i="101"/>
  <c r="Z57" i="101"/>
  <c r="X57" i="101"/>
  <c r="N57" i="101"/>
  <c r="L57" i="101"/>
  <c r="B57" i="101"/>
  <c r="X56" i="101"/>
  <c r="T56" i="101"/>
  <c r="P56" i="101"/>
  <c r="N56" i="101"/>
  <c r="L56" i="101"/>
  <c r="H56" i="101"/>
  <c r="D56" i="101"/>
  <c r="B56" i="101"/>
  <c r="X55" i="101"/>
  <c r="Z55" i="101" s="1"/>
  <c r="V55" i="101"/>
  <c r="N55" i="101"/>
  <c r="L55" i="101"/>
  <c r="B55" i="101"/>
  <c r="Z54" i="101"/>
  <c r="X54" i="101"/>
  <c r="R54" i="101"/>
  <c r="N54" i="101"/>
  <c r="L54" i="101"/>
  <c r="B54" i="101"/>
  <c r="Z53" i="101"/>
  <c r="X53" i="101"/>
  <c r="N53" i="101"/>
  <c r="L53" i="101"/>
  <c r="B53" i="101"/>
  <c r="T52" i="101"/>
  <c r="P52" i="101"/>
  <c r="X52" i="101" s="1"/>
  <c r="H52" i="101"/>
  <c r="N52" i="101" s="1"/>
  <c r="D52" i="101"/>
  <c r="B52" i="101"/>
  <c r="X51" i="101"/>
  <c r="Z51" i="101" s="1"/>
  <c r="L51" i="101"/>
  <c r="N51" i="101" s="1"/>
  <c r="B51" i="101"/>
  <c r="X50" i="101"/>
  <c r="Z50" i="101" s="1"/>
  <c r="T50" i="101"/>
  <c r="P50" i="101"/>
  <c r="H50" i="101"/>
  <c r="N50" i="101" s="1"/>
  <c r="D50" i="101"/>
  <c r="L50" i="101" s="1"/>
  <c r="B50" i="101"/>
  <c r="Z49" i="101"/>
  <c r="X49" i="101"/>
  <c r="N49" i="101"/>
  <c r="L49" i="101"/>
  <c r="B49" i="101"/>
  <c r="X48" i="101"/>
  <c r="V48" i="101"/>
  <c r="T48" i="101"/>
  <c r="P48" i="101"/>
  <c r="N48" i="101"/>
  <c r="L48" i="101"/>
  <c r="H48" i="101"/>
  <c r="D48" i="101"/>
  <c r="B48" i="101"/>
  <c r="Z47" i="101"/>
  <c r="X47" i="101"/>
  <c r="V47" i="101"/>
  <c r="N47" i="101"/>
  <c r="L47" i="101"/>
  <c r="B47" i="101"/>
  <c r="T46" i="101"/>
  <c r="R46" i="101"/>
  <c r="P46" i="101"/>
  <c r="X46" i="101" s="1"/>
  <c r="H46" i="101"/>
  <c r="N46" i="101" s="1"/>
  <c r="D46" i="101"/>
  <c r="L46" i="101" s="1"/>
  <c r="B46" i="101"/>
  <c r="X45" i="101"/>
  <c r="Z45" i="101" s="1"/>
  <c r="V45" i="101"/>
  <c r="R45" i="101"/>
  <c r="N45" i="101"/>
  <c r="L45" i="101"/>
  <c r="B45" i="101"/>
  <c r="T44" i="101"/>
  <c r="P44" i="101"/>
  <c r="X44" i="101" s="1"/>
  <c r="L44" i="101"/>
  <c r="N44" i="101" s="1"/>
  <c r="H44" i="101"/>
  <c r="D44" i="101"/>
  <c r="B44" i="101"/>
  <c r="X43" i="101"/>
  <c r="Z43" i="101" s="1"/>
  <c r="N43" i="101"/>
  <c r="L43" i="101"/>
  <c r="B43" i="101"/>
  <c r="Z42" i="101"/>
  <c r="X42" i="101"/>
  <c r="T42" i="101"/>
  <c r="P42" i="101"/>
  <c r="H42" i="101"/>
  <c r="D42" i="101"/>
  <c r="B42" i="101"/>
  <c r="Z41" i="101"/>
  <c r="X41" i="101"/>
  <c r="L41" i="101"/>
  <c r="N41" i="101" s="1"/>
  <c r="B41" i="101"/>
  <c r="T40" i="101"/>
  <c r="Z40" i="101" s="1"/>
  <c r="P40" i="101"/>
  <c r="X40" i="101" s="1"/>
  <c r="H40" i="101"/>
  <c r="F40" i="101"/>
  <c r="D40" i="101"/>
  <c r="B40" i="101"/>
  <c r="X39" i="101"/>
  <c r="Z39" i="101" s="1"/>
  <c r="L39" i="101"/>
  <c r="N39" i="101" s="1"/>
  <c r="B39" i="101"/>
  <c r="X38" i="101"/>
  <c r="Z38" i="101" s="1"/>
  <c r="T38" i="101"/>
  <c r="P38" i="101"/>
  <c r="H38" i="101"/>
  <c r="D38" i="101"/>
  <c r="L38" i="101" s="1"/>
  <c r="B38" i="101"/>
  <c r="Z37" i="101"/>
  <c r="X37" i="101"/>
  <c r="N37" i="101"/>
  <c r="L37" i="101"/>
  <c r="B37" i="101"/>
  <c r="X36" i="101"/>
  <c r="Z36" i="101" s="1"/>
  <c r="V36" i="101"/>
  <c r="L36" i="101"/>
  <c r="N36" i="101" s="1"/>
  <c r="B36" i="101"/>
  <c r="X35" i="101"/>
  <c r="Z35" i="101" s="1"/>
  <c r="N35" i="101"/>
  <c r="L35" i="101"/>
  <c r="B35" i="101"/>
  <c r="Z34" i="101"/>
  <c r="X34" i="101"/>
  <c r="N34" i="101"/>
  <c r="L34" i="101"/>
  <c r="B34" i="101"/>
  <c r="Z33" i="101"/>
  <c r="X33" i="101"/>
  <c r="N33" i="101"/>
  <c r="L33" i="101"/>
  <c r="B33" i="101"/>
  <c r="X32" i="101"/>
  <c r="V32" i="101"/>
  <c r="T32" i="101"/>
  <c r="P32" i="101"/>
  <c r="N32" i="101"/>
  <c r="L32" i="101"/>
  <c r="H32" i="101"/>
  <c r="D32" i="101"/>
  <c r="B32" i="101"/>
  <c r="Z31" i="101"/>
  <c r="X31" i="101"/>
  <c r="V31" i="101"/>
  <c r="L31" i="101"/>
  <c r="N31" i="101" s="1"/>
  <c r="B31" i="101"/>
  <c r="Z30" i="101"/>
  <c r="X30" i="101"/>
  <c r="R30" i="101"/>
  <c r="L30" i="101"/>
  <c r="N30" i="101" s="1"/>
  <c r="B30" i="101"/>
  <c r="Z29" i="101"/>
  <c r="X29" i="101"/>
  <c r="L29" i="101"/>
  <c r="N29" i="101" s="1"/>
  <c r="B29" i="101"/>
  <c r="X28" i="101"/>
  <c r="Z28" i="101" s="1"/>
  <c r="N28" i="101"/>
  <c r="L28" i="101"/>
  <c r="B28" i="101"/>
  <c r="Z27" i="101"/>
  <c r="X27" i="101"/>
  <c r="V27" i="101"/>
  <c r="L27" i="101"/>
  <c r="N27" i="101" s="1"/>
  <c r="B27" i="101"/>
  <c r="Z26" i="101"/>
  <c r="X26" i="101"/>
  <c r="N26" i="101"/>
  <c r="L26" i="101"/>
  <c r="B26" i="101"/>
  <c r="Z25" i="101"/>
  <c r="X25" i="101"/>
  <c r="L25" i="101"/>
  <c r="N25" i="101" s="1"/>
  <c r="F25" i="101"/>
  <c r="B25" i="101"/>
  <c r="X24" i="101"/>
  <c r="Z24" i="101" s="1"/>
  <c r="L24" i="101"/>
  <c r="N24" i="101" s="1"/>
  <c r="B24" i="101"/>
  <c r="Z23" i="101"/>
  <c r="X23" i="101"/>
  <c r="V23" i="101"/>
  <c r="T23" i="101"/>
  <c r="P23" i="101"/>
  <c r="H23" i="101"/>
  <c r="D23" i="101"/>
  <c r="L23" i="101" s="1"/>
  <c r="B23" i="101"/>
  <c r="X22" i="101"/>
  <c r="Z22" i="101" s="1"/>
  <c r="T22" i="101"/>
  <c r="P22" i="101"/>
  <c r="H22" i="101"/>
  <c r="D22" i="101"/>
  <c r="L22" i="101" s="1"/>
  <c r="D20" i="101"/>
  <c r="X18" i="101"/>
  <c r="Z18" i="101" s="1"/>
  <c r="N18" i="101"/>
  <c r="L18" i="101"/>
  <c r="B18" i="101"/>
  <c r="X17" i="101"/>
  <c r="Z17" i="101" s="1"/>
  <c r="V17" i="101"/>
  <c r="N17" i="101"/>
  <c r="L17" i="101"/>
  <c r="B17" i="101"/>
  <c r="T16" i="101"/>
  <c r="Z16" i="101" s="1"/>
  <c r="P16" i="101"/>
  <c r="X16" i="101" s="1"/>
  <c r="N16" i="101"/>
  <c r="L16" i="101"/>
  <c r="H16" i="101"/>
  <c r="D16" i="101"/>
  <c r="T14" i="101"/>
  <c r="P14" i="101"/>
  <c r="P12" i="101" s="1"/>
  <c r="R60" i="101" s="1"/>
  <c r="H14" i="101"/>
  <c r="D14" i="101"/>
  <c r="L14" i="101" s="1"/>
  <c r="B14" i="101"/>
  <c r="X13" i="101"/>
  <c r="T13" i="101"/>
  <c r="T12" i="101" s="1"/>
  <c r="P13" i="101"/>
  <c r="H13" i="101"/>
  <c r="H12" i="101" s="1"/>
  <c r="D13" i="101"/>
  <c r="D12" i="101" s="1"/>
  <c r="F29" i="101" s="1"/>
  <c r="B13" i="101"/>
  <c r="X12" i="101"/>
  <c r="Z12" i="101" s="1"/>
  <c r="D6" i="101"/>
  <c r="D4" i="101"/>
  <c r="F63" i="100"/>
  <c r="X61" i="100"/>
  <c r="Z61" i="100" s="1"/>
  <c r="L61" i="100"/>
  <c r="N61" i="100" s="1"/>
  <c r="V57" i="100"/>
  <c r="T57" i="100"/>
  <c r="Z57" i="100" s="1"/>
  <c r="P57" i="100"/>
  <c r="X57" i="100" s="1"/>
  <c r="L57" i="100"/>
  <c r="N57" i="100" s="1"/>
  <c r="H57" i="100"/>
  <c r="D57" i="100"/>
  <c r="D56" i="100" s="1"/>
  <c r="L56" i="100" s="1"/>
  <c r="B57" i="100"/>
  <c r="T56" i="100"/>
  <c r="P56" i="100"/>
  <c r="X56" i="100" s="1"/>
  <c r="N56" i="100"/>
  <c r="H56" i="100"/>
  <c r="X54" i="100"/>
  <c r="Z54" i="100" s="1"/>
  <c r="N54" i="100"/>
  <c r="L54" i="100"/>
  <c r="B54" i="100"/>
  <c r="Z53" i="100"/>
  <c r="X53" i="100"/>
  <c r="T53" i="100"/>
  <c r="P53" i="100"/>
  <c r="L53" i="100"/>
  <c r="N53" i="100" s="1"/>
  <c r="H53" i="100"/>
  <c r="D53" i="100"/>
  <c r="B53" i="100"/>
  <c r="Z52" i="100"/>
  <c r="X52" i="100"/>
  <c r="N52" i="100"/>
  <c r="L52" i="100"/>
  <c r="F52" i="100"/>
  <c r="B52" i="100"/>
  <c r="X51" i="100"/>
  <c r="Z51" i="100" s="1"/>
  <c r="N51" i="100"/>
  <c r="L51" i="100"/>
  <c r="B51" i="100"/>
  <c r="X50" i="100"/>
  <c r="Z50" i="100" s="1"/>
  <c r="N50" i="100"/>
  <c r="L50" i="100"/>
  <c r="B50" i="100"/>
  <c r="T49" i="100"/>
  <c r="P49" i="100"/>
  <c r="H49" i="100"/>
  <c r="N49" i="100" s="1"/>
  <c r="D49" i="100"/>
  <c r="B49" i="100"/>
  <c r="X48" i="100"/>
  <c r="Z48" i="100" s="1"/>
  <c r="V48" i="100"/>
  <c r="N48" i="100"/>
  <c r="L48" i="100"/>
  <c r="B48" i="100"/>
  <c r="T47" i="100"/>
  <c r="P47" i="100"/>
  <c r="X47" i="100" s="1"/>
  <c r="N47" i="100"/>
  <c r="L47" i="100"/>
  <c r="H47" i="100"/>
  <c r="D47" i="100"/>
  <c r="B47" i="100"/>
  <c r="X46" i="100"/>
  <c r="Z46" i="100" s="1"/>
  <c r="L46" i="100"/>
  <c r="N46" i="100" s="1"/>
  <c r="B46" i="100"/>
  <c r="Z45" i="100"/>
  <c r="X45" i="100"/>
  <c r="T45" i="100"/>
  <c r="P45" i="100"/>
  <c r="N45" i="100"/>
  <c r="L45" i="100"/>
  <c r="H45" i="100"/>
  <c r="D45" i="100"/>
  <c r="B45" i="100"/>
  <c r="Z44" i="100"/>
  <c r="X44" i="100"/>
  <c r="N44" i="100"/>
  <c r="L44" i="100"/>
  <c r="F44" i="100"/>
  <c r="B44" i="100"/>
  <c r="X43" i="100"/>
  <c r="Z43" i="100" s="1"/>
  <c r="N43" i="100"/>
  <c r="L43" i="100"/>
  <c r="B43" i="100"/>
  <c r="T42" i="100"/>
  <c r="P42" i="100"/>
  <c r="X42" i="100" s="1"/>
  <c r="Z42" i="100" s="1"/>
  <c r="H42" i="100"/>
  <c r="N42" i="100" s="1"/>
  <c r="D42" i="100"/>
  <c r="L42" i="100" s="1"/>
  <c r="B42" i="100"/>
  <c r="Z41" i="100"/>
  <c r="X41" i="100"/>
  <c r="N41" i="100"/>
  <c r="L41" i="100"/>
  <c r="B41" i="100"/>
  <c r="T40" i="100"/>
  <c r="P40" i="100"/>
  <c r="N40" i="100"/>
  <c r="L40" i="100"/>
  <c r="H40" i="100"/>
  <c r="D40" i="100"/>
  <c r="B40" i="100"/>
  <c r="Z39" i="100"/>
  <c r="X39" i="100"/>
  <c r="N39" i="100"/>
  <c r="L39" i="100"/>
  <c r="B39" i="100"/>
  <c r="T38" i="100"/>
  <c r="P38" i="100"/>
  <c r="N38" i="100"/>
  <c r="H38" i="100"/>
  <c r="D38" i="100"/>
  <c r="L38" i="100" s="1"/>
  <c r="B38" i="100"/>
  <c r="Z37" i="100"/>
  <c r="X37" i="100"/>
  <c r="N37" i="100"/>
  <c r="L37" i="100"/>
  <c r="B37" i="100"/>
  <c r="T36" i="100"/>
  <c r="Z36" i="100" s="1"/>
  <c r="P36" i="100"/>
  <c r="X36" i="100" s="1"/>
  <c r="N36" i="100"/>
  <c r="H36" i="100"/>
  <c r="D36" i="100"/>
  <c r="L36" i="100" s="1"/>
  <c r="B36" i="100"/>
  <c r="Z35" i="100"/>
  <c r="X35" i="100"/>
  <c r="N35" i="100"/>
  <c r="L35" i="100"/>
  <c r="B35" i="100"/>
  <c r="V34" i="100"/>
  <c r="T34" i="100"/>
  <c r="P34" i="100"/>
  <c r="X34" i="100" s="1"/>
  <c r="Z34" i="100" s="1"/>
  <c r="L34" i="100"/>
  <c r="H34" i="100"/>
  <c r="N34" i="100" s="1"/>
  <c r="F34" i="100"/>
  <c r="D34" i="100"/>
  <c r="B34" i="100"/>
  <c r="X33" i="100"/>
  <c r="Z33" i="100" s="1"/>
  <c r="N33" i="100"/>
  <c r="L33" i="100"/>
  <c r="F33" i="100"/>
  <c r="B33" i="100"/>
  <c r="T32" i="100"/>
  <c r="P32" i="100"/>
  <c r="L32" i="100"/>
  <c r="H32" i="100"/>
  <c r="N32" i="100" s="1"/>
  <c r="F32" i="100"/>
  <c r="D32" i="100"/>
  <c r="B32" i="100"/>
  <c r="X31" i="100"/>
  <c r="Z31" i="100" s="1"/>
  <c r="N31" i="100"/>
  <c r="L31" i="100"/>
  <c r="B31" i="100"/>
  <c r="T30" i="100"/>
  <c r="P30" i="100"/>
  <c r="X30" i="100" s="1"/>
  <c r="Z30" i="100" s="1"/>
  <c r="N30" i="100"/>
  <c r="H30" i="100"/>
  <c r="D30" i="100"/>
  <c r="L30" i="100" s="1"/>
  <c r="B30" i="100"/>
  <c r="Z29" i="100"/>
  <c r="X29" i="100"/>
  <c r="N29" i="100"/>
  <c r="L29" i="100"/>
  <c r="B29" i="100"/>
  <c r="X28" i="100"/>
  <c r="Z28" i="100" s="1"/>
  <c r="N28" i="100"/>
  <c r="L28" i="100"/>
  <c r="F28" i="100"/>
  <c r="B28" i="100"/>
  <c r="Z27" i="100"/>
  <c r="X27" i="100"/>
  <c r="N27" i="100"/>
  <c r="L27" i="100"/>
  <c r="B27" i="100"/>
  <c r="X26" i="100"/>
  <c r="Z26" i="100" s="1"/>
  <c r="N26" i="100"/>
  <c r="L26" i="100"/>
  <c r="F26" i="100"/>
  <c r="B26" i="100"/>
  <c r="X25" i="100"/>
  <c r="Z25" i="100" s="1"/>
  <c r="T25" i="100"/>
  <c r="P25" i="100"/>
  <c r="H25" i="100"/>
  <c r="N25" i="100" s="1"/>
  <c r="F25" i="100"/>
  <c r="D25" i="100"/>
  <c r="L25" i="100" s="1"/>
  <c r="B25" i="100"/>
  <c r="Z24" i="100"/>
  <c r="X24" i="100"/>
  <c r="N24" i="100"/>
  <c r="L24" i="100"/>
  <c r="F24" i="100"/>
  <c r="B24" i="100"/>
  <c r="X23" i="100"/>
  <c r="Z23" i="100" s="1"/>
  <c r="N23" i="100"/>
  <c r="L23" i="100"/>
  <c r="F23" i="100"/>
  <c r="B23" i="100"/>
  <c r="T22" i="100"/>
  <c r="P22" i="100"/>
  <c r="X22" i="100" s="1"/>
  <c r="N22" i="100"/>
  <c r="H22" i="100"/>
  <c r="F22" i="100"/>
  <c r="D22" i="100"/>
  <c r="B22" i="100"/>
  <c r="T21" i="100"/>
  <c r="P21" i="100"/>
  <c r="X21" i="100" s="1"/>
  <c r="H21" i="100"/>
  <c r="D21" i="100"/>
  <c r="Z17" i="100"/>
  <c r="X17" i="100"/>
  <c r="N17" i="100"/>
  <c r="L17" i="100"/>
  <c r="B17" i="100"/>
  <c r="Z16" i="100"/>
  <c r="X16" i="100"/>
  <c r="N16" i="100"/>
  <c r="L16" i="100"/>
  <c r="F16" i="100"/>
  <c r="B16" i="100"/>
  <c r="V15" i="100"/>
  <c r="T15" i="100"/>
  <c r="P15" i="100"/>
  <c r="N15" i="100"/>
  <c r="H15" i="100"/>
  <c r="F15" i="100"/>
  <c r="D15" i="100"/>
  <c r="T13" i="100"/>
  <c r="P13" i="100"/>
  <c r="H13" i="100"/>
  <c r="N13" i="100" s="1"/>
  <c r="D13" i="100"/>
  <c r="D12" i="100" s="1"/>
  <c r="B13" i="100"/>
  <c r="T12" i="100"/>
  <c r="V61" i="100" s="1"/>
  <c r="D6" i="100"/>
  <c r="D4" i="100"/>
  <c r="Z45" i="99"/>
  <c r="X45" i="99"/>
  <c r="V45" i="99"/>
  <c r="R45" i="99"/>
  <c r="N45" i="99"/>
  <c r="L45" i="99"/>
  <c r="F45" i="99"/>
  <c r="T41" i="99"/>
  <c r="T40" i="99" s="1"/>
  <c r="R41" i="99"/>
  <c r="P41" i="99"/>
  <c r="H41" i="99"/>
  <c r="D41" i="99"/>
  <c r="L41" i="99" s="1"/>
  <c r="N41" i="99" s="1"/>
  <c r="B41" i="99"/>
  <c r="V40" i="99"/>
  <c r="R40" i="99"/>
  <c r="P40" i="99"/>
  <c r="X40" i="99" s="1"/>
  <c r="H40" i="99"/>
  <c r="F40" i="99"/>
  <c r="Z38" i="99"/>
  <c r="X38" i="99"/>
  <c r="R38" i="99"/>
  <c r="L38" i="99"/>
  <c r="N38" i="99" s="1"/>
  <c r="F38" i="99"/>
  <c r="B38" i="99"/>
  <c r="X37" i="99"/>
  <c r="Z37" i="99" s="1"/>
  <c r="T37" i="99"/>
  <c r="P37" i="99"/>
  <c r="N37" i="99"/>
  <c r="L37" i="99"/>
  <c r="H37" i="99"/>
  <c r="F37" i="99"/>
  <c r="D37" i="99"/>
  <c r="B37" i="99"/>
  <c r="Z36" i="99"/>
  <c r="X36" i="99"/>
  <c r="N36" i="99"/>
  <c r="L36" i="99"/>
  <c r="F36" i="99"/>
  <c r="B36" i="99"/>
  <c r="T35" i="99"/>
  <c r="R35" i="99"/>
  <c r="P35" i="99"/>
  <c r="X35" i="99" s="1"/>
  <c r="Z35" i="99" s="1"/>
  <c r="L35" i="99"/>
  <c r="H35" i="99"/>
  <c r="F35" i="99"/>
  <c r="D35" i="99"/>
  <c r="B35" i="99"/>
  <c r="X34" i="99"/>
  <c r="Z34" i="99" s="1"/>
  <c r="R34" i="99"/>
  <c r="N34" i="99"/>
  <c r="L34" i="99"/>
  <c r="F34" i="99"/>
  <c r="B34" i="99"/>
  <c r="T33" i="99"/>
  <c r="P33" i="99"/>
  <c r="X33" i="99" s="1"/>
  <c r="Z33" i="99" s="1"/>
  <c r="H33" i="99"/>
  <c r="N33" i="99" s="1"/>
  <c r="D33" i="99"/>
  <c r="L33" i="99" s="1"/>
  <c r="B33" i="99"/>
  <c r="X32" i="99"/>
  <c r="Z32" i="99" s="1"/>
  <c r="N32" i="99"/>
  <c r="L32" i="99"/>
  <c r="B32" i="99"/>
  <c r="T31" i="99"/>
  <c r="P31" i="99"/>
  <c r="N31" i="99"/>
  <c r="L31" i="99"/>
  <c r="H31" i="99"/>
  <c r="D31" i="99"/>
  <c r="B31" i="99"/>
  <c r="X30" i="99"/>
  <c r="Z30" i="99" s="1"/>
  <c r="R30" i="99"/>
  <c r="L30" i="99"/>
  <c r="N30" i="99" s="1"/>
  <c r="J30" i="99"/>
  <c r="F30" i="99"/>
  <c r="B30" i="99"/>
  <c r="X29" i="99"/>
  <c r="T29" i="99"/>
  <c r="P29" i="99"/>
  <c r="H29" i="99"/>
  <c r="F29" i="99"/>
  <c r="D29" i="99"/>
  <c r="B29" i="99"/>
  <c r="Z28" i="99"/>
  <c r="X28" i="99"/>
  <c r="V28" i="99"/>
  <c r="N28" i="99"/>
  <c r="L28" i="99"/>
  <c r="B28" i="99"/>
  <c r="Z27" i="99"/>
  <c r="X27" i="99"/>
  <c r="R27" i="99"/>
  <c r="L27" i="99"/>
  <c r="N27" i="99" s="1"/>
  <c r="F27" i="99"/>
  <c r="B27" i="99"/>
  <c r="X26" i="99"/>
  <c r="Z26" i="99" s="1"/>
  <c r="N26" i="99"/>
  <c r="L26" i="99"/>
  <c r="F26" i="99"/>
  <c r="B26" i="99"/>
  <c r="X25" i="99"/>
  <c r="Z25" i="99" s="1"/>
  <c r="V25" i="99"/>
  <c r="L25" i="99"/>
  <c r="N25" i="99" s="1"/>
  <c r="B25" i="99"/>
  <c r="X24" i="99"/>
  <c r="Z24" i="99" s="1"/>
  <c r="V24" i="99"/>
  <c r="N24" i="99"/>
  <c r="L24" i="99"/>
  <c r="B24" i="99"/>
  <c r="Z23" i="99"/>
  <c r="X23" i="99"/>
  <c r="R23" i="99"/>
  <c r="L23" i="99"/>
  <c r="N23" i="99" s="1"/>
  <c r="F23" i="99"/>
  <c r="B23" i="99"/>
  <c r="X22" i="99"/>
  <c r="Z22" i="99" s="1"/>
  <c r="V22" i="99"/>
  <c r="N22" i="99"/>
  <c r="L22" i="99"/>
  <c r="F22" i="99"/>
  <c r="B22" i="99"/>
  <c r="Z21" i="99"/>
  <c r="X21" i="99"/>
  <c r="L21" i="99"/>
  <c r="N21" i="99" s="1"/>
  <c r="B21" i="99"/>
  <c r="X20" i="99"/>
  <c r="V20" i="99"/>
  <c r="T20" i="99"/>
  <c r="R20" i="99"/>
  <c r="P20" i="99"/>
  <c r="L20" i="99"/>
  <c r="H20" i="99"/>
  <c r="F20" i="99"/>
  <c r="D20" i="99"/>
  <c r="B20" i="99"/>
  <c r="X19" i="99"/>
  <c r="V19" i="99"/>
  <c r="T19" i="99"/>
  <c r="R19" i="99"/>
  <c r="P19" i="99"/>
  <c r="H19" i="99"/>
  <c r="D19" i="99"/>
  <c r="V17" i="99"/>
  <c r="T17" i="99"/>
  <c r="T43" i="99" s="1"/>
  <c r="R17" i="99"/>
  <c r="Z15" i="99"/>
  <c r="X15" i="99"/>
  <c r="V15" i="99"/>
  <c r="N15" i="99"/>
  <c r="L15" i="99"/>
  <c r="F15" i="99"/>
  <c r="B15" i="99"/>
  <c r="T14" i="99"/>
  <c r="R14" i="99"/>
  <c r="P14" i="99"/>
  <c r="H14" i="99"/>
  <c r="N14" i="99" s="1"/>
  <c r="F14" i="99"/>
  <c r="D14" i="99"/>
  <c r="D17" i="99" s="1"/>
  <c r="Z12" i="99"/>
  <c r="T12" i="99"/>
  <c r="V37" i="99" s="1"/>
  <c r="P12" i="99"/>
  <c r="R47" i="99" s="1"/>
  <c r="H12" i="99"/>
  <c r="D12" i="99"/>
  <c r="F33" i="99" s="1"/>
  <c r="D6" i="99"/>
  <c r="D4" i="99"/>
  <c r="X45" i="98"/>
  <c r="Z45" i="98" s="1"/>
  <c r="L45" i="98"/>
  <c r="N45" i="98" s="1"/>
  <c r="Z41" i="98"/>
  <c r="T41" i="98"/>
  <c r="P41" i="98"/>
  <c r="X41" i="98" s="1"/>
  <c r="H41" i="98"/>
  <c r="N41" i="98" s="1"/>
  <c r="F41" i="98"/>
  <c r="D41" i="98"/>
  <c r="L41" i="98" s="1"/>
  <c r="Z39" i="98"/>
  <c r="X39" i="98"/>
  <c r="N39" i="98"/>
  <c r="L39" i="98"/>
  <c r="B39" i="98"/>
  <c r="T38" i="98"/>
  <c r="P38" i="98"/>
  <c r="N38" i="98"/>
  <c r="L38" i="98"/>
  <c r="H38" i="98"/>
  <c r="D38" i="98"/>
  <c r="B38" i="98"/>
  <c r="X37" i="98"/>
  <c r="Z37" i="98" s="1"/>
  <c r="N37" i="98"/>
  <c r="L37" i="98"/>
  <c r="B37" i="98"/>
  <c r="T36" i="98"/>
  <c r="P36" i="98"/>
  <c r="X36" i="98" s="1"/>
  <c r="Z36" i="98" s="1"/>
  <c r="N36" i="98"/>
  <c r="L36" i="98"/>
  <c r="H36" i="98"/>
  <c r="F36" i="98"/>
  <c r="D36" i="98"/>
  <c r="B36" i="98"/>
  <c r="X35" i="98"/>
  <c r="Z35" i="98" s="1"/>
  <c r="N35" i="98"/>
  <c r="L35" i="98"/>
  <c r="B35" i="98"/>
  <c r="T34" i="98"/>
  <c r="R34" i="98"/>
  <c r="P34" i="98"/>
  <c r="X34" i="98" s="1"/>
  <c r="Z34" i="98" s="1"/>
  <c r="N34" i="98"/>
  <c r="L34" i="98"/>
  <c r="H34" i="98"/>
  <c r="D34" i="98"/>
  <c r="B34" i="98"/>
  <c r="X33" i="98"/>
  <c r="Z33" i="98" s="1"/>
  <c r="L33" i="98"/>
  <c r="N33" i="98" s="1"/>
  <c r="B33" i="98"/>
  <c r="X32" i="98"/>
  <c r="Z32" i="98" s="1"/>
  <c r="V32" i="98"/>
  <c r="N32" i="98"/>
  <c r="L32" i="98"/>
  <c r="B32" i="98"/>
  <c r="Z31" i="98"/>
  <c r="X31" i="98"/>
  <c r="L31" i="98"/>
  <c r="N31" i="98" s="1"/>
  <c r="B31" i="98"/>
  <c r="Z30" i="98"/>
  <c r="X30" i="98"/>
  <c r="L30" i="98"/>
  <c r="N30" i="98" s="1"/>
  <c r="B30" i="98"/>
  <c r="T29" i="98"/>
  <c r="P29" i="98"/>
  <c r="X29" i="98" s="1"/>
  <c r="H29" i="98"/>
  <c r="D29" i="98"/>
  <c r="L29" i="98" s="1"/>
  <c r="N29" i="98" s="1"/>
  <c r="B29" i="98"/>
  <c r="Z28" i="98"/>
  <c r="X28" i="98"/>
  <c r="L28" i="98"/>
  <c r="N28" i="98" s="1"/>
  <c r="B28" i="98"/>
  <c r="X27" i="98"/>
  <c r="Z27" i="98" s="1"/>
  <c r="L27" i="98"/>
  <c r="N27" i="98" s="1"/>
  <c r="B27" i="98"/>
  <c r="X26" i="98"/>
  <c r="Z26" i="98" s="1"/>
  <c r="N26" i="98"/>
  <c r="L26" i="98"/>
  <c r="B26" i="98"/>
  <c r="X25" i="98"/>
  <c r="Z25" i="98" s="1"/>
  <c r="N25" i="98"/>
  <c r="L25" i="98"/>
  <c r="B25" i="98"/>
  <c r="Z24" i="98"/>
  <c r="X24" i="98"/>
  <c r="N24" i="98"/>
  <c r="L24" i="98"/>
  <c r="B24" i="98"/>
  <c r="X23" i="98"/>
  <c r="Z23" i="98" s="1"/>
  <c r="R23" i="98"/>
  <c r="L23" i="98"/>
  <c r="N23" i="98" s="1"/>
  <c r="B23" i="98"/>
  <c r="X22" i="98"/>
  <c r="Z22" i="98" s="1"/>
  <c r="N22" i="98"/>
  <c r="L22" i="98"/>
  <c r="B22" i="98"/>
  <c r="Z21" i="98"/>
  <c r="X21" i="98"/>
  <c r="V21" i="98"/>
  <c r="T21" i="98"/>
  <c r="P21" i="98"/>
  <c r="H21" i="98"/>
  <c r="D21" i="98"/>
  <c r="B21" i="98"/>
  <c r="X20" i="98"/>
  <c r="Z20" i="98" s="1"/>
  <c r="T20" i="98"/>
  <c r="P20" i="98"/>
  <c r="H20" i="98"/>
  <c r="D20" i="98"/>
  <c r="L20" i="98" s="1"/>
  <c r="N20" i="98" s="1"/>
  <c r="Z16" i="98"/>
  <c r="X16" i="98"/>
  <c r="T16" i="98"/>
  <c r="P16" i="98"/>
  <c r="N16" i="98"/>
  <c r="H16" i="98"/>
  <c r="D16" i="98"/>
  <c r="L16" i="98" s="1"/>
  <c r="X14" i="98"/>
  <c r="Z14" i="98" s="1"/>
  <c r="T14" i="98"/>
  <c r="P14" i="98"/>
  <c r="H14" i="98"/>
  <c r="D14" i="98"/>
  <c r="B14" i="98"/>
  <c r="X13" i="98"/>
  <c r="T13" i="98"/>
  <c r="P13" i="98"/>
  <c r="P12" i="98" s="1"/>
  <c r="R35" i="98" s="1"/>
  <c r="H13" i="98"/>
  <c r="L13" i="98" s="1"/>
  <c r="N13" i="98" s="1"/>
  <c r="D13" i="98"/>
  <c r="B13" i="98"/>
  <c r="T12" i="98"/>
  <c r="V38" i="98" s="1"/>
  <c r="H12" i="98"/>
  <c r="D12" i="98"/>
  <c r="F23" i="98" s="1"/>
  <c r="D6" i="98"/>
  <c r="D4" i="98"/>
  <c r="X82" i="97"/>
  <c r="Z82" i="97" s="1"/>
  <c r="N82" i="97"/>
  <c r="L82" i="97"/>
  <c r="Z78" i="97"/>
  <c r="T78" i="97"/>
  <c r="T77" i="97" s="1"/>
  <c r="Z77" i="97" s="1"/>
  <c r="P78" i="97"/>
  <c r="N78" i="97"/>
  <c r="H78" i="97"/>
  <c r="D78" i="97"/>
  <c r="L78" i="97" s="1"/>
  <c r="B78" i="97"/>
  <c r="P77" i="97"/>
  <c r="X77" i="97" s="1"/>
  <c r="H77" i="97"/>
  <c r="N77" i="97" s="1"/>
  <c r="D77" i="97"/>
  <c r="L77" i="97" s="1"/>
  <c r="Z75" i="97"/>
  <c r="X75" i="97"/>
  <c r="N75" i="97"/>
  <c r="L75" i="97"/>
  <c r="B75" i="97"/>
  <c r="T74" i="97"/>
  <c r="P74" i="97"/>
  <c r="X74" i="97" s="1"/>
  <c r="Z74" i="97" s="1"/>
  <c r="N74" i="97"/>
  <c r="L74" i="97"/>
  <c r="H74" i="97"/>
  <c r="D74" i="97"/>
  <c r="B74" i="97"/>
  <c r="Z73" i="97"/>
  <c r="X73" i="97"/>
  <c r="N73" i="97"/>
  <c r="L73" i="97"/>
  <c r="B73" i="97"/>
  <c r="T72" i="97"/>
  <c r="P72" i="97"/>
  <c r="X72" i="97" s="1"/>
  <c r="Z72" i="97" s="1"/>
  <c r="L72" i="97"/>
  <c r="N72" i="97" s="1"/>
  <c r="H72" i="97"/>
  <c r="D72" i="97"/>
  <c r="B72" i="97"/>
  <c r="X71" i="97"/>
  <c r="Z71" i="97" s="1"/>
  <c r="N71" i="97"/>
  <c r="L71" i="97"/>
  <c r="B71" i="97"/>
  <c r="Z70" i="97"/>
  <c r="X70" i="97"/>
  <c r="L70" i="97"/>
  <c r="N70" i="97" s="1"/>
  <c r="B70" i="97"/>
  <c r="Z69" i="97"/>
  <c r="X69" i="97"/>
  <c r="N69" i="97"/>
  <c r="L69" i="97"/>
  <c r="B69" i="97"/>
  <c r="X68" i="97"/>
  <c r="Z68" i="97" s="1"/>
  <c r="V68" i="97"/>
  <c r="L68" i="97"/>
  <c r="N68" i="97" s="1"/>
  <c r="B68" i="97"/>
  <c r="X67" i="97"/>
  <c r="Z67" i="97" s="1"/>
  <c r="L67" i="97"/>
  <c r="N67" i="97" s="1"/>
  <c r="B67" i="97"/>
  <c r="Z66" i="97"/>
  <c r="X66" i="97"/>
  <c r="N66" i="97"/>
  <c r="L66" i="97"/>
  <c r="B66" i="97"/>
  <c r="T65" i="97"/>
  <c r="P65" i="97"/>
  <c r="L65" i="97"/>
  <c r="H65" i="97"/>
  <c r="D65" i="97"/>
  <c r="B65" i="97"/>
  <c r="X64" i="97"/>
  <c r="Z64" i="97" s="1"/>
  <c r="N64" i="97"/>
  <c r="L64" i="97"/>
  <c r="B64" i="97"/>
  <c r="Z63" i="97"/>
  <c r="X63" i="97"/>
  <c r="T63" i="97"/>
  <c r="P63" i="97"/>
  <c r="H63" i="97"/>
  <c r="D63" i="97"/>
  <c r="L63" i="97" s="1"/>
  <c r="B63" i="97"/>
  <c r="X62" i="97"/>
  <c r="Z62" i="97" s="1"/>
  <c r="N62" i="97"/>
  <c r="L62" i="97"/>
  <c r="B62" i="97"/>
  <c r="X61" i="97"/>
  <c r="Z61" i="97" s="1"/>
  <c r="N61" i="97"/>
  <c r="L61" i="97"/>
  <c r="B61" i="97"/>
  <c r="Z60" i="97"/>
  <c r="X60" i="97"/>
  <c r="L60" i="97"/>
  <c r="N60" i="97" s="1"/>
  <c r="B60" i="97"/>
  <c r="T59" i="97"/>
  <c r="P59" i="97"/>
  <c r="X59" i="97" s="1"/>
  <c r="N59" i="97"/>
  <c r="L59" i="97"/>
  <c r="H59" i="97"/>
  <c r="D59" i="97"/>
  <c r="B59" i="97"/>
  <c r="Z58" i="97"/>
  <c r="X58" i="97"/>
  <c r="N58" i="97"/>
  <c r="L58" i="97"/>
  <c r="B58" i="97"/>
  <c r="Z57" i="97"/>
  <c r="X57" i="97"/>
  <c r="N57" i="97"/>
  <c r="L57" i="97"/>
  <c r="B57" i="97"/>
  <c r="Z56" i="97"/>
  <c r="X56" i="97"/>
  <c r="V56" i="97"/>
  <c r="N56" i="97"/>
  <c r="L56" i="97"/>
  <c r="B56" i="97"/>
  <c r="T55" i="97"/>
  <c r="P55" i="97"/>
  <c r="X55" i="97" s="1"/>
  <c r="N55" i="97"/>
  <c r="H55" i="97"/>
  <c r="D55" i="97"/>
  <c r="L55" i="97" s="1"/>
  <c r="B55" i="97"/>
  <c r="X54" i="97"/>
  <c r="Z54" i="97" s="1"/>
  <c r="V54" i="97"/>
  <c r="N54" i="97"/>
  <c r="L54" i="97"/>
  <c r="B54" i="97"/>
  <c r="X53" i="97"/>
  <c r="Z53" i="97" s="1"/>
  <c r="N53" i="97"/>
  <c r="L53" i="97"/>
  <c r="B53" i="97"/>
  <c r="X52" i="97"/>
  <c r="Z52" i="97" s="1"/>
  <c r="V52" i="97"/>
  <c r="T52" i="97"/>
  <c r="P52" i="97"/>
  <c r="H52" i="97"/>
  <c r="D52" i="97"/>
  <c r="L52" i="97" s="1"/>
  <c r="N52" i="97" s="1"/>
  <c r="B52" i="97"/>
  <c r="X51" i="97"/>
  <c r="Z51" i="97" s="1"/>
  <c r="L51" i="97"/>
  <c r="N51" i="97" s="1"/>
  <c r="B51" i="97"/>
  <c r="T50" i="97"/>
  <c r="X50" i="97" s="1"/>
  <c r="Z50" i="97" s="1"/>
  <c r="P50" i="97"/>
  <c r="H50" i="97"/>
  <c r="D50" i="97"/>
  <c r="L50" i="97" s="1"/>
  <c r="N50" i="97" s="1"/>
  <c r="B50" i="97"/>
  <c r="Z49" i="97"/>
  <c r="X49" i="97"/>
  <c r="N49" i="97"/>
  <c r="L49" i="97"/>
  <c r="B49" i="97"/>
  <c r="X48" i="97"/>
  <c r="V48" i="97"/>
  <c r="T48" i="97"/>
  <c r="Z48" i="97" s="1"/>
  <c r="P48" i="97"/>
  <c r="N48" i="97"/>
  <c r="H48" i="97"/>
  <c r="D48" i="97"/>
  <c r="L48" i="97" s="1"/>
  <c r="B48" i="97"/>
  <c r="Z47" i="97"/>
  <c r="X47" i="97"/>
  <c r="V47" i="97"/>
  <c r="L47" i="97"/>
  <c r="N47" i="97" s="1"/>
  <c r="B47" i="97"/>
  <c r="X46" i="97"/>
  <c r="Z46" i="97" s="1"/>
  <c r="L46" i="97"/>
  <c r="N46" i="97" s="1"/>
  <c r="B46" i="97"/>
  <c r="T45" i="97"/>
  <c r="P45" i="97"/>
  <c r="H45" i="97"/>
  <c r="D45" i="97"/>
  <c r="L45" i="97" s="1"/>
  <c r="N45" i="97" s="1"/>
  <c r="B45" i="97"/>
  <c r="Z44" i="97"/>
  <c r="X44" i="97"/>
  <c r="V44" i="97"/>
  <c r="N44" i="97"/>
  <c r="L44" i="97"/>
  <c r="B44" i="97"/>
  <c r="T43" i="97"/>
  <c r="P43" i="97"/>
  <c r="X43" i="97" s="1"/>
  <c r="Z43" i="97" s="1"/>
  <c r="N43" i="97"/>
  <c r="L43" i="97"/>
  <c r="H43" i="97"/>
  <c r="D43" i="97"/>
  <c r="B43" i="97"/>
  <c r="Z42" i="97"/>
  <c r="X42" i="97"/>
  <c r="V42" i="97"/>
  <c r="L42" i="97"/>
  <c r="N42" i="97" s="1"/>
  <c r="B42" i="97"/>
  <c r="T41" i="97"/>
  <c r="P41" i="97"/>
  <c r="X41" i="97" s="1"/>
  <c r="Z41" i="97" s="1"/>
  <c r="H41" i="97"/>
  <c r="D41" i="97"/>
  <c r="L41" i="97" s="1"/>
  <c r="B41" i="97"/>
  <c r="X40" i="97"/>
  <c r="Z40" i="97" s="1"/>
  <c r="N40" i="97"/>
  <c r="L40" i="97"/>
  <c r="B40" i="97"/>
  <c r="X39" i="97"/>
  <c r="T39" i="97"/>
  <c r="P39" i="97"/>
  <c r="H39" i="97"/>
  <c r="D39" i="97"/>
  <c r="L39" i="97" s="1"/>
  <c r="B39" i="97"/>
  <c r="Z38" i="97"/>
  <c r="X38" i="97"/>
  <c r="V38" i="97"/>
  <c r="N38" i="97"/>
  <c r="L38" i="97"/>
  <c r="B38" i="97"/>
  <c r="X37" i="97"/>
  <c r="Z37" i="97" s="1"/>
  <c r="V37" i="97"/>
  <c r="N37" i="97"/>
  <c r="L37" i="97"/>
  <c r="F37" i="97"/>
  <c r="B37" i="97"/>
  <c r="Z36" i="97"/>
  <c r="X36" i="97"/>
  <c r="L36" i="97"/>
  <c r="N36" i="97" s="1"/>
  <c r="F36" i="97"/>
  <c r="B36" i="97"/>
  <c r="X35" i="97"/>
  <c r="Z35" i="97" s="1"/>
  <c r="L35" i="97"/>
  <c r="N35" i="97" s="1"/>
  <c r="B35" i="97"/>
  <c r="X34" i="97"/>
  <c r="Z34" i="97" s="1"/>
  <c r="N34" i="97"/>
  <c r="L34" i="97"/>
  <c r="B34" i="97"/>
  <c r="X33" i="97"/>
  <c r="Z33" i="97" s="1"/>
  <c r="L33" i="97"/>
  <c r="N33" i="97" s="1"/>
  <c r="B33" i="97"/>
  <c r="T32" i="97"/>
  <c r="P32" i="97"/>
  <c r="X32" i="97" s="1"/>
  <c r="H32" i="97"/>
  <c r="D32" i="97"/>
  <c r="L32" i="97" s="1"/>
  <c r="B32" i="97"/>
  <c r="Z31" i="97"/>
  <c r="X31" i="97"/>
  <c r="V31" i="97"/>
  <c r="N31" i="97"/>
  <c r="L31" i="97"/>
  <c r="B31" i="97"/>
  <c r="X30" i="97"/>
  <c r="Z30" i="97" s="1"/>
  <c r="N30" i="97"/>
  <c r="L30" i="97"/>
  <c r="F30" i="97"/>
  <c r="B30" i="97"/>
  <c r="X29" i="97"/>
  <c r="Z29" i="97" s="1"/>
  <c r="V29" i="97"/>
  <c r="N29" i="97"/>
  <c r="L29" i="97"/>
  <c r="F29" i="97"/>
  <c r="B29" i="97"/>
  <c r="X28" i="97"/>
  <c r="Z28" i="97" s="1"/>
  <c r="L28" i="97"/>
  <c r="N28" i="97" s="1"/>
  <c r="B28" i="97"/>
  <c r="X27" i="97"/>
  <c r="Z27" i="97" s="1"/>
  <c r="V27" i="97"/>
  <c r="N27" i="97"/>
  <c r="L27" i="97"/>
  <c r="B27" i="97"/>
  <c r="X26" i="97"/>
  <c r="Z26" i="97" s="1"/>
  <c r="L26" i="97"/>
  <c r="N26" i="97" s="1"/>
  <c r="B26" i="97"/>
  <c r="X25" i="97"/>
  <c r="Z25" i="97" s="1"/>
  <c r="V25" i="97"/>
  <c r="N25" i="97"/>
  <c r="L25" i="97"/>
  <c r="F25" i="97"/>
  <c r="B25" i="97"/>
  <c r="X24" i="97"/>
  <c r="Z24" i="97" s="1"/>
  <c r="L24" i="97"/>
  <c r="N24" i="97" s="1"/>
  <c r="F24" i="97"/>
  <c r="B24" i="97"/>
  <c r="X23" i="97"/>
  <c r="Z23" i="97" s="1"/>
  <c r="V23" i="97"/>
  <c r="T23" i="97"/>
  <c r="P23" i="97"/>
  <c r="L23" i="97"/>
  <c r="H23" i="97"/>
  <c r="N23" i="97" s="1"/>
  <c r="F23" i="97"/>
  <c r="D23" i="97"/>
  <c r="B23" i="97"/>
  <c r="T22" i="97"/>
  <c r="P22" i="97"/>
  <c r="H22" i="97"/>
  <c r="D22" i="97"/>
  <c r="T20" i="97"/>
  <c r="D20" i="97"/>
  <c r="X18" i="97"/>
  <c r="Z18" i="97" s="1"/>
  <c r="L18" i="97"/>
  <c r="N18" i="97" s="1"/>
  <c r="F18" i="97"/>
  <c r="B18" i="97"/>
  <c r="Z17" i="97"/>
  <c r="X17" i="97"/>
  <c r="V17" i="97"/>
  <c r="R17" i="97"/>
  <c r="N17" i="97"/>
  <c r="L17" i="97"/>
  <c r="B17" i="97"/>
  <c r="T16" i="97"/>
  <c r="P16" i="97"/>
  <c r="X16" i="97" s="1"/>
  <c r="H16" i="97"/>
  <c r="D16" i="97"/>
  <c r="X14" i="97"/>
  <c r="Z14" i="97" s="1"/>
  <c r="T14" i="97"/>
  <c r="P14" i="97"/>
  <c r="P12" i="97" s="1"/>
  <c r="H14" i="97"/>
  <c r="D14" i="97"/>
  <c r="B14" i="97"/>
  <c r="T13" i="97"/>
  <c r="P13" i="97"/>
  <c r="X13" i="97" s="1"/>
  <c r="Z13" i="97" s="1"/>
  <c r="H13" i="97"/>
  <c r="D13" i="97"/>
  <c r="B13" i="97"/>
  <c r="T12" i="97"/>
  <c r="V72" i="97" s="1"/>
  <c r="D12" i="97"/>
  <c r="F33" i="97" s="1"/>
  <c r="D6" i="97"/>
  <c r="D4" i="97"/>
  <c r="X89" i="95"/>
  <c r="Z89" i="95" s="1"/>
  <c r="L89" i="95"/>
  <c r="N89" i="95" s="1"/>
  <c r="T85" i="95"/>
  <c r="Z85" i="95" s="1"/>
  <c r="P85" i="95"/>
  <c r="N85" i="95"/>
  <c r="L85" i="95"/>
  <c r="H85" i="95"/>
  <c r="D85" i="95"/>
  <c r="X83" i="95"/>
  <c r="Z83" i="95" s="1"/>
  <c r="L83" i="95"/>
  <c r="N83" i="95" s="1"/>
  <c r="B83" i="95"/>
  <c r="Z82" i="95"/>
  <c r="V82" i="95"/>
  <c r="T82" i="95"/>
  <c r="P82" i="95"/>
  <c r="X82" i="95" s="1"/>
  <c r="N82" i="95"/>
  <c r="H82" i="95"/>
  <c r="D82" i="95"/>
  <c r="L82" i="95" s="1"/>
  <c r="B82" i="95"/>
  <c r="X81" i="95"/>
  <c r="Z81" i="95" s="1"/>
  <c r="R81" i="95"/>
  <c r="N81" i="95"/>
  <c r="L81" i="95"/>
  <c r="B81" i="95"/>
  <c r="T80" i="95"/>
  <c r="P80" i="95"/>
  <c r="X80" i="95" s="1"/>
  <c r="Z80" i="95" s="1"/>
  <c r="N80" i="95"/>
  <c r="H80" i="95"/>
  <c r="D80" i="95"/>
  <c r="L80" i="95" s="1"/>
  <c r="B80" i="95"/>
  <c r="X79" i="95"/>
  <c r="Z79" i="95" s="1"/>
  <c r="N79" i="95"/>
  <c r="L79" i="95"/>
  <c r="B79" i="95"/>
  <c r="X78" i="95"/>
  <c r="T78" i="95"/>
  <c r="Z78" i="95" s="1"/>
  <c r="R78" i="95"/>
  <c r="P78" i="95"/>
  <c r="L78" i="95"/>
  <c r="N78" i="95" s="1"/>
  <c r="H78" i="95"/>
  <c r="D78" i="95"/>
  <c r="B78" i="95"/>
  <c r="X77" i="95"/>
  <c r="Z77" i="95" s="1"/>
  <c r="R77" i="95"/>
  <c r="L77" i="95"/>
  <c r="N77" i="95" s="1"/>
  <c r="B77" i="95"/>
  <c r="Z76" i="95"/>
  <c r="X76" i="95"/>
  <c r="N76" i="95"/>
  <c r="L76" i="95"/>
  <c r="B76" i="95"/>
  <c r="Z75" i="95"/>
  <c r="X75" i="95"/>
  <c r="L75" i="95"/>
  <c r="N75" i="95" s="1"/>
  <c r="B75" i="95"/>
  <c r="Z74" i="95"/>
  <c r="X74" i="95"/>
  <c r="N74" i="95"/>
  <c r="L74" i="95"/>
  <c r="B74" i="95"/>
  <c r="X73" i="95"/>
  <c r="Z73" i="95" s="1"/>
  <c r="L73" i="95"/>
  <c r="N73" i="95" s="1"/>
  <c r="B73" i="95"/>
  <c r="Z72" i="95"/>
  <c r="X72" i="95"/>
  <c r="R72" i="95"/>
  <c r="N72" i="95"/>
  <c r="L72" i="95"/>
  <c r="B72" i="95"/>
  <c r="Z71" i="95"/>
  <c r="X71" i="95"/>
  <c r="N71" i="95"/>
  <c r="L71" i="95"/>
  <c r="B71" i="95"/>
  <c r="Z70" i="95"/>
  <c r="X70" i="95"/>
  <c r="L70" i="95"/>
  <c r="N70" i="95" s="1"/>
  <c r="B70" i="95"/>
  <c r="T69" i="95"/>
  <c r="P69" i="95"/>
  <c r="L69" i="95"/>
  <c r="N69" i="95" s="1"/>
  <c r="H69" i="95"/>
  <c r="D69" i="95"/>
  <c r="B69" i="95"/>
  <c r="Z68" i="95"/>
  <c r="X68" i="95"/>
  <c r="L68" i="95"/>
  <c r="N68" i="95" s="1"/>
  <c r="B68" i="95"/>
  <c r="T67" i="95"/>
  <c r="P67" i="95"/>
  <c r="X67" i="95" s="1"/>
  <c r="H67" i="95"/>
  <c r="D67" i="95"/>
  <c r="L67" i="95" s="1"/>
  <c r="B67" i="95"/>
  <c r="X66" i="95"/>
  <c r="Z66" i="95" s="1"/>
  <c r="N66" i="95"/>
  <c r="L66" i="95"/>
  <c r="B66" i="95"/>
  <c r="X65" i="95"/>
  <c r="Z65" i="95" s="1"/>
  <c r="N65" i="95"/>
  <c r="L65" i="95"/>
  <c r="B65" i="95"/>
  <c r="X64" i="95"/>
  <c r="Z64" i="95" s="1"/>
  <c r="N64" i="95"/>
  <c r="L64" i="95"/>
  <c r="B64" i="95"/>
  <c r="Z63" i="95"/>
  <c r="X63" i="95"/>
  <c r="N63" i="95"/>
  <c r="L63" i="95"/>
  <c r="B63" i="95"/>
  <c r="X62" i="95"/>
  <c r="Z62" i="95" s="1"/>
  <c r="R62" i="95"/>
  <c r="N62" i="95"/>
  <c r="L62" i="95"/>
  <c r="B62" i="95"/>
  <c r="T61" i="95"/>
  <c r="P61" i="95"/>
  <c r="X61" i="95" s="1"/>
  <c r="Z61" i="95" s="1"/>
  <c r="L61" i="95"/>
  <c r="H61" i="95"/>
  <c r="D61" i="95"/>
  <c r="B61" i="95"/>
  <c r="Z60" i="95"/>
  <c r="X60" i="95"/>
  <c r="N60" i="95"/>
  <c r="L60" i="95"/>
  <c r="B60" i="95"/>
  <c r="Z59" i="95"/>
  <c r="X59" i="95"/>
  <c r="L59" i="95"/>
  <c r="N59" i="95" s="1"/>
  <c r="B59" i="95"/>
  <c r="Z58" i="95"/>
  <c r="X58" i="95"/>
  <c r="R58" i="95"/>
  <c r="N58" i="95"/>
  <c r="L58" i="95"/>
  <c r="B58" i="95"/>
  <c r="T57" i="95"/>
  <c r="P57" i="95"/>
  <c r="X57" i="95" s="1"/>
  <c r="Z57" i="95" s="1"/>
  <c r="H57" i="95"/>
  <c r="D57" i="95"/>
  <c r="B57" i="95"/>
  <c r="X56" i="95"/>
  <c r="Z56" i="95" s="1"/>
  <c r="L56" i="95"/>
  <c r="N56" i="95" s="1"/>
  <c r="B56" i="95"/>
  <c r="X55" i="95"/>
  <c r="V55" i="95"/>
  <c r="T55" i="95"/>
  <c r="P55" i="95"/>
  <c r="L55" i="95"/>
  <c r="H55" i="95"/>
  <c r="D55" i="95"/>
  <c r="B55" i="95"/>
  <c r="X54" i="95"/>
  <c r="Z54" i="95" s="1"/>
  <c r="V54" i="95"/>
  <c r="N54" i="95"/>
  <c r="L54" i="95"/>
  <c r="B54" i="95"/>
  <c r="T53" i="95"/>
  <c r="P53" i="95"/>
  <c r="X53" i="95" s="1"/>
  <c r="Z53" i="95" s="1"/>
  <c r="H53" i="95"/>
  <c r="D53" i="95"/>
  <c r="L53" i="95" s="1"/>
  <c r="N53" i="95" s="1"/>
  <c r="B53" i="95"/>
  <c r="Z52" i="95"/>
  <c r="X52" i="95"/>
  <c r="L52" i="95"/>
  <c r="N52" i="95" s="1"/>
  <c r="B52" i="95"/>
  <c r="X51" i="95"/>
  <c r="Z51" i="95" s="1"/>
  <c r="T51" i="95"/>
  <c r="P51" i="95"/>
  <c r="H51" i="95"/>
  <c r="D51" i="95"/>
  <c r="L51" i="95" s="1"/>
  <c r="B51" i="95"/>
  <c r="X50" i="95"/>
  <c r="Z50" i="95" s="1"/>
  <c r="N50" i="95"/>
  <c r="L50" i="95"/>
  <c r="B50" i="95"/>
  <c r="T49" i="95"/>
  <c r="R49" i="95"/>
  <c r="P49" i="95"/>
  <c r="X49" i="95" s="1"/>
  <c r="H49" i="95"/>
  <c r="D49" i="95"/>
  <c r="B49" i="95"/>
  <c r="Z48" i="95"/>
  <c r="X48" i="95"/>
  <c r="R48" i="95"/>
  <c r="N48" i="95"/>
  <c r="L48" i="95"/>
  <c r="B48" i="95"/>
  <c r="T47" i="95"/>
  <c r="P47" i="95"/>
  <c r="X47" i="95" s="1"/>
  <c r="L47" i="95"/>
  <c r="H47" i="95"/>
  <c r="D47" i="95"/>
  <c r="B47" i="95"/>
  <c r="Z46" i="95"/>
  <c r="X46" i="95"/>
  <c r="N46" i="95"/>
  <c r="L46" i="95"/>
  <c r="B46" i="95"/>
  <c r="Z45" i="95"/>
  <c r="X45" i="95"/>
  <c r="L45" i="95"/>
  <c r="N45" i="95" s="1"/>
  <c r="B45" i="95"/>
  <c r="T44" i="95"/>
  <c r="R44" i="95"/>
  <c r="P44" i="95"/>
  <c r="X44" i="95" s="1"/>
  <c r="H44" i="95"/>
  <c r="D44" i="95"/>
  <c r="B44" i="95"/>
  <c r="X43" i="95"/>
  <c r="Z43" i="95" s="1"/>
  <c r="L43" i="95"/>
  <c r="N43" i="95" s="1"/>
  <c r="B43" i="95"/>
  <c r="X42" i="95"/>
  <c r="Z42" i="95" s="1"/>
  <c r="T42" i="95"/>
  <c r="P42" i="95"/>
  <c r="H42" i="95"/>
  <c r="D42" i="95"/>
  <c r="L42" i="95" s="1"/>
  <c r="N42" i="95" s="1"/>
  <c r="B42" i="95"/>
  <c r="X41" i="95"/>
  <c r="Z41" i="95" s="1"/>
  <c r="L41" i="95"/>
  <c r="N41" i="95" s="1"/>
  <c r="B41" i="95"/>
  <c r="X40" i="95"/>
  <c r="Z40" i="95" s="1"/>
  <c r="T40" i="95"/>
  <c r="P40" i="95"/>
  <c r="H40" i="95"/>
  <c r="D40" i="95"/>
  <c r="B40" i="95"/>
  <c r="Z39" i="95"/>
  <c r="X39" i="95"/>
  <c r="L39" i="95"/>
  <c r="N39" i="95" s="1"/>
  <c r="B39" i="95"/>
  <c r="T38" i="95"/>
  <c r="P38" i="95"/>
  <c r="X38" i="95" s="1"/>
  <c r="Z38" i="95" s="1"/>
  <c r="H38" i="95"/>
  <c r="D38" i="95"/>
  <c r="B38" i="95"/>
  <c r="X37" i="95"/>
  <c r="Z37" i="95" s="1"/>
  <c r="L37" i="95"/>
  <c r="N37" i="95" s="1"/>
  <c r="B37" i="95"/>
  <c r="X36" i="95"/>
  <c r="Z36" i="95" s="1"/>
  <c r="N36" i="95"/>
  <c r="L36" i="95"/>
  <c r="B36" i="95"/>
  <c r="X35" i="95"/>
  <c r="Z35" i="95" s="1"/>
  <c r="V35" i="95"/>
  <c r="L35" i="95"/>
  <c r="N35" i="95" s="1"/>
  <c r="B35" i="95"/>
  <c r="X34" i="95"/>
  <c r="Z34" i="95" s="1"/>
  <c r="L34" i="95"/>
  <c r="N34" i="95" s="1"/>
  <c r="B34" i="95"/>
  <c r="X33" i="95"/>
  <c r="Z33" i="95" s="1"/>
  <c r="L33" i="95"/>
  <c r="N33" i="95" s="1"/>
  <c r="B33" i="95"/>
  <c r="X32" i="95"/>
  <c r="Z32" i="95" s="1"/>
  <c r="T32" i="95"/>
  <c r="P32" i="95"/>
  <c r="H32" i="95"/>
  <c r="D32" i="95"/>
  <c r="L32" i="95" s="1"/>
  <c r="N32" i="95" s="1"/>
  <c r="B32" i="95"/>
  <c r="Z31" i="95"/>
  <c r="X31" i="95"/>
  <c r="N31" i="95"/>
  <c r="L31" i="95"/>
  <c r="B31" i="95"/>
  <c r="X30" i="95"/>
  <c r="Z30" i="95" s="1"/>
  <c r="V30" i="95"/>
  <c r="R30" i="95"/>
  <c r="L30" i="95"/>
  <c r="N30" i="95" s="1"/>
  <c r="B30" i="95"/>
  <c r="X29" i="95"/>
  <c r="Z29" i="95" s="1"/>
  <c r="L29" i="95"/>
  <c r="N29" i="95" s="1"/>
  <c r="B29" i="95"/>
  <c r="Z28" i="95"/>
  <c r="X28" i="95"/>
  <c r="V28" i="95"/>
  <c r="L28" i="95"/>
  <c r="N28" i="95" s="1"/>
  <c r="B28" i="95"/>
  <c r="Z27" i="95"/>
  <c r="X27" i="95"/>
  <c r="L27" i="95"/>
  <c r="N27" i="95" s="1"/>
  <c r="B27" i="95"/>
  <c r="Z26" i="95"/>
  <c r="X26" i="95"/>
  <c r="R26" i="95"/>
  <c r="N26" i="95"/>
  <c r="L26" i="95"/>
  <c r="B26" i="95"/>
  <c r="X25" i="95"/>
  <c r="Z25" i="95" s="1"/>
  <c r="L25" i="95"/>
  <c r="N25" i="95" s="1"/>
  <c r="J25" i="95"/>
  <c r="B25" i="95"/>
  <c r="Z24" i="95"/>
  <c r="X24" i="95"/>
  <c r="V24" i="95"/>
  <c r="L24" i="95"/>
  <c r="N24" i="95" s="1"/>
  <c r="B24" i="95"/>
  <c r="Z23" i="95"/>
  <c r="X23" i="95"/>
  <c r="T23" i="95"/>
  <c r="P23" i="95"/>
  <c r="H23" i="95"/>
  <c r="N23" i="95" s="1"/>
  <c r="D23" i="95"/>
  <c r="L23" i="95" s="1"/>
  <c r="B23" i="95"/>
  <c r="T22" i="95"/>
  <c r="X22" i="95" s="1"/>
  <c r="Z22" i="95" s="1"/>
  <c r="P22" i="95"/>
  <c r="H22" i="95"/>
  <c r="D22" i="95"/>
  <c r="L22" i="95" s="1"/>
  <c r="T20" i="95"/>
  <c r="Z18" i="95"/>
  <c r="X18" i="95"/>
  <c r="N18" i="95"/>
  <c r="L18" i="95"/>
  <c r="B18" i="95"/>
  <c r="X17" i="95"/>
  <c r="Z17" i="95" s="1"/>
  <c r="V17" i="95"/>
  <c r="R17" i="95"/>
  <c r="L17" i="95"/>
  <c r="N17" i="95" s="1"/>
  <c r="B17" i="95"/>
  <c r="T16" i="95"/>
  <c r="P16" i="95"/>
  <c r="X16" i="95" s="1"/>
  <c r="H16" i="95"/>
  <c r="L16" i="95" s="1"/>
  <c r="N16" i="95" s="1"/>
  <c r="D16" i="95"/>
  <c r="T14" i="95"/>
  <c r="P14" i="95"/>
  <c r="X14" i="95" s="1"/>
  <c r="H14" i="95"/>
  <c r="D14" i="95"/>
  <c r="B14" i="95"/>
  <c r="X13" i="95"/>
  <c r="Z13" i="95" s="1"/>
  <c r="T13" i="95"/>
  <c r="P13" i="95"/>
  <c r="H13" i="95"/>
  <c r="H12" i="95" s="1"/>
  <c r="J34" i="95" s="1"/>
  <c r="D13" i="95"/>
  <c r="D12" i="95" s="1"/>
  <c r="F71" i="95" s="1"/>
  <c r="B13" i="95"/>
  <c r="T12" i="95"/>
  <c r="V66" i="95" s="1"/>
  <c r="P12" i="95"/>
  <c r="R66" i="95" s="1"/>
  <c r="D6" i="95"/>
  <c r="D4" i="95"/>
  <c r="X76" i="94"/>
  <c r="Z76" i="94" s="1"/>
  <c r="L76" i="94"/>
  <c r="N76" i="94" s="1"/>
  <c r="T72" i="94"/>
  <c r="Z72" i="94" s="1"/>
  <c r="P72" i="94"/>
  <c r="X72" i="94" s="1"/>
  <c r="N72" i="94"/>
  <c r="H72" i="94"/>
  <c r="L72" i="94" s="1"/>
  <c r="D72" i="94"/>
  <c r="X70" i="94"/>
  <c r="Z70" i="94" s="1"/>
  <c r="N70" i="94"/>
  <c r="L70" i="94"/>
  <c r="B70" i="94"/>
  <c r="Z69" i="94"/>
  <c r="X69" i="94"/>
  <c r="T69" i="94"/>
  <c r="P69" i="94"/>
  <c r="H69" i="94"/>
  <c r="D69" i="94"/>
  <c r="B69" i="94"/>
  <c r="Z68" i="94"/>
  <c r="X68" i="94"/>
  <c r="N68" i="94"/>
  <c r="L68" i="94"/>
  <c r="B68" i="94"/>
  <c r="T67" i="94"/>
  <c r="X67" i="94" s="1"/>
  <c r="P67" i="94"/>
  <c r="H67" i="94"/>
  <c r="N67" i="94" s="1"/>
  <c r="D67" i="94"/>
  <c r="L67" i="94" s="1"/>
  <c r="B67" i="94"/>
  <c r="X66" i="94"/>
  <c r="Z66" i="94" s="1"/>
  <c r="N66" i="94"/>
  <c r="L66" i="94"/>
  <c r="B66" i="94"/>
  <c r="X65" i="94"/>
  <c r="Z65" i="94" s="1"/>
  <c r="N65" i="94"/>
  <c r="L65" i="94"/>
  <c r="B65" i="94"/>
  <c r="X64" i="94"/>
  <c r="Z64" i="94" s="1"/>
  <c r="R64" i="94"/>
  <c r="N64" i="94"/>
  <c r="L64" i="94"/>
  <c r="B64" i="94"/>
  <c r="X63" i="94"/>
  <c r="Z63" i="94" s="1"/>
  <c r="N63" i="94"/>
  <c r="L63" i="94"/>
  <c r="B63" i="94"/>
  <c r="X62" i="94"/>
  <c r="Z62" i="94" s="1"/>
  <c r="L62" i="94"/>
  <c r="N62" i="94" s="1"/>
  <c r="B62" i="94"/>
  <c r="X61" i="94"/>
  <c r="Z61" i="94" s="1"/>
  <c r="N61" i="94"/>
  <c r="L61" i="94"/>
  <c r="B61" i="94"/>
  <c r="X60" i="94"/>
  <c r="Z60" i="94" s="1"/>
  <c r="N60" i="94"/>
  <c r="L60" i="94"/>
  <c r="B60" i="94"/>
  <c r="T59" i="94"/>
  <c r="Z59" i="94" s="1"/>
  <c r="P59" i="94"/>
  <c r="X59" i="94" s="1"/>
  <c r="L59" i="94"/>
  <c r="N59" i="94" s="1"/>
  <c r="H59" i="94"/>
  <c r="D59" i="94"/>
  <c r="B59" i="94"/>
  <c r="X58" i="94"/>
  <c r="Z58" i="94" s="1"/>
  <c r="L58" i="94"/>
  <c r="N58" i="94" s="1"/>
  <c r="B58" i="94"/>
  <c r="Z57" i="94"/>
  <c r="X57" i="94"/>
  <c r="T57" i="94"/>
  <c r="P57" i="94"/>
  <c r="H57" i="94"/>
  <c r="D57" i="94"/>
  <c r="B57" i="94"/>
  <c r="Z56" i="94"/>
  <c r="X56" i="94"/>
  <c r="L56" i="94"/>
  <c r="N56" i="94" s="1"/>
  <c r="B56" i="94"/>
  <c r="T55" i="94"/>
  <c r="X55" i="94" s="1"/>
  <c r="P55" i="94"/>
  <c r="H55" i="94"/>
  <c r="D55" i="94"/>
  <c r="L55" i="94" s="1"/>
  <c r="B55" i="94"/>
  <c r="X54" i="94"/>
  <c r="Z54" i="94" s="1"/>
  <c r="L54" i="94"/>
  <c r="N54" i="94" s="1"/>
  <c r="B54" i="94"/>
  <c r="X53" i="94"/>
  <c r="Z53" i="94" s="1"/>
  <c r="T53" i="94"/>
  <c r="P53" i="94"/>
  <c r="H53" i="94"/>
  <c r="N53" i="94" s="1"/>
  <c r="D53" i="94"/>
  <c r="L53" i="94" s="1"/>
  <c r="B53" i="94"/>
  <c r="Z52" i="94"/>
  <c r="X52" i="94"/>
  <c r="N52" i="94"/>
  <c r="L52" i="94"/>
  <c r="B52" i="94"/>
  <c r="X51" i="94"/>
  <c r="Z51" i="94" s="1"/>
  <c r="R51" i="94"/>
  <c r="N51" i="94"/>
  <c r="L51" i="94"/>
  <c r="B51" i="94"/>
  <c r="T50" i="94"/>
  <c r="P50" i="94"/>
  <c r="X50" i="94" s="1"/>
  <c r="N50" i="94"/>
  <c r="H50" i="94"/>
  <c r="D50" i="94"/>
  <c r="L50" i="94" s="1"/>
  <c r="B50" i="94"/>
  <c r="X49" i="94"/>
  <c r="Z49" i="94" s="1"/>
  <c r="L49" i="94"/>
  <c r="N49" i="94" s="1"/>
  <c r="B49" i="94"/>
  <c r="T48" i="94"/>
  <c r="P48" i="94"/>
  <c r="X48" i="94" s="1"/>
  <c r="Z48" i="94" s="1"/>
  <c r="L48" i="94"/>
  <c r="N48" i="94" s="1"/>
  <c r="H48" i="94"/>
  <c r="D48" i="94"/>
  <c r="B48" i="94"/>
  <c r="X47" i="94"/>
  <c r="Z47" i="94" s="1"/>
  <c r="L47" i="94"/>
  <c r="N47" i="94" s="1"/>
  <c r="B47" i="94"/>
  <c r="X46" i="94"/>
  <c r="Z46" i="94" s="1"/>
  <c r="T46" i="94"/>
  <c r="P46" i="94"/>
  <c r="H46" i="94"/>
  <c r="D46" i="94"/>
  <c r="B46" i="94"/>
  <c r="Z45" i="94"/>
  <c r="X45" i="94"/>
  <c r="L45" i="94"/>
  <c r="N45" i="94" s="1"/>
  <c r="B45" i="94"/>
  <c r="Z44" i="94"/>
  <c r="T44" i="94"/>
  <c r="X44" i="94" s="1"/>
  <c r="P44" i="94"/>
  <c r="H44" i="94"/>
  <c r="D44" i="94"/>
  <c r="L44" i="94" s="1"/>
  <c r="B44" i="94"/>
  <c r="X43" i="94"/>
  <c r="Z43" i="94" s="1"/>
  <c r="L43" i="94"/>
  <c r="N43" i="94" s="1"/>
  <c r="B43" i="94"/>
  <c r="X42" i="94"/>
  <c r="Z42" i="94" s="1"/>
  <c r="T42" i="94"/>
  <c r="P42" i="94"/>
  <c r="H42" i="94"/>
  <c r="D42" i="94"/>
  <c r="L42" i="94" s="1"/>
  <c r="N42" i="94" s="1"/>
  <c r="B42" i="94"/>
  <c r="X41" i="94"/>
  <c r="Z41" i="94" s="1"/>
  <c r="N41" i="94"/>
  <c r="L41" i="94"/>
  <c r="B41" i="94"/>
  <c r="T40" i="94"/>
  <c r="P40" i="94"/>
  <c r="L40" i="94"/>
  <c r="N40" i="94" s="1"/>
  <c r="H40" i="94"/>
  <c r="D40" i="94"/>
  <c r="B40" i="94"/>
  <c r="Z39" i="94"/>
  <c r="X39" i="94"/>
  <c r="L39" i="94"/>
  <c r="N39" i="94" s="1"/>
  <c r="B39" i="94"/>
  <c r="T38" i="94"/>
  <c r="P38" i="94"/>
  <c r="X38" i="94" s="1"/>
  <c r="N38" i="94"/>
  <c r="H38" i="94"/>
  <c r="L38" i="94" s="1"/>
  <c r="D38" i="94"/>
  <c r="B38" i="94"/>
  <c r="X37" i="94"/>
  <c r="Z37" i="94" s="1"/>
  <c r="N37" i="94"/>
  <c r="L37" i="94"/>
  <c r="B37" i="94"/>
  <c r="T36" i="94"/>
  <c r="P36" i="94"/>
  <c r="X36" i="94" s="1"/>
  <c r="Z36" i="94" s="1"/>
  <c r="N36" i="94"/>
  <c r="L36" i="94"/>
  <c r="H36" i="94"/>
  <c r="D36" i="94"/>
  <c r="B36" i="94"/>
  <c r="X35" i="94"/>
  <c r="Z35" i="94" s="1"/>
  <c r="N35" i="94"/>
  <c r="L35" i="94"/>
  <c r="B35" i="94"/>
  <c r="X34" i="94"/>
  <c r="Z34" i="94" s="1"/>
  <c r="N34" i="94"/>
  <c r="L34" i="94"/>
  <c r="B34" i="94"/>
  <c r="X33" i="94"/>
  <c r="Z33" i="94" s="1"/>
  <c r="N33" i="94"/>
  <c r="L33" i="94"/>
  <c r="B33" i="94"/>
  <c r="X32" i="94"/>
  <c r="Z32" i="94" s="1"/>
  <c r="N32" i="94"/>
  <c r="L32" i="94"/>
  <c r="B32" i="94"/>
  <c r="T31" i="94"/>
  <c r="Z31" i="94" s="1"/>
  <c r="P31" i="94"/>
  <c r="X31" i="94" s="1"/>
  <c r="L31" i="94"/>
  <c r="N31" i="94" s="1"/>
  <c r="H31" i="94"/>
  <c r="D31" i="94"/>
  <c r="B31" i="94"/>
  <c r="Z30" i="94"/>
  <c r="X30" i="94"/>
  <c r="L30" i="94"/>
  <c r="N30" i="94" s="1"/>
  <c r="B30" i="94"/>
  <c r="Z29" i="94"/>
  <c r="X29" i="94"/>
  <c r="N29" i="94"/>
  <c r="L29" i="94"/>
  <c r="B29" i="94"/>
  <c r="Z28" i="94"/>
  <c r="X28" i="94"/>
  <c r="N28" i="94"/>
  <c r="L28" i="94"/>
  <c r="B28" i="94"/>
  <c r="X27" i="94"/>
  <c r="Z27" i="94" s="1"/>
  <c r="L27" i="94"/>
  <c r="N27" i="94" s="1"/>
  <c r="B27" i="94"/>
  <c r="Z26" i="94"/>
  <c r="X26" i="94"/>
  <c r="L26" i="94"/>
  <c r="N26" i="94" s="1"/>
  <c r="B26" i="94"/>
  <c r="X25" i="94"/>
  <c r="Z25" i="94" s="1"/>
  <c r="L25" i="94"/>
  <c r="N25" i="94" s="1"/>
  <c r="B25" i="94"/>
  <c r="Z24" i="94"/>
  <c r="X24" i="94"/>
  <c r="N24" i="94"/>
  <c r="L24" i="94"/>
  <c r="B24" i="94"/>
  <c r="X23" i="94"/>
  <c r="T23" i="94"/>
  <c r="P23" i="94"/>
  <c r="L23" i="94"/>
  <c r="N23" i="94" s="1"/>
  <c r="H23" i="94"/>
  <c r="D23" i="94"/>
  <c r="B23" i="94"/>
  <c r="T22" i="94"/>
  <c r="P22" i="94"/>
  <c r="X22" i="94" s="1"/>
  <c r="Z22" i="94" s="1"/>
  <c r="H22" i="94"/>
  <c r="D22" i="94"/>
  <c r="D20" i="94"/>
  <c r="X18" i="94"/>
  <c r="Z18" i="94" s="1"/>
  <c r="R18" i="94"/>
  <c r="L18" i="94"/>
  <c r="N18" i="94" s="1"/>
  <c r="B18" i="94"/>
  <c r="Z17" i="94"/>
  <c r="X17" i="94"/>
  <c r="R17" i="94"/>
  <c r="L17" i="94"/>
  <c r="N17" i="94" s="1"/>
  <c r="F17" i="94"/>
  <c r="B17" i="94"/>
  <c r="T16" i="94"/>
  <c r="Z16" i="94" s="1"/>
  <c r="P16" i="94"/>
  <c r="X16" i="94" s="1"/>
  <c r="H16" i="94"/>
  <c r="D16" i="94"/>
  <c r="T14" i="94"/>
  <c r="P14" i="94"/>
  <c r="H14" i="94"/>
  <c r="D14" i="94"/>
  <c r="L14" i="94" s="1"/>
  <c r="B14" i="94"/>
  <c r="T13" i="94"/>
  <c r="P13" i="94"/>
  <c r="H13" i="94"/>
  <c r="D13" i="94"/>
  <c r="D12" i="94" s="1"/>
  <c r="B13" i="94"/>
  <c r="P12" i="94"/>
  <c r="H12" i="94"/>
  <c r="D6" i="94"/>
  <c r="D4" i="94"/>
  <c r="F70" i="93"/>
  <c r="X68" i="93"/>
  <c r="Z68" i="93" s="1"/>
  <c r="L68" i="93"/>
  <c r="N68" i="93" s="1"/>
  <c r="T64" i="93"/>
  <c r="P64" i="93"/>
  <c r="N64" i="93"/>
  <c r="H64" i="93"/>
  <c r="D64" i="93"/>
  <c r="L64" i="93" s="1"/>
  <c r="B64" i="93"/>
  <c r="T63" i="93"/>
  <c r="H63" i="93"/>
  <c r="D63" i="93"/>
  <c r="L63" i="93" s="1"/>
  <c r="Z61" i="93"/>
  <c r="X61" i="93"/>
  <c r="L61" i="93"/>
  <c r="N61" i="93" s="1"/>
  <c r="B61" i="93"/>
  <c r="T60" i="93"/>
  <c r="P60" i="93"/>
  <c r="L60" i="93"/>
  <c r="N60" i="93" s="1"/>
  <c r="H60" i="93"/>
  <c r="D60" i="93"/>
  <c r="B60" i="93"/>
  <c r="X59" i="93"/>
  <c r="Z59" i="93" s="1"/>
  <c r="N59" i="93"/>
  <c r="L59" i="93"/>
  <c r="B59" i="93"/>
  <c r="X58" i="93"/>
  <c r="Z58" i="93" s="1"/>
  <c r="N58" i="93"/>
  <c r="L58" i="93"/>
  <c r="B58" i="93"/>
  <c r="Z57" i="93"/>
  <c r="X57" i="93"/>
  <c r="L57" i="93"/>
  <c r="N57" i="93" s="1"/>
  <c r="B57" i="93"/>
  <c r="Z56" i="93"/>
  <c r="X56" i="93"/>
  <c r="N56" i="93"/>
  <c r="L56" i="93"/>
  <c r="B56" i="93"/>
  <c r="X55" i="93"/>
  <c r="Z55" i="93" s="1"/>
  <c r="N55" i="93"/>
  <c r="L55" i="93"/>
  <c r="B55" i="93"/>
  <c r="T54" i="93"/>
  <c r="P54" i="93"/>
  <c r="X54" i="93" s="1"/>
  <c r="N54" i="93"/>
  <c r="H54" i="93"/>
  <c r="D54" i="93"/>
  <c r="L54" i="93" s="1"/>
  <c r="B54" i="93"/>
  <c r="X53" i="93"/>
  <c r="Z53" i="93" s="1"/>
  <c r="N53" i="93"/>
  <c r="L53" i="93"/>
  <c r="B53" i="93"/>
  <c r="Z52" i="93"/>
  <c r="X52" i="93"/>
  <c r="N52" i="93"/>
  <c r="L52" i="93"/>
  <c r="B52" i="93"/>
  <c r="V51" i="93"/>
  <c r="T51" i="93"/>
  <c r="P51" i="93"/>
  <c r="H51" i="93"/>
  <c r="D51" i="93"/>
  <c r="L51" i="93" s="1"/>
  <c r="B51" i="93"/>
  <c r="X50" i="93"/>
  <c r="Z50" i="93" s="1"/>
  <c r="N50" i="93"/>
  <c r="L50" i="93"/>
  <c r="B50" i="93"/>
  <c r="Z49" i="93"/>
  <c r="X49" i="93"/>
  <c r="N49" i="93"/>
  <c r="L49" i="93"/>
  <c r="B49" i="93"/>
  <c r="X48" i="93"/>
  <c r="Z48" i="93" s="1"/>
  <c r="V48" i="93"/>
  <c r="N48" i="93"/>
  <c r="L48" i="93"/>
  <c r="B48" i="93"/>
  <c r="T47" i="93"/>
  <c r="Z47" i="93" s="1"/>
  <c r="P47" i="93"/>
  <c r="X47" i="93" s="1"/>
  <c r="N47" i="93"/>
  <c r="H47" i="93"/>
  <c r="F47" i="93"/>
  <c r="D47" i="93"/>
  <c r="L47" i="93" s="1"/>
  <c r="B47" i="93"/>
  <c r="X46" i="93"/>
  <c r="Z46" i="93" s="1"/>
  <c r="N46" i="93"/>
  <c r="L46" i="93"/>
  <c r="B46" i="93"/>
  <c r="X45" i="93"/>
  <c r="Z45" i="93" s="1"/>
  <c r="T45" i="93"/>
  <c r="P45" i="93"/>
  <c r="L45" i="93"/>
  <c r="H45" i="93"/>
  <c r="N45" i="93" s="1"/>
  <c r="D45" i="93"/>
  <c r="B45" i="93"/>
  <c r="Z44" i="93"/>
  <c r="X44" i="93"/>
  <c r="L44" i="93"/>
  <c r="N44" i="93" s="1"/>
  <c r="B44" i="93"/>
  <c r="T43" i="93"/>
  <c r="P43" i="93"/>
  <c r="H43" i="93"/>
  <c r="D43" i="93"/>
  <c r="B43" i="93"/>
  <c r="X42" i="93"/>
  <c r="Z42" i="93" s="1"/>
  <c r="V42" i="93"/>
  <c r="L42" i="93"/>
  <c r="N42" i="93" s="1"/>
  <c r="B42" i="93"/>
  <c r="X41" i="93"/>
  <c r="Z41" i="93" s="1"/>
  <c r="T41" i="93"/>
  <c r="P41" i="93"/>
  <c r="H41" i="93"/>
  <c r="D41" i="93"/>
  <c r="L41" i="93" s="1"/>
  <c r="B41" i="93"/>
  <c r="Z40" i="93"/>
  <c r="X40" i="93"/>
  <c r="N40" i="93"/>
  <c r="L40" i="93"/>
  <c r="B40" i="93"/>
  <c r="X39" i="93"/>
  <c r="V39" i="93"/>
  <c r="T39" i="93"/>
  <c r="P39" i="93"/>
  <c r="N39" i="93"/>
  <c r="L39" i="93"/>
  <c r="H39" i="93"/>
  <c r="D39" i="93"/>
  <c r="B39" i="93"/>
  <c r="Z38" i="93"/>
  <c r="X38" i="93"/>
  <c r="L38" i="93"/>
  <c r="N38" i="93" s="1"/>
  <c r="B38" i="93"/>
  <c r="T37" i="93"/>
  <c r="P37" i="93"/>
  <c r="X37" i="93" s="1"/>
  <c r="H37" i="93"/>
  <c r="D37" i="93"/>
  <c r="B37" i="93"/>
  <c r="X36" i="93"/>
  <c r="Z36" i="93" s="1"/>
  <c r="V36" i="93"/>
  <c r="N36" i="93"/>
  <c r="L36" i="93"/>
  <c r="B36" i="93"/>
  <c r="X35" i="93"/>
  <c r="Z35" i="93" s="1"/>
  <c r="N35" i="93"/>
  <c r="L35" i="93"/>
  <c r="B35" i="93"/>
  <c r="X34" i="93"/>
  <c r="Z34" i="93" s="1"/>
  <c r="V34" i="93"/>
  <c r="N34" i="93"/>
  <c r="L34" i="93"/>
  <c r="B34" i="93"/>
  <c r="X33" i="93"/>
  <c r="Z33" i="93" s="1"/>
  <c r="L33" i="93"/>
  <c r="N33" i="93" s="1"/>
  <c r="B33" i="93"/>
  <c r="T32" i="93"/>
  <c r="P32" i="93"/>
  <c r="L32" i="93"/>
  <c r="N32" i="93" s="1"/>
  <c r="H32" i="93"/>
  <c r="D32" i="93"/>
  <c r="B32" i="93"/>
  <c r="Z31" i="93"/>
  <c r="X31" i="93"/>
  <c r="L31" i="93"/>
  <c r="N31" i="93" s="1"/>
  <c r="B31" i="93"/>
  <c r="X30" i="93"/>
  <c r="Z30" i="93" s="1"/>
  <c r="N30" i="93"/>
  <c r="L30" i="93"/>
  <c r="B30" i="93"/>
  <c r="X29" i="93"/>
  <c r="Z29" i="93" s="1"/>
  <c r="L29" i="93"/>
  <c r="N29" i="93" s="1"/>
  <c r="B29" i="93"/>
  <c r="Z28" i="93"/>
  <c r="X28" i="93"/>
  <c r="N28" i="93"/>
  <c r="L28" i="93"/>
  <c r="B28" i="93"/>
  <c r="X27" i="93"/>
  <c r="Z27" i="93" s="1"/>
  <c r="V27" i="93"/>
  <c r="L27" i="93"/>
  <c r="N27" i="93" s="1"/>
  <c r="B27" i="93"/>
  <c r="X26" i="93"/>
  <c r="Z26" i="93" s="1"/>
  <c r="N26" i="93"/>
  <c r="L26" i="93"/>
  <c r="B26" i="93"/>
  <c r="Z25" i="93"/>
  <c r="X25" i="93"/>
  <c r="L25" i="93"/>
  <c r="N25" i="93" s="1"/>
  <c r="B25" i="93"/>
  <c r="Z24" i="93"/>
  <c r="X24" i="93"/>
  <c r="N24" i="93"/>
  <c r="L24" i="93"/>
  <c r="B24" i="93"/>
  <c r="Z23" i="93"/>
  <c r="X23" i="93"/>
  <c r="T23" i="93"/>
  <c r="P23" i="93"/>
  <c r="L23" i="93"/>
  <c r="N23" i="93" s="1"/>
  <c r="H23" i="93"/>
  <c r="D23" i="93"/>
  <c r="B23" i="93"/>
  <c r="V22" i="93"/>
  <c r="T22" i="93"/>
  <c r="P22" i="93"/>
  <c r="X22" i="93" s="1"/>
  <c r="Z22" i="93" s="1"/>
  <c r="H22" i="93"/>
  <c r="D22" i="93"/>
  <c r="L22" i="93" s="1"/>
  <c r="N22" i="93" s="1"/>
  <c r="D20" i="93"/>
  <c r="Z18" i="93"/>
  <c r="X18" i="93"/>
  <c r="L18" i="93"/>
  <c r="N18" i="93" s="1"/>
  <c r="B18" i="93"/>
  <c r="X17" i="93"/>
  <c r="Z17" i="93" s="1"/>
  <c r="L17" i="93"/>
  <c r="N17" i="93" s="1"/>
  <c r="B17" i="93"/>
  <c r="Z16" i="93"/>
  <c r="T16" i="93"/>
  <c r="P16" i="93"/>
  <c r="X16" i="93" s="1"/>
  <c r="H16" i="93"/>
  <c r="D16" i="93"/>
  <c r="L16" i="93" s="1"/>
  <c r="N16" i="93" s="1"/>
  <c r="T14" i="93"/>
  <c r="P14" i="93"/>
  <c r="X14" i="93" s="1"/>
  <c r="Z14" i="93" s="1"/>
  <c r="H14" i="93"/>
  <c r="D14" i="93"/>
  <c r="B14" i="93"/>
  <c r="T13" i="93"/>
  <c r="P13" i="93"/>
  <c r="H13" i="93"/>
  <c r="D13" i="93"/>
  <c r="D12" i="93" s="1"/>
  <c r="F59" i="93" s="1"/>
  <c r="B13" i="93"/>
  <c r="T12" i="93"/>
  <c r="L12" i="93"/>
  <c r="H12" i="93"/>
  <c r="D6" i="93"/>
  <c r="D4" i="93"/>
  <c r="R74" i="92"/>
  <c r="X72" i="92"/>
  <c r="Z72" i="92" s="1"/>
  <c r="N72" i="92"/>
  <c r="L72" i="92"/>
  <c r="Z68" i="92"/>
  <c r="T68" i="92"/>
  <c r="P68" i="92"/>
  <c r="X68" i="92" s="1"/>
  <c r="N68" i="92"/>
  <c r="H68" i="92"/>
  <c r="D68" i="92"/>
  <c r="L68" i="92" s="1"/>
  <c r="Z66" i="92"/>
  <c r="X66" i="92"/>
  <c r="N66" i="92"/>
  <c r="L66" i="92"/>
  <c r="B66" i="92"/>
  <c r="T65" i="92"/>
  <c r="P65" i="92"/>
  <c r="H65" i="92"/>
  <c r="N65" i="92" s="1"/>
  <c r="F65" i="92"/>
  <c r="D65" i="92"/>
  <c r="L65" i="92" s="1"/>
  <c r="B65" i="92"/>
  <c r="X64" i="92"/>
  <c r="Z64" i="92" s="1"/>
  <c r="L64" i="92"/>
  <c r="N64" i="92" s="1"/>
  <c r="B64" i="92"/>
  <c r="T63" i="92"/>
  <c r="P63" i="92"/>
  <c r="X63" i="92" s="1"/>
  <c r="Z63" i="92" s="1"/>
  <c r="H63" i="92"/>
  <c r="N63" i="92" s="1"/>
  <c r="D63" i="92"/>
  <c r="L63" i="92" s="1"/>
  <c r="B63" i="92"/>
  <c r="Z62" i="92"/>
  <c r="X62" i="92"/>
  <c r="N62" i="92"/>
  <c r="L62" i="92"/>
  <c r="B62" i="92"/>
  <c r="X61" i="92"/>
  <c r="Z61" i="92" s="1"/>
  <c r="N61" i="92"/>
  <c r="L61" i="92"/>
  <c r="B61" i="92"/>
  <c r="X60" i="92"/>
  <c r="Z60" i="92" s="1"/>
  <c r="L60" i="92"/>
  <c r="N60" i="92" s="1"/>
  <c r="J60" i="92"/>
  <c r="B60" i="92"/>
  <c r="Z59" i="92"/>
  <c r="X59" i="92"/>
  <c r="N59" i="92"/>
  <c r="L59" i="92"/>
  <c r="F59" i="92"/>
  <c r="B59" i="92"/>
  <c r="Z58" i="92"/>
  <c r="X58" i="92"/>
  <c r="N58" i="92"/>
  <c r="L58" i="92"/>
  <c r="B58" i="92"/>
  <c r="X57" i="92"/>
  <c r="Z57" i="92" s="1"/>
  <c r="L57" i="92"/>
  <c r="N57" i="92" s="1"/>
  <c r="B57" i="92"/>
  <c r="T56" i="92"/>
  <c r="R56" i="92"/>
  <c r="P56" i="92"/>
  <c r="X56" i="92" s="1"/>
  <c r="H56" i="92"/>
  <c r="D56" i="92"/>
  <c r="B56" i="92"/>
  <c r="X55" i="92"/>
  <c r="Z55" i="92" s="1"/>
  <c r="L55" i="92"/>
  <c r="N55" i="92" s="1"/>
  <c r="B55" i="92"/>
  <c r="Z54" i="92"/>
  <c r="X54" i="92"/>
  <c r="L54" i="92"/>
  <c r="N54" i="92" s="1"/>
  <c r="B54" i="92"/>
  <c r="T53" i="92"/>
  <c r="P53" i="92"/>
  <c r="H53" i="92"/>
  <c r="F53" i="92"/>
  <c r="D53" i="92"/>
  <c r="L53" i="92" s="1"/>
  <c r="B53" i="92"/>
  <c r="X52" i="92"/>
  <c r="Z52" i="92" s="1"/>
  <c r="L52" i="92"/>
  <c r="N52" i="92" s="1"/>
  <c r="F52" i="92"/>
  <c r="B52" i="92"/>
  <c r="X51" i="92"/>
  <c r="Z51" i="92" s="1"/>
  <c r="N51" i="92"/>
  <c r="L51" i="92"/>
  <c r="B51" i="92"/>
  <c r="X50" i="92"/>
  <c r="T50" i="92"/>
  <c r="P50" i="92"/>
  <c r="L50" i="92"/>
  <c r="N50" i="92" s="1"/>
  <c r="J50" i="92"/>
  <c r="H50" i="92"/>
  <c r="D50" i="92"/>
  <c r="B50" i="92"/>
  <c r="X49" i="92"/>
  <c r="Z49" i="92" s="1"/>
  <c r="L49" i="92"/>
  <c r="N49" i="92" s="1"/>
  <c r="B49" i="92"/>
  <c r="T48" i="92"/>
  <c r="P48" i="92"/>
  <c r="H48" i="92"/>
  <c r="F48" i="92"/>
  <c r="D48" i="92"/>
  <c r="L48" i="92" s="1"/>
  <c r="B48" i="92"/>
  <c r="X47" i="92"/>
  <c r="Z47" i="92" s="1"/>
  <c r="L47" i="92"/>
  <c r="N47" i="92" s="1"/>
  <c r="B47" i="92"/>
  <c r="T46" i="92"/>
  <c r="P46" i="92"/>
  <c r="X46" i="92" s="1"/>
  <c r="Z46" i="92" s="1"/>
  <c r="L46" i="92"/>
  <c r="N46" i="92" s="1"/>
  <c r="H46" i="92"/>
  <c r="D46" i="92"/>
  <c r="B46" i="92"/>
  <c r="X45" i="92"/>
  <c r="Z45" i="92" s="1"/>
  <c r="N45" i="92"/>
  <c r="L45" i="92"/>
  <c r="B45" i="92"/>
  <c r="X44" i="92"/>
  <c r="Z44" i="92" s="1"/>
  <c r="T44" i="92"/>
  <c r="P44" i="92"/>
  <c r="H44" i="92"/>
  <c r="F44" i="92"/>
  <c r="D44" i="92"/>
  <c r="B44" i="92"/>
  <c r="X43" i="92"/>
  <c r="Z43" i="92" s="1"/>
  <c r="L43" i="92"/>
  <c r="N43" i="92" s="1"/>
  <c r="B43" i="92"/>
  <c r="Z42" i="92"/>
  <c r="T42" i="92"/>
  <c r="X42" i="92" s="1"/>
  <c r="P42" i="92"/>
  <c r="H42" i="92"/>
  <c r="D42" i="92"/>
  <c r="B42" i="92"/>
  <c r="X41" i="92"/>
  <c r="Z41" i="92" s="1"/>
  <c r="L41" i="92"/>
  <c r="N41" i="92" s="1"/>
  <c r="B41" i="92"/>
  <c r="X40" i="92"/>
  <c r="Z40" i="92" s="1"/>
  <c r="T40" i="92"/>
  <c r="P40" i="92"/>
  <c r="N40" i="92"/>
  <c r="H40" i="92"/>
  <c r="F40" i="92"/>
  <c r="D40" i="92"/>
  <c r="L40" i="92" s="1"/>
  <c r="B40" i="92"/>
  <c r="Z39" i="92"/>
  <c r="X39" i="92"/>
  <c r="N39" i="92"/>
  <c r="L39" i="92"/>
  <c r="B39" i="92"/>
  <c r="T38" i="92"/>
  <c r="P38" i="92"/>
  <c r="N38" i="92"/>
  <c r="L38" i="92"/>
  <c r="H38" i="92"/>
  <c r="D38" i="92"/>
  <c r="B38" i="92"/>
  <c r="X37" i="92"/>
  <c r="Z37" i="92" s="1"/>
  <c r="R37" i="92"/>
  <c r="N37" i="92"/>
  <c r="L37" i="92"/>
  <c r="B37" i="92"/>
  <c r="X36" i="92"/>
  <c r="Z36" i="92" s="1"/>
  <c r="L36" i="92"/>
  <c r="N36" i="92" s="1"/>
  <c r="B36" i="92"/>
  <c r="Z35" i="92"/>
  <c r="X35" i="92"/>
  <c r="N35" i="92"/>
  <c r="L35" i="92"/>
  <c r="F35" i="92"/>
  <c r="B35" i="92"/>
  <c r="Z34" i="92"/>
  <c r="X34" i="92"/>
  <c r="N34" i="92"/>
  <c r="L34" i="92"/>
  <c r="B34" i="92"/>
  <c r="Z33" i="92"/>
  <c r="X33" i="92"/>
  <c r="R33" i="92"/>
  <c r="L33" i="92"/>
  <c r="N33" i="92" s="1"/>
  <c r="B33" i="92"/>
  <c r="X32" i="92"/>
  <c r="Z32" i="92" s="1"/>
  <c r="L32" i="92"/>
  <c r="N32" i="92" s="1"/>
  <c r="B32" i="92"/>
  <c r="Z31" i="92"/>
  <c r="X31" i="92"/>
  <c r="T31" i="92"/>
  <c r="P31" i="92"/>
  <c r="L31" i="92"/>
  <c r="N31" i="92" s="1"/>
  <c r="J31" i="92"/>
  <c r="H31" i="92"/>
  <c r="D31" i="92"/>
  <c r="B31" i="92"/>
  <c r="Z30" i="92"/>
  <c r="X30" i="92"/>
  <c r="N30" i="92"/>
  <c r="L30" i="92"/>
  <c r="B30" i="92"/>
  <c r="X29" i="92"/>
  <c r="Z29" i="92" s="1"/>
  <c r="N29" i="92"/>
  <c r="L29" i="92"/>
  <c r="B29" i="92"/>
  <c r="Z28" i="92"/>
  <c r="X28" i="92"/>
  <c r="L28" i="92"/>
  <c r="N28" i="92" s="1"/>
  <c r="B28" i="92"/>
  <c r="X27" i="92"/>
  <c r="Z27" i="92" s="1"/>
  <c r="L27" i="92"/>
  <c r="N27" i="92" s="1"/>
  <c r="F27" i="92"/>
  <c r="B27" i="92"/>
  <c r="Z26" i="92"/>
  <c r="X26" i="92"/>
  <c r="L26" i="92"/>
  <c r="N26" i="92" s="1"/>
  <c r="B26" i="92"/>
  <c r="X25" i="92"/>
  <c r="Z25" i="92" s="1"/>
  <c r="N25" i="92"/>
  <c r="L25" i="92"/>
  <c r="F25" i="92"/>
  <c r="B25" i="92"/>
  <c r="X24" i="92"/>
  <c r="Z24" i="92" s="1"/>
  <c r="N24" i="92"/>
  <c r="L24" i="92"/>
  <c r="B24" i="92"/>
  <c r="X23" i="92"/>
  <c r="Z23" i="92" s="1"/>
  <c r="N23" i="92"/>
  <c r="L23" i="92"/>
  <c r="F23" i="92"/>
  <c r="B23" i="92"/>
  <c r="Z22" i="92"/>
  <c r="T22" i="92"/>
  <c r="P22" i="92"/>
  <c r="X22" i="92" s="1"/>
  <c r="L22" i="92"/>
  <c r="N22" i="92" s="1"/>
  <c r="J22" i="92"/>
  <c r="H22" i="92"/>
  <c r="F22" i="92"/>
  <c r="D22" i="92"/>
  <c r="B22" i="92"/>
  <c r="T21" i="92"/>
  <c r="P21" i="92"/>
  <c r="H21" i="92"/>
  <c r="F21" i="92"/>
  <c r="D21" i="92"/>
  <c r="L21" i="92" s="1"/>
  <c r="N21" i="92" s="1"/>
  <c r="H19" i="92"/>
  <c r="X17" i="92"/>
  <c r="Z17" i="92" s="1"/>
  <c r="L17" i="92"/>
  <c r="N17" i="92" s="1"/>
  <c r="F17" i="92"/>
  <c r="B17" i="92"/>
  <c r="X16" i="92"/>
  <c r="Z16" i="92" s="1"/>
  <c r="T16" i="92"/>
  <c r="P16" i="92"/>
  <c r="H16" i="92"/>
  <c r="D16" i="92"/>
  <c r="T14" i="92"/>
  <c r="P14" i="92"/>
  <c r="H14" i="92"/>
  <c r="D14" i="92"/>
  <c r="B14" i="92"/>
  <c r="X13" i="92"/>
  <c r="Z13" i="92" s="1"/>
  <c r="T13" i="92"/>
  <c r="P13" i="92"/>
  <c r="P12" i="92" s="1"/>
  <c r="N13" i="92"/>
  <c r="L13" i="92"/>
  <c r="H13" i="92"/>
  <c r="D13" i="92"/>
  <c r="B13" i="92"/>
  <c r="H12" i="92"/>
  <c r="D12" i="92"/>
  <c r="F72" i="92" s="1"/>
  <c r="D6" i="92"/>
  <c r="D4" i="92"/>
  <c r="Z91" i="91"/>
  <c r="X91" i="91"/>
  <c r="V91" i="91"/>
  <c r="N91" i="91"/>
  <c r="L91" i="91"/>
  <c r="T87" i="91"/>
  <c r="P87" i="91"/>
  <c r="N87" i="91"/>
  <c r="L87" i="91"/>
  <c r="H87" i="91"/>
  <c r="D87" i="91"/>
  <c r="B87" i="91"/>
  <c r="T86" i="91"/>
  <c r="R86" i="91"/>
  <c r="P86" i="91"/>
  <c r="X86" i="91" s="1"/>
  <c r="Z86" i="91" s="1"/>
  <c r="H86" i="91"/>
  <c r="H85" i="91" s="1"/>
  <c r="D86" i="91"/>
  <c r="B86" i="91"/>
  <c r="R85" i="91"/>
  <c r="P85" i="91"/>
  <c r="Z83" i="91"/>
  <c r="X83" i="91"/>
  <c r="L83" i="91"/>
  <c r="N83" i="91" s="1"/>
  <c r="B83" i="91"/>
  <c r="T82" i="91"/>
  <c r="P82" i="91"/>
  <c r="X82" i="91" s="1"/>
  <c r="H82" i="91"/>
  <c r="D82" i="91"/>
  <c r="L82" i="91" s="1"/>
  <c r="B82" i="91"/>
  <c r="X81" i="91"/>
  <c r="Z81" i="91" s="1"/>
  <c r="N81" i="91"/>
  <c r="L81" i="91"/>
  <c r="B81" i="91"/>
  <c r="X80" i="91"/>
  <c r="Z80" i="91" s="1"/>
  <c r="N80" i="91"/>
  <c r="L80" i="91"/>
  <c r="B80" i="91"/>
  <c r="X79" i="91"/>
  <c r="Z79" i="91" s="1"/>
  <c r="L79" i="91"/>
  <c r="N79" i="91" s="1"/>
  <c r="B79" i="91"/>
  <c r="X78" i="91"/>
  <c r="T78" i="91"/>
  <c r="Z78" i="91" s="1"/>
  <c r="P78" i="91"/>
  <c r="L78" i="91"/>
  <c r="N78" i="91" s="1"/>
  <c r="H78" i="91"/>
  <c r="D78" i="91"/>
  <c r="B78" i="91"/>
  <c r="X77" i="91"/>
  <c r="Z77" i="91" s="1"/>
  <c r="N77" i="91"/>
  <c r="L77" i="91"/>
  <c r="B77" i="91"/>
  <c r="T76" i="91"/>
  <c r="Z76" i="91" s="1"/>
  <c r="R76" i="91"/>
  <c r="P76" i="91"/>
  <c r="X76" i="91" s="1"/>
  <c r="H76" i="91"/>
  <c r="N76" i="91" s="1"/>
  <c r="D76" i="91"/>
  <c r="L76" i="91" s="1"/>
  <c r="B76" i="91"/>
  <c r="Z75" i="91"/>
  <c r="X75" i="91"/>
  <c r="R75" i="91"/>
  <c r="L75" i="91"/>
  <c r="N75" i="91" s="1"/>
  <c r="B75" i="91"/>
  <c r="Z74" i="91"/>
  <c r="T74" i="91"/>
  <c r="P74" i="91"/>
  <c r="X74" i="91" s="1"/>
  <c r="H74" i="91"/>
  <c r="D74" i="91"/>
  <c r="L74" i="91" s="1"/>
  <c r="N74" i="91" s="1"/>
  <c r="B74" i="91"/>
  <c r="Z73" i="91"/>
  <c r="X73" i="91"/>
  <c r="L73" i="91"/>
  <c r="N73" i="91" s="1"/>
  <c r="B73" i="91"/>
  <c r="X72" i="91"/>
  <c r="Z72" i="91" s="1"/>
  <c r="V72" i="91"/>
  <c r="L72" i="91"/>
  <c r="N72" i="91" s="1"/>
  <c r="B72" i="91"/>
  <c r="X71" i="91"/>
  <c r="Z71" i="91" s="1"/>
  <c r="L71" i="91"/>
  <c r="N71" i="91" s="1"/>
  <c r="B71" i="91"/>
  <c r="X70" i="91"/>
  <c r="Z70" i="91" s="1"/>
  <c r="N70" i="91"/>
  <c r="L70" i="91"/>
  <c r="B70" i="91"/>
  <c r="Z69" i="91"/>
  <c r="X69" i="91"/>
  <c r="N69" i="91"/>
  <c r="L69" i="91"/>
  <c r="B69" i="91"/>
  <c r="X68" i="91"/>
  <c r="Z68" i="91" s="1"/>
  <c r="L68" i="91"/>
  <c r="N68" i="91" s="1"/>
  <c r="B68" i="91"/>
  <c r="T67" i="91"/>
  <c r="R67" i="91"/>
  <c r="P67" i="91"/>
  <c r="X67" i="91" s="1"/>
  <c r="H67" i="91"/>
  <c r="D67" i="91"/>
  <c r="L67" i="91" s="1"/>
  <c r="N67" i="91" s="1"/>
  <c r="B67" i="91"/>
  <c r="Z66" i="91"/>
  <c r="X66" i="91"/>
  <c r="R66" i="91"/>
  <c r="N66" i="91"/>
  <c r="L66" i="91"/>
  <c r="B66" i="91"/>
  <c r="X65" i="91"/>
  <c r="Z65" i="91" s="1"/>
  <c r="L65" i="91"/>
  <c r="N65" i="91" s="1"/>
  <c r="J65" i="91"/>
  <c r="B65" i="91"/>
  <c r="X64" i="91"/>
  <c r="Z64" i="91" s="1"/>
  <c r="N64" i="91"/>
  <c r="L64" i="91"/>
  <c r="B64" i="91"/>
  <c r="X63" i="91"/>
  <c r="Z63" i="91" s="1"/>
  <c r="N63" i="91"/>
  <c r="L63" i="91"/>
  <c r="B63" i="91"/>
  <c r="Z62" i="91"/>
  <c r="X62" i="91"/>
  <c r="R62" i="91"/>
  <c r="N62" i="91"/>
  <c r="L62" i="91"/>
  <c r="B62" i="91"/>
  <c r="X61" i="91"/>
  <c r="Z61" i="91" s="1"/>
  <c r="T61" i="91"/>
  <c r="P61" i="91"/>
  <c r="L61" i="91"/>
  <c r="N61" i="91" s="1"/>
  <c r="H61" i="91"/>
  <c r="D61" i="91"/>
  <c r="B61" i="91"/>
  <c r="Z60" i="91"/>
  <c r="X60" i="91"/>
  <c r="L60" i="91"/>
  <c r="N60" i="91" s="1"/>
  <c r="B60" i="91"/>
  <c r="Z59" i="91"/>
  <c r="X59" i="91"/>
  <c r="R59" i="91"/>
  <c r="L59" i="91"/>
  <c r="N59" i="91" s="1"/>
  <c r="B59" i="91"/>
  <c r="Z58" i="91"/>
  <c r="T58" i="91"/>
  <c r="P58" i="91"/>
  <c r="X58" i="91" s="1"/>
  <c r="H58" i="91"/>
  <c r="D58" i="91"/>
  <c r="L58" i="91" s="1"/>
  <c r="N58" i="91" s="1"/>
  <c r="B58" i="91"/>
  <c r="Z57" i="91"/>
  <c r="X57" i="91"/>
  <c r="N57" i="91"/>
  <c r="L57" i="91"/>
  <c r="B57" i="91"/>
  <c r="X56" i="91"/>
  <c r="Z56" i="91" s="1"/>
  <c r="T56" i="91"/>
  <c r="P56" i="91"/>
  <c r="L56" i="91"/>
  <c r="H56" i="91"/>
  <c r="N56" i="91" s="1"/>
  <c r="D56" i="91"/>
  <c r="B56" i="91"/>
  <c r="X55" i="91"/>
  <c r="Z55" i="91" s="1"/>
  <c r="N55" i="91"/>
  <c r="L55" i="91"/>
  <c r="B55" i="91"/>
  <c r="T54" i="91"/>
  <c r="R54" i="91"/>
  <c r="P54" i="91"/>
  <c r="X54" i="91" s="1"/>
  <c r="H54" i="91"/>
  <c r="D54" i="91"/>
  <c r="L54" i="91" s="1"/>
  <c r="B54" i="91"/>
  <c r="X53" i="91"/>
  <c r="Z53" i="91" s="1"/>
  <c r="V53" i="91"/>
  <c r="R53" i="91"/>
  <c r="N53" i="91"/>
  <c r="L53" i="91"/>
  <c r="B53" i="91"/>
  <c r="Z52" i="91"/>
  <c r="T52" i="91"/>
  <c r="R52" i="91"/>
  <c r="P52" i="91"/>
  <c r="X52" i="91" s="1"/>
  <c r="H52" i="91"/>
  <c r="D52" i="91"/>
  <c r="L52" i="91" s="1"/>
  <c r="N52" i="91" s="1"/>
  <c r="B52" i="91"/>
  <c r="Z51" i="91"/>
  <c r="X51" i="91"/>
  <c r="R51" i="91"/>
  <c r="N51" i="91"/>
  <c r="L51" i="91"/>
  <c r="B51" i="91"/>
  <c r="X50" i="91"/>
  <c r="T50" i="91"/>
  <c r="Z50" i="91" s="1"/>
  <c r="P50" i="91"/>
  <c r="N50" i="91"/>
  <c r="L50" i="91"/>
  <c r="J50" i="91"/>
  <c r="H50" i="91"/>
  <c r="D50" i="91"/>
  <c r="B50" i="91"/>
  <c r="X49" i="91"/>
  <c r="Z49" i="91" s="1"/>
  <c r="L49" i="91"/>
  <c r="N49" i="91" s="1"/>
  <c r="B49" i="91"/>
  <c r="T48" i="91"/>
  <c r="R48" i="91"/>
  <c r="P48" i="91"/>
  <c r="X48" i="91" s="1"/>
  <c r="J48" i="91"/>
  <c r="H48" i="91"/>
  <c r="D48" i="91"/>
  <c r="B48" i="91"/>
  <c r="Z47" i="91"/>
  <c r="X47" i="91"/>
  <c r="R47" i="91"/>
  <c r="L47" i="91"/>
  <c r="N47" i="91" s="1"/>
  <c r="B47" i="91"/>
  <c r="Z46" i="91"/>
  <c r="T46" i="91"/>
  <c r="P46" i="91"/>
  <c r="X46" i="91" s="1"/>
  <c r="N46" i="91"/>
  <c r="H46" i="91"/>
  <c r="D46" i="91"/>
  <c r="L46" i="91" s="1"/>
  <c r="B46" i="91"/>
  <c r="Z45" i="91"/>
  <c r="X45" i="91"/>
  <c r="N45" i="91"/>
  <c r="L45" i="91"/>
  <c r="B45" i="91"/>
  <c r="Z44" i="91"/>
  <c r="X44" i="91"/>
  <c r="T44" i="91"/>
  <c r="P44" i="91"/>
  <c r="L44" i="91"/>
  <c r="H44" i="91"/>
  <c r="N44" i="91" s="1"/>
  <c r="D44" i="91"/>
  <c r="B44" i="91"/>
  <c r="X43" i="91"/>
  <c r="Z43" i="91" s="1"/>
  <c r="N43" i="91"/>
  <c r="L43" i="91"/>
  <c r="B43" i="91"/>
  <c r="Z42" i="91"/>
  <c r="X42" i="91"/>
  <c r="R42" i="91"/>
  <c r="N42" i="91"/>
  <c r="L42" i="91"/>
  <c r="B42" i="91"/>
  <c r="X41" i="91"/>
  <c r="Z41" i="91" s="1"/>
  <c r="L41" i="91"/>
  <c r="N41" i="91" s="1"/>
  <c r="B41" i="91"/>
  <c r="T40" i="91"/>
  <c r="Z40" i="91" s="1"/>
  <c r="R40" i="91"/>
  <c r="P40" i="91"/>
  <c r="X40" i="91" s="1"/>
  <c r="H40" i="91"/>
  <c r="D40" i="91"/>
  <c r="L40" i="91" s="1"/>
  <c r="B40" i="91"/>
  <c r="Z39" i="91"/>
  <c r="X39" i="91"/>
  <c r="R39" i="91"/>
  <c r="N39" i="91"/>
  <c r="L39" i="91"/>
  <c r="B39" i="91"/>
  <c r="Z38" i="91"/>
  <c r="T38" i="91"/>
  <c r="P38" i="91"/>
  <c r="X38" i="91" s="1"/>
  <c r="N38" i="91"/>
  <c r="H38" i="91"/>
  <c r="D38" i="91"/>
  <c r="L38" i="91" s="1"/>
  <c r="B38" i="91"/>
  <c r="Z37" i="91"/>
  <c r="X37" i="91"/>
  <c r="L37" i="91"/>
  <c r="N37" i="91" s="1"/>
  <c r="B37" i="91"/>
  <c r="X36" i="91"/>
  <c r="Z36" i="91" s="1"/>
  <c r="T36" i="91"/>
  <c r="P36" i="91"/>
  <c r="L36" i="91"/>
  <c r="H36" i="91"/>
  <c r="D36" i="91"/>
  <c r="B36" i="91"/>
  <c r="X35" i="91"/>
  <c r="Z35" i="91" s="1"/>
  <c r="N35" i="91"/>
  <c r="L35" i="91"/>
  <c r="B35" i="91"/>
  <c r="Z34" i="91"/>
  <c r="X34" i="91"/>
  <c r="R34" i="91"/>
  <c r="N34" i="91"/>
  <c r="L34" i="91"/>
  <c r="B34" i="91"/>
  <c r="X33" i="91"/>
  <c r="Z33" i="91" s="1"/>
  <c r="L33" i="91"/>
  <c r="N33" i="91" s="1"/>
  <c r="B33" i="91"/>
  <c r="X32" i="91"/>
  <c r="Z32" i="91" s="1"/>
  <c r="R32" i="91"/>
  <c r="N32" i="91"/>
  <c r="L32" i="91"/>
  <c r="B32" i="91"/>
  <c r="X31" i="91"/>
  <c r="Z31" i="91" s="1"/>
  <c r="N31" i="91"/>
  <c r="L31" i="91"/>
  <c r="B31" i="91"/>
  <c r="Z30" i="91"/>
  <c r="X30" i="91"/>
  <c r="R30" i="91"/>
  <c r="N30" i="91"/>
  <c r="L30" i="91"/>
  <c r="B30" i="91"/>
  <c r="T29" i="91"/>
  <c r="P29" i="91"/>
  <c r="X29" i="91" s="1"/>
  <c r="Z29" i="91" s="1"/>
  <c r="N29" i="91"/>
  <c r="L29" i="91"/>
  <c r="H29" i="91"/>
  <c r="D29" i="91"/>
  <c r="B29" i="91"/>
  <c r="Z28" i="91"/>
  <c r="X28" i="91"/>
  <c r="L28" i="91"/>
  <c r="N28" i="91" s="1"/>
  <c r="B28" i="91"/>
  <c r="Z27" i="91"/>
  <c r="X27" i="91"/>
  <c r="R27" i="91"/>
  <c r="N27" i="91"/>
  <c r="L27" i="91"/>
  <c r="B27" i="91"/>
  <c r="Z26" i="91"/>
  <c r="X26" i="91"/>
  <c r="L26" i="91"/>
  <c r="N26" i="91" s="1"/>
  <c r="B26" i="91"/>
  <c r="X25" i="91"/>
  <c r="Z25" i="91" s="1"/>
  <c r="R25" i="91"/>
  <c r="N25" i="91"/>
  <c r="L25" i="91"/>
  <c r="B25" i="91"/>
  <c r="Z24" i="91"/>
  <c r="X24" i="91"/>
  <c r="N24" i="91"/>
  <c r="L24" i="91"/>
  <c r="B24" i="91"/>
  <c r="Z23" i="91"/>
  <c r="X23" i="91"/>
  <c r="R23" i="91"/>
  <c r="L23" i="91"/>
  <c r="N23" i="91" s="1"/>
  <c r="B23" i="91"/>
  <c r="Z22" i="91"/>
  <c r="X22" i="91"/>
  <c r="L22" i="91"/>
  <c r="N22" i="91" s="1"/>
  <c r="B22" i="91"/>
  <c r="X21" i="91"/>
  <c r="Z21" i="91" s="1"/>
  <c r="R21" i="91"/>
  <c r="N21" i="91"/>
  <c r="L21" i="91"/>
  <c r="B21" i="91"/>
  <c r="Z20" i="91"/>
  <c r="X20" i="91"/>
  <c r="N20" i="91"/>
  <c r="L20" i="91"/>
  <c r="B20" i="91"/>
  <c r="V19" i="91"/>
  <c r="T19" i="91"/>
  <c r="P19" i="91"/>
  <c r="H19" i="91"/>
  <c r="D19" i="91"/>
  <c r="B19" i="91"/>
  <c r="X18" i="91"/>
  <c r="T18" i="91"/>
  <c r="P18" i="91"/>
  <c r="H18" i="91"/>
  <c r="D18" i="91"/>
  <c r="X14" i="91"/>
  <c r="V14" i="91"/>
  <c r="T14" i="91"/>
  <c r="Z14" i="91" s="1"/>
  <c r="P14" i="91"/>
  <c r="N14" i="91"/>
  <c r="L14" i="91"/>
  <c r="H14" i="91"/>
  <c r="D14" i="91"/>
  <c r="T12" i="91"/>
  <c r="V78" i="91" s="1"/>
  <c r="P12" i="91"/>
  <c r="R83" i="91" s="1"/>
  <c r="H12" i="91"/>
  <c r="D12" i="91"/>
  <c r="D6" i="91"/>
  <c r="D4" i="91"/>
  <c r="X71" i="88"/>
  <c r="Z71" i="88" s="1"/>
  <c r="L71" i="88"/>
  <c r="N71" i="88" s="1"/>
  <c r="J71" i="88"/>
  <c r="V67" i="88"/>
  <c r="T67" i="88"/>
  <c r="P67" i="88"/>
  <c r="H67" i="88"/>
  <c r="N67" i="88" s="1"/>
  <c r="D67" i="88"/>
  <c r="X65" i="88"/>
  <c r="Z65" i="88" s="1"/>
  <c r="N65" i="88"/>
  <c r="L65" i="88"/>
  <c r="B65" i="88"/>
  <c r="X64" i="88"/>
  <c r="T64" i="88"/>
  <c r="Z64" i="88" s="1"/>
  <c r="P64" i="88"/>
  <c r="N64" i="88"/>
  <c r="H64" i="88"/>
  <c r="D64" i="88"/>
  <c r="L64" i="88" s="1"/>
  <c r="B64" i="88"/>
  <c r="Z63" i="88"/>
  <c r="X63" i="88"/>
  <c r="L63" i="88"/>
  <c r="N63" i="88" s="1"/>
  <c r="B63" i="88"/>
  <c r="T62" i="88"/>
  <c r="P62" i="88"/>
  <c r="N62" i="88"/>
  <c r="L62" i="88"/>
  <c r="H62" i="88"/>
  <c r="D62" i="88"/>
  <c r="B62" i="88"/>
  <c r="X61" i="88"/>
  <c r="Z61" i="88" s="1"/>
  <c r="N61" i="88"/>
  <c r="L61" i="88"/>
  <c r="B61" i="88"/>
  <c r="Z60" i="88"/>
  <c r="X60" i="88"/>
  <c r="N60" i="88"/>
  <c r="L60" i="88"/>
  <c r="B60" i="88"/>
  <c r="X59" i="88"/>
  <c r="Z59" i="88" s="1"/>
  <c r="L59" i="88"/>
  <c r="N59" i="88" s="1"/>
  <c r="B59" i="88"/>
  <c r="X58" i="88"/>
  <c r="Z58" i="88" s="1"/>
  <c r="N58" i="88"/>
  <c r="L58" i="88"/>
  <c r="B58" i="88"/>
  <c r="X57" i="88"/>
  <c r="Z57" i="88" s="1"/>
  <c r="N57" i="88"/>
  <c r="L57" i="88"/>
  <c r="B57" i="88"/>
  <c r="T56" i="88"/>
  <c r="P56" i="88"/>
  <c r="X56" i="88" s="1"/>
  <c r="L56" i="88"/>
  <c r="J56" i="88"/>
  <c r="H56" i="88"/>
  <c r="D56" i="88"/>
  <c r="B56" i="88"/>
  <c r="X55" i="88"/>
  <c r="Z55" i="88" s="1"/>
  <c r="N55" i="88"/>
  <c r="L55" i="88"/>
  <c r="B55" i="88"/>
  <c r="T54" i="88"/>
  <c r="P54" i="88"/>
  <c r="X54" i="88" s="1"/>
  <c r="Z54" i="88" s="1"/>
  <c r="H54" i="88"/>
  <c r="D54" i="88"/>
  <c r="B54" i="88"/>
  <c r="X53" i="88"/>
  <c r="Z53" i="88" s="1"/>
  <c r="N53" i="88"/>
  <c r="L53" i="88"/>
  <c r="B53" i="88"/>
  <c r="X52" i="88"/>
  <c r="Z52" i="88" s="1"/>
  <c r="N52" i="88"/>
  <c r="L52" i="88"/>
  <c r="B52" i="88"/>
  <c r="Z51" i="88"/>
  <c r="X51" i="88"/>
  <c r="N51" i="88"/>
  <c r="L51" i="88"/>
  <c r="B51" i="88"/>
  <c r="T50" i="88"/>
  <c r="P50" i="88"/>
  <c r="N50" i="88"/>
  <c r="L50" i="88"/>
  <c r="H50" i="88"/>
  <c r="D50" i="88"/>
  <c r="B50" i="88"/>
  <c r="X49" i="88"/>
  <c r="Z49" i="88" s="1"/>
  <c r="N49" i="88"/>
  <c r="L49" i="88"/>
  <c r="B49" i="88"/>
  <c r="T48" i="88"/>
  <c r="P48" i="88"/>
  <c r="H48" i="88"/>
  <c r="N48" i="88" s="1"/>
  <c r="D48" i="88"/>
  <c r="L48" i="88" s="1"/>
  <c r="B48" i="88"/>
  <c r="X47" i="88"/>
  <c r="Z47" i="88" s="1"/>
  <c r="N47" i="88"/>
  <c r="L47" i="88"/>
  <c r="B47" i="88"/>
  <c r="T46" i="88"/>
  <c r="P46" i="88"/>
  <c r="L46" i="88"/>
  <c r="H46" i="88"/>
  <c r="N46" i="88" s="1"/>
  <c r="D46" i="88"/>
  <c r="B46" i="88"/>
  <c r="X45" i="88"/>
  <c r="Z45" i="88" s="1"/>
  <c r="N45" i="88"/>
  <c r="L45" i="88"/>
  <c r="B45" i="88"/>
  <c r="T44" i="88"/>
  <c r="Z44" i="88" s="1"/>
  <c r="P44" i="88"/>
  <c r="X44" i="88" s="1"/>
  <c r="H44" i="88"/>
  <c r="D44" i="88"/>
  <c r="B44" i="88"/>
  <c r="Z43" i="88"/>
  <c r="X43" i="88"/>
  <c r="N43" i="88"/>
  <c r="L43" i="88"/>
  <c r="B43" i="88"/>
  <c r="T42" i="88"/>
  <c r="Z42" i="88" s="1"/>
  <c r="P42" i="88"/>
  <c r="X42" i="88" s="1"/>
  <c r="L42" i="88"/>
  <c r="N42" i="88" s="1"/>
  <c r="H42" i="88"/>
  <c r="D42" i="88"/>
  <c r="B42" i="88"/>
  <c r="Z41" i="88"/>
  <c r="X41" i="88"/>
  <c r="L41" i="88"/>
  <c r="N41" i="88" s="1"/>
  <c r="J41" i="88"/>
  <c r="B41" i="88"/>
  <c r="X40" i="88"/>
  <c r="T40" i="88"/>
  <c r="Z40" i="88" s="1"/>
  <c r="P40" i="88"/>
  <c r="J40" i="88"/>
  <c r="H40" i="88"/>
  <c r="D40" i="88"/>
  <c r="B40" i="88"/>
  <c r="Z39" i="88"/>
  <c r="X39" i="88"/>
  <c r="N39" i="88"/>
  <c r="L39" i="88"/>
  <c r="B39" i="88"/>
  <c r="T38" i="88"/>
  <c r="P38" i="88"/>
  <c r="H38" i="88"/>
  <c r="D38" i="88"/>
  <c r="L38" i="88" s="1"/>
  <c r="B38" i="88"/>
  <c r="Z37" i="88"/>
  <c r="X37" i="88"/>
  <c r="L37" i="88"/>
  <c r="N37" i="88" s="1"/>
  <c r="B37" i="88"/>
  <c r="X36" i="88"/>
  <c r="Z36" i="88" s="1"/>
  <c r="L36" i="88"/>
  <c r="N36" i="88" s="1"/>
  <c r="B36" i="88"/>
  <c r="Z35" i="88"/>
  <c r="X35" i="88"/>
  <c r="R35" i="88"/>
  <c r="N35" i="88"/>
  <c r="L35" i="88"/>
  <c r="B35" i="88"/>
  <c r="X34" i="88"/>
  <c r="Z34" i="88" s="1"/>
  <c r="L34" i="88"/>
  <c r="N34" i="88" s="1"/>
  <c r="B34" i="88"/>
  <c r="Z33" i="88"/>
  <c r="X33" i="88"/>
  <c r="L33" i="88"/>
  <c r="N33" i="88" s="1"/>
  <c r="B33" i="88"/>
  <c r="X32" i="88"/>
  <c r="Z32" i="88" s="1"/>
  <c r="T32" i="88"/>
  <c r="P32" i="88"/>
  <c r="H32" i="88"/>
  <c r="N32" i="88" s="1"/>
  <c r="D32" i="88"/>
  <c r="L32" i="88" s="1"/>
  <c r="B32" i="88"/>
  <c r="Z31" i="88"/>
  <c r="X31" i="88"/>
  <c r="N31" i="88"/>
  <c r="L31" i="88"/>
  <c r="B31" i="88"/>
  <c r="X30" i="88"/>
  <c r="Z30" i="88" s="1"/>
  <c r="V30" i="88"/>
  <c r="N30" i="88"/>
  <c r="L30" i="88"/>
  <c r="B30" i="88"/>
  <c r="X29" i="88"/>
  <c r="Z29" i="88" s="1"/>
  <c r="L29" i="88"/>
  <c r="N29" i="88" s="1"/>
  <c r="B29" i="88"/>
  <c r="X28" i="88"/>
  <c r="Z28" i="88" s="1"/>
  <c r="L28" i="88"/>
  <c r="N28" i="88" s="1"/>
  <c r="B28" i="88"/>
  <c r="Z27" i="88"/>
  <c r="X27" i="88"/>
  <c r="N27" i="88"/>
  <c r="L27" i="88"/>
  <c r="B27" i="88"/>
  <c r="X26" i="88"/>
  <c r="Z26" i="88" s="1"/>
  <c r="N26" i="88"/>
  <c r="L26" i="88"/>
  <c r="B26" i="88"/>
  <c r="X25" i="88"/>
  <c r="Z25" i="88" s="1"/>
  <c r="L25" i="88"/>
  <c r="N25" i="88" s="1"/>
  <c r="B25" i="88"/>
  <c r="X24" i="88"/>
  <c r="Z24" i="88" s="1"/>
  <c r="L24" i="88"/>
  <c r="N24" i="88" s="1"/>
  <c r="B24" i="88"/>
  <c r="Z23" i="88"/>
  <c r="X23" i="88"/>
  <c r="T23" i="88"/>
  <c r="P23" i="88"/>
  <c r="H23" i="88"/>
  <c r="D23" i="88"/>
  <c r="L23" i="88" s="1"/>
  <c r="N23" i="88" s="1"/>
  <c r="B23" i="88"/>
  <c r="T22" i="88"/>
  <c r="P22" i="88"/>
  <c r="X22" i="88" s="1"/>
  <c r="H22" i="88"/>
  <c r="D22" i="88"/>
  <c r="Z18" i="88"/>
  <c r="X18" i="88"/>
  <c r="L18" i="88"/>
  <c r="N18" i="88" s="1"/>
  <c r="B18" i="88"/>
  <c r="X17" i="88"/>
  <c r="Z17" i="88" s="1"/>
  <c r="N17" i="88"/>
  <c r="L17" i="88"/>
  <c r="B17" i="88"/>
  <c r="T16" i="88"/>
  <c r="Z16" i="88" s="1"/>
  <c r="P16" i="88"/>
  <c r="X16" i="88" s="1"/>
  <c r="H16" i="88"/>
  <c r="N16" i="88" s="1"/>
  <c r="D16" i="88"/>
  <c r="L16" i="88" s="1"/>
  <c r="T14" i="88"/>
  <c r="P14" i="88"/>
  <c r="P12" i="88" s="1"/>
  <c r="R43" i="88" s="1"/>
  <c r="N14" i="88"/>
  <c r="L14" i="88"/>
  <c r="H14" i="88"/>
  <c r="D14" i="88"/>
  <c r="B14" i="88"/>
  <c r="T13" i="88"/>
  <c r="T12" i="88" s="1"/>
  <c r="V26" i="88" s="1"/>
  <c r="P13" i="88"/>
  <c r="X13" i="88" s="1"/>
  <c r="Z13" i="88" s="1"/>
  <c r="H13" i="88"/>
  <c r="H12" i="88" s="1"/>
  <c r="J25" i="88" s="1"/>
  <c r="D13" i="88"/>
  <c r="B13" i="88"/>
  <c r="D6" i="88"/>
  <c r="D4" i="88"/>
  <c r="X84" i="87"/>
  <c r="Z84" i="87" s="1"/>
  <c r="L84" i="87"/>
  <c r="N84" i="87" s="1"/>
  <c r="R82" i="87"/>
  <c r="T80" i="87"/>
  <c r="Z80" i="87" s="1"/>
  <c r="R80" i="87"/>
  <c r="P80" i="87"/>
  <c r="X80" i="87" s="1"/>
  <c r="H80" i="87"/>
  <c r="N80" i="87" s="1"/>
  <c r="D80" i="87"/>
  <c r="L80" i="87" s="1"/>
  <c r="X78" i="87"/>
  <c r="Z78" i="87" s="1"/>
  <c r="N78" i="87"/>
  <c r="L78" i="87"/>
  <c r="B78" i="87"/>
  <c r="T77" i="87"/>
  <c r="X77" i="87" s="1"/>
  <c r="Z77" i="87" s="1"/>
  <c r="P77" i="87"/>
  <c r="L77" i="87"/>
  <c r="N77" i="87" s="1"/>
  <c r="H77" i="87"/>
  <c r="D77" i="87"/>
  <c r="B77" i="87"/>
  <c r="X76" i="87"/>
  <c r="Z76" i="87" s="1"/>
  <c r="L76" i="87"/>
  <c r="N76" i="87" s="1"/>
  <c r="B76" i="87"/>
  <c r="T75" i="87"/>
  <c r="P75" i="87"/>
  <c r="X75" i="87" s="1"/>
  <c r="Z75" i="87" s="1"/>
  <c r="H75" i="87"/>
  <c r="D75" i="87"/>
  <c r="L75" i="87" s="1"/>
  <c r="B75" i="87"/>
  <c r="X74" i="87"/>
  <c r="Z74" i="87" s="1"/>
  <c r="L74" i="87"/>
  <c r="N74" i="87" s="1"/>
  <c r="B74" i="87"/>
  <c r="Z73" i="87"/>
  <c r="X73" i="87"/>
  <c r="T73" i="87"/>
  <c r="P73" i="87"/>
  <c r="H73" i="87"/>
  <c r="D73" i="87"/>
  <c r="L73" i="87" s="1"/>
  <c r="N73" i="87" s="1"/>
  <c r="B73" i="87"/>
  <c r="Z72" i="87"/>
  <c r="X72" i="87"/>
  <c r="N72" i="87"/>
  <c r="L72" i="87"/>
  <c r="B72" i="87"/>
  <c r="X71" i="87"/>
  <c r="Z71" i="87" s="1"/>
  <c r="N71" i="87"/>
  <c r="L71" i="87"/>
  <c r="B71" i="87"/>
  <c r="X70" i="87"/>
  <c r="Z70" i="87" s="1"/>
  <c r="L70" i="87"/>
  <c r="N70" i="87" s="1"/>
  <c r="B70" i="87"/>
  <c r="Z69" i="87"/>
  <c r="X69" i="87"/>
  <c r="N69" i="87"/>
  <c r="L69" i="87"/>
  <c r="B69" i="87"/>
  <c r="Z68" i="87"/>
  <c r="X68" i="87"/>
  <c r="L68" i="87"/>
  <c r="N68" i="87" s="1"/>
  <c r="B68" i="87"/>
  <c r="X67" i="87"/>
  <c r="Z67" i="87" s="1"/>
  <c r="N67" i="87"/>
  <c r="L67" i="87"/>
  <c r="B67" i="87"/>
  <c r="X66" i="87"/>
  <c r="Z66" i="87" s="1"/>
  <c r="L66" i="87"/>
  <c r="N66" i="87" s="1"/>
  <c r="B66" i="87"/>
  <c r="T65" i="87"/>
  <c r="P65" i="87"/>
  <c r="X65" i="87" s="1"/>
  <c r="Z65" i="87" s="1"/>
  <c r="L65" i="87"/>
  <c r="N65" i="87" s="1"/>
  <c r="H65" i="87"/>
  <c r="D65" i="87"/>
  <c r="B65" i="87"/>
  <c r="X64" i="87"/>
  <c r="Z64" i="87" s="1"/>
  <c r="L64" i="87"/>
  <c r="N64" i="87" s="1"/>
  <c r="F64" i="87"/>
  <c r="B64" i="87"/>
  <c r="T63" i="87"/>
  <c r="P63" i="87"/>
  <c r="X63" i="87" s="1"/>
  <c r="H63" i="87"/>
  <c r="F63" i="87"/>
  <c r="D63" i="87"/>
  <c r="L63" i="87" s="1"/>
  <c r="B63" i="87"/>
  <c r="X62" i="87"/>
  <c r="Z62" i="87" s="1"/>
  <c r="N62" i="87"/>
  <c r="L62" i="87"/>
  <c r="B62" i="87"/>
  <c r="Z61" i="87"/>
  <c r="X61" i="87"/>
  <c r="N61" i="87"/>
  <c r="L61" i="87"/>
  <c r="B61" i="87"/>
  <c r="X60" i="87"/>
  <c r="Z60" i="87" s="1"/>
  <c r="R60" i="87"/>
  <c r="N60" i="87"/>
  <c r="L60" i="87"/>
  <c r="B60" i="87"/>
  <c r="T59" i="87"/>
  <c r="P59" i="87"/>
  <c r="X59" i="87" s="1"/>
  <c r="N59" i="87"/>
  <c r="L59" i="87"/>
  <c r="H59" i="87"/>
  <c r="D59" i="87"/>
  <c r="B59" i="87"/>
  <c r="Z58" i="87"/>
  <c r="X58" i="87"/>
  <c r="L58" i="87"/>
  <c r="N58" i="87" s="1"/>
  <c r="B58" i="87"/>
  <c r="T57" i="87"/>
  <c r="P57" i="87"/>
  <c r="X57" i="87" s="1"/>
  <c r="Z57" i="87" s="1"/>
  <c r="L57" i="87"/>
  <c r="N57" i="87" s="1"/>
  <c r="H57" i="87"/>
  <c r="D57" i="87"/>
  <c r="B57" i="87"/>
  <c r="X56" i="87"/>
  <c r="Z56" i="87" s="1"/>
  <c r="L56" i="87"/>
  <c r="N56" i="87" s="1"/>
  <c r="B56" i="87"/>
  <c r="X55" i="87"/>
  <c r="Z55" i="87" s="1"/>
  <c r="N55" i="87"/>
  <c r="L55" i="87"/>
  <c r="B55" i="87"/>
  <c r="Z54" i="87"/>
  <c r="X54" i="87"/>
  <c r="T54" i="87"/>
  <c r="P54" i="87"/>
  <c r="H54" i="87"/>
  <c r="D54" i="87"/>
  <c r="L54" i="87" s="1"/>
  <c r="N54" i="87" s="1"/>
  <c r="B54" i="87"/>
  <c r="Z53" i="87"/>
  <c r="X53" i="87"/>
  <c r="N53" i="87"/>
  <c r="L53" i="87"/>
  <c r="B53" i="87"/>
  <c r="T52" i="87"/>
  <c r="P52" i="87"/>
  <c r="L52" i="87"/>
  <c r="H52" i="87"/>
  <c r="N52" i="87" s="1"/>
  <c r="D52" i="87"/>
  <c r="B52" i="87"/>
  <c r="X51" i="87"/>
  <c r="Z51" i="87" s="1"/>
  <c r="L51" i="87"/>
  <c r="N51" i="87" s="1"/>
  <c r="B51" i="87"/>
  <c r="T50" i="87"/>
  <c r="R50" i="87"/>
  <c r="P50" i="87"/>
  <c r="X50" i="87" s="1"/>
  <c r="H50" i="87"/>
  <c r="N50" i="87" s="1"/>
  <c r="D50" i="87"/>
  <c r="L50" i="87" s="1"/>
  <c r="B50" i="87"/>
  <c r="Z49" i="87"/>
  <c r="X49" i="87"/>
  <c r="R49" i="87"/>
  <c r="N49" i="87"/>
  <c r="L49" i="87"/>
  <c r="B49" i="87"/>
  <c r="T48" i="87"/>
  <c r="P48" i="87"/>
  <c r="X48" i="87" s="1"/>
  <c r="L48" i="87"/>
  <c r="N48" i="87" s="1"/>
  <c r="H48" i="87"/>
  <c r="D48" i="87"/>
  <c r="B48" i="87"/>
  <c r="Z47" i="87"/>
  <c r="X47" i="87"/>
  <c r="L47" i="87"/>
  <c r="N47" i="87" s="1"/>
  <c r="B47" i="87"/>
  <c r="X46" i="87"/>
  <c r="T46" i="87"/>
  <c r="Z46" i="87" s="1"/>
  <c r="P46" i="87"/>
  <c r="H46" i="87"/>
  <c r="D46" i="87"/>
  <c r="B46" i="87"/>
  <c r="Z45" i="87"/>
  <c r="X45" i="87"/>
  <c r="N45" i="87"/>
  <c r="L45" i="87"/>
  <c r="B45" i="87"/>
  <c r="Z44" i="87"/>
  <c r="X44" i="87"/>
  <c r="L44" i="87"/>
  <c r="N44" i="87" s="1"/>
  <c r="B44" i="87"/>
  <c r="X43" i="87"/>
  <c r="Z43" i="87" s="1"/>
  <c r="T43" i="87"/>
  <c r="P43" i="87"/>
  <c r="H43" i="87"/>
  <c r="D43" i="87"/>
  <c r="L43" i="87" s="1"/>
  <c r="N43" i="87" s="1"/>
  <c r="B43" i="87"/>
  <c r="X42" i="87"/>
  <c r="Z42" i="87" s="1"/>
  <c r="L42" i="87"/>
  <c r="N42" i="87" s="1"/>
  <c r="B42" i="87"/>
  <c r="T41" i="87"/>
  <c r="R41" i="87"/>
  <c r="P41" i="87"/>
  <c r="L41" i="87"/>
  <c r="H41" i="87"/>
  <c r="N41" i="87" s="1"/>
  <c r="D41" i="87"/>
  <c r="B41" i="87"/>
  <c r="X40" i="87"/>
  <c r="Z40" i="87" s="1"/>
  <c r="R40" i="87"/>
  <c r="N40" i="87"/>
  <c r="L40" i="87"/>
  <c r="B40" i="87"/>
  <c r="T39" i="87"/>
  <c r="Z39" i="87" s="1"/>
  <c r="P39" i="87"/>
  <c r="X39" i="87" s="1"/>
  <c r="N39" i="87"/>
  <c r="H39" i="87"/>
  <c r="D39" i="87"/>
  <c r="L39" i="87" s="1"/>
  <c r="B39" i="87"/>
  <c r="X38" i="87"/>
  <c r="Z38" i="87" s="1"/>
  <c r="N38" i="87"/>
  <c r="L38" i="87"/>
  <c r="B38" i="87"/>
  <c r="T37" i="87"/>
  <c r="X37" i="87" s="1"/>
  <c r="Z37" i="87" s="1"/>
  <c r="P37" i="87"/>
  <c r="N37" i="87"/>
  <c r="L37" i="87"/>
  <c r="H37" i="87"/>
  <c r="D37" i="87"/>
  <c r="B37" i="87"/>
  <c r="X36" i="87"/>
  <c r="Z36" i="87" s="1"/>
  <c r="L36" i="87"/>
  <c r="N36" i="87" s="1"/>
  <c r="B36" i="87"/>
  <c r="X35" i="87"/>
  <c r="Z35" i="87" s="1"/>
  <c r="L35" i="87"/>
  <c r="N35" i="87" s="1"/>
  <c r="B35" i="87"/>
  <c r="X34" i="87"/>
  <c r="Z34" i="87" s="1"/>
  <c r="N34" i="87"/>
  <c r="L34" i="87"/>
  <c r="B34" i="87"/>
  <c r="Z33" i="87"/>
  <c r="X33" i="87"/>
  <c r="R33" i="87"/>
  <c r="N33" i="87"/>
  <c r="L33" i="87"/>
  <c r="B33" i="87"/>
  <c r="T32" i="87"/>
  <c r="P32" i="87"/>
  <c r="X32" i="87" s="1"/>
  <c r="N32" i="87"/>
  <c r="L32" i="87"/>
  <c r="H32" i="87"/>
  <c r="D32" i="87"/>
  <c r="B32" i="87"/>
  <c r="X31" i="87"/>
  <c r="Z31" i="87" s="1"/>
  <c r="L31" i="87"/>
  <c r="N31" i="87" s="1"/>
  <c r="B31" i="87"/>
  <c r="X30" i="87"/>
  <c r="Z30" i="87" s="1"/>
  <c r="N30" i="87"/>
  <c r="L30" i="87"/>
  <c r="B30" i="87"/>
  <c r="Z29" i="87"/>
  <c r="X29" i="87"/>
  <c r="N29" i="87"/>
  <c r="L29" i="87"/>
  <c r="B29" i="87"/>
  <c r="X28" i="87"/>
  <c r="Z28" i="87" s="1"/>
  <c r="V28" i="87"/>
  <c r="R28" i="87"/>
  <c r="N28" i="87"/>
  <c r="L28" i="87"/>
  <c r="B28" i="87"/>
  <c r="X27" i="87"/>
  <c r="Z27" i="87" s="1"/>
  <c r="L27" i="87"/>
  <c r="N27" i="87" s="1"/>
  <c r="B27" i="87"/>
  <c r="X26" i="87"/>
  <c r="Z26" i="87" s="1"/>
  <c r="L26" i="87"/>
  <c r="N26" i="87" s="1"/>
  <c r="B26" i="87"/>
  <c r="Z25" i="87"/>
  <c r="X25" i="87"/>
  <c r="N25" i="87"/>
  <c r="L25" i="87"/>
  <c r="B25" i="87"/>
  <c r="X24" i="87"/>
  <c r="Z24" i="87" s="1"/>
  <c r="R24" i="87"/>
  <c r="L24" i="87"/>
  <c r="N24" i="87" s="1"/>
  <c r="B24" i="87"/>
  <c r="T23" i="87"/>
  <c r="Z23" i="87" s="1"/>
  <c r="P23" i="87"/>
  <c r="X23" i="87" s="1"/>
  <c r="N23" i="87"/>
  <c r="H23" i="87"/>
  <c r="D23" i="87"/>
  <c r="L23" i="87" s="1"/>
  <c r="B23" i="87"/>
  <c r="T22" i="87"/>
  <c r="R22" i="87"/>
  <c r="P22" i="87"/>
  <c r="X22" i="87" s="1"/>
  <c r="H22" i="87"/>
  <c r="D22" i="87"/>
  <c r="L22" i="87" s="1"/>
  <c r="R20" i="87"/>
  <c r="P20" i="87"/>
  <c r="X18" i="87"/>
  <c r="Z18" i="87" s="1"/>
  <c r="N18" i="87"/>
  <c r="L18" i="87"/>
  <c r="B18" i="87"/>
  <c r="Z17" i="87"/>
  <c r="X17" i="87"/>
  <c r="N17" i="87"/>
  <c r="L17" i="87"/>
  <c r="F17" i="87"/>
  <c r="B17" i="87"/>
  <c r="T16" i="87"/>
  <c r="P16" i="87"/>
  <c r="X16" i="87" s="1"/>
  <c r="H16" i="87"/>
  <c r="F16" i="87"/>
  <c r="D16" i="87"/>
  <c r="L16" i="87" s="1"/>
  <c r="T14" i="87"/>
  <c r="P14" i="87"/>
  <c r="X14" i="87" s="1"/>
  <c r="Z14" i="87" s="1"/>
  <c r="L14" i="87"/>
  <c r="N14" i="87" s="1"/>
  <c r="H14" i="87"/>
  <c r="D14" i="87"/>
  <c r="B14" i="87"/>
  <c r="T13" i="87"/>
  <c r="T12" i="87" s="1"/>
  <c r="V67" i="87" s="1"/>
  <c r="P13" i="87"/>
  <c r="H13" i="87"/>
  <c r="H12" i="87" s="1"/>
  <c r="J31" i="87" s="1"/>
  <c r="D13" i="87"/>
  <c r="D12" i="87" s="1"/>
  <c r="B13" i="87"/>
  <c r="P12" i="87"/>
  <c r="D6" i="87"/>
  <c r="D4" i="87"/>
  <c r="Z32" i="85"/>
  <c r="X32" i="85"/>
  <c r="L32" i="85"/>
  <c r="N32" i="85" s="1"/>
  <c r="T28" i="85"/>
  <c r="Z28" i="85" s="1"/>
  <c r="R28" i="85"/>
  <c r="P28" i="85"/>
  <c r="H28" i="85"/>
  <c r="N28" i="85" s="1"/>
  <c r="D28" i="85"/>
  <c r="L28" i="85" s="1"/>
  <c r="X26" i="85"/>
  <c r="Z26" i="85" s="1"/>
  <c r="R26" i="85"/>
  <c r="N26" i="85"/>
  <c r="L26" i="85"/>
  <c r="B26" i="85"/>
  <c r="Z25" i="85"/>
  <c r="X25" i="85"/>
  <c r="T25" i="85"/>
  <c r="P25" i="85"/>
  <c r="N25" i="85"/>
  <c r="L25" i="85"/>
  <c r="J25" i="85"/>
  <c r="H25" i="85"/>
  <c r="D25" i="85"/>
  <c r="B25" i="85"/>
  <c r="X24" i="85"/>
  <c r="Z24" i="85" s="1"/>
  <c r="N24" i="85"/>
  <c r="L24" i="85"/>
  <c r="J24" i="85"/>
  <c r="F24" i="85"/>
  <c r="B24" i="85"/>
  <c r="T23" i="85"/>
  <c r="P23" i="85"/>
  <c r="X23" i="85" s="1"/>
  <c r="J23" i="85"/>
  <c r="H23" i="85"/>
  <c r="N23" i="85" s="1"/>
  <c r="F23" i="85"/>
  <c r="D23" i="85"/>
  <c r="L23" i="85" s="1"/>
  <c r="B23" i="85"/>
  <c r="X22" i="85"/>
  <c r="Z22" i="85" s="1"/>
  <c r="L22" i="85"/>
  <c r="N22" i="85" s="1"/>
  <c r="F22" i="85"/>
  <c r="B22" i="85"/>
  <c r="Z21" i="85"/>
  <c r="T21" i="85"/>
  <c r="P21" i="85"/>
  <c r="X21" i="85" s="1"/>
  <c r="H21" i="85"/>
  <c r="D21" i="85"/>
  <c r="L21" i="85" s="1"/>
  <c r="N21" i="85" s="1"/>
  <c r="B21" i="85"/>
  <c r="T20" i="85"/>
  <c r="P20" i="85"/>
  <c r="H20" i="85"/>
  <c r="F20" i="85"/>
  <c r="D20" i="85"/>
  <c r="L20" i="85" s="1"/>
  <c r="H18" i="85"/>
  <c r="X16" i="85"/>
  <c r="Z16" i="85" s="1"/>
  <c r="L16" i="85"/>
  <c r="N16" i="85" s="1"/>
  <c r="B16" i="85"/>
  <c r="Z15" i="85"/>
  <c r="X15" i="85"/>
  <c r="T15" i="85"/>
  <c r="P15" i="85"/>
  <c r="H15" i="85"/>
  <c r="D15" i="85"/>
  <c r="L15" i="85" s="1"/>
  <c r="N15" i="85" s="1"/>
  <c r="T13" i="85"/>
  <c r="P13" i="85"/>
  <c r="H13" i="85"/>
  <c r="H12" i="85" s="1"/>
  <c r="N12" i="85" s="1"/>
  <c r="D13" i="85"/>
  <c r="D12" i="85" s="1"/>
  <c r="F18" i="85" s="1"/>
  <c r="B13" i="85"/>
  <c r="P12" i="85"/>
  <c r="L12" i="85"/>
  <c r="D6" i="85"/>
  <c r="D4" i="85"/>
  <c r="X117" i="84"/>
  <c r="Z117" i="84" s="1"/>
  <c r="L117" i="84"/>
  <c r="N117" i="84" s="1"/>
  <c r="T113" i="84"/>
  <c r="Z113" i="84" s="1"/>
  <c r="P113" i="84"/>
  <c r="X113" i="84" s="1"/>
  <c r="H113" i="84"/>
  <c r="N113" i="84" s="1"/>
  <c r="D113" i="84"/>
  <c r="L113" i="84" s="1"/>
  <c r="X111" i="84"/>
  <c r="Z111" i="84" s="1"/>
  <c r="L111" i="84"/>
  <c r="N111" i="84" s="1"/>
  <c r="B111" i="84"/>
  <c r="Z110" i="84"/>
  <c r="X110" i="84"/>
  <c r="T110" i="84"/>
  <c r="P110" i="84"/>
  <c r="H110" i="84"/>
  <c r="D110" i="84"/>
  <c r="L110" i="84" s="1"/>
  <c r="N110" i="84" s="1"/>
  <c r="B110" i="84"/>
  <c r="Z109" i="84"/>
  <c r="X109" i="84"/>
  <c r="L109" i="84"/>
  <c r="N109" i="84" s="1"/>
  <c r="B109" i="84"/>
  <c r="T108" i="84"/>
  <c r="P108" i="84"/>
  <c r="H108" i="84"/>
  <c r="D108" i="84"/>
  <c r="L108" i="84" s="1"/>
  <c r="B108" i="84"/>
  <c r="X107" i="84"/>
  <c r="Z107" i="84" s="1"/>
  <c r="L107" i="84"/>
  <c r="N107" i="84" s="1"/>
  <c r="B107" i="84"/>
  <c r="T106" i="84"/>
  <c r="P106" i="84"/>
  <c r="X106" i="84" s="1"/>
  <c r="Z106" i="84" s="1"/>
  <c r="H106" i="84"/>
  <c r="D106" i="84"/>
  <c r="L106" i="84" s="1"/>
  <c r="N106" i="84" s="1"/>
  <c r="B106" i="84"/>
  <c r="X105" i="84"/>
  <c r="Z105" i="84" s="1"/>
  <c r="L105" i="84"/>
  <c r="N105" i="84" s="1"/>
  <c r="B105" i="84"/>
  <c r="Z104" i="84"/>
  <c r="X104" i="84"/>
  <c r="N104" i="84"/>
  <c r="L104" i="84"/>
  <c r="B104" i="84"/>
  <c r="Z103" i="84"/>
  <c r="X103" i="84"/>
  <c r="N103" i="84"/>
  <c r="L103" i="84"/>
  <c r="B103" i="84"/>
  <c r="Z102" i="84"/>
  <c r="X102" i="84"/>
  <c r="N102" i="84"/>
  <c r="L102" i="84"/>
  <c r="B102" i="84"/>
  <c r="T101" i="84"/>
  <c r="P101" i="84"/>
  <c r="X101" i="84" s="1"/>
  <c r="H101" i="84"/>
  <c r="D101" i="84"/>
  <c r="L101" i="84" s="1"/>
  <c r="B101" i="84"/>
  <c r="X100" i="84"/>
  <c r="Z100" i="84" s="1"/>
  <c r="N100" i="84"/>
  <c r="L100" i="84"/>
  <c r="B100" i="84"/>
  <c r="T99" i="84"/>
  <c r="P99" i="84"/>
  <c r="X99" i="84" s="1"/>
  <c r="N99" i="84"/>
  <c r="L99" i="84"/>
  <c r="H99" i="84"/>
  <c r="D99" i="84"/>
  <c r="B99" i="84"/>
  <c r="Z98" i="84"/>
  <c r="X98" i="84"/>
  <c r="L98" i="84"/>
  <c r="N98" i="84" s="1"/>
  <c r="B98" i="84"/>
  <c r="X97" i="84"/>
  <c r="Z97" i="84" s="1"/>
  <c r="L97" i="84"/>
  <c r="N97" i="84" s="1"/>
  <c r="B97" i="84"/>
  <c r="Z96" i="84"/>
  <c r="X96" i="84"/>
  <c r="N96" i="84"/>
  <c r="L96" i="84"/>
  <c r="B96" i="84"/>
  <c r="X95" i="84"/>
  <c r="T95" i="84"/>
  <c r="P95" i="84"/>
  <c r="H95" i="84"/>
  <c r="N95" i="84" s="1"/>
  <c r="D95" i="84"/>
  <c r="L95" i="84" s="1"/>
  <c r="B95" i="84"/>
  <c r="X94" i="84"/>
  <c r="Z94" i="84" s="1"/>
  <c r="N94" i="84"/>
  <c r="L94" i="84"/>
  <c r="B94" i="84"/>
  <c r="X93" i="84"/>
  <c r="Z93" i="84" s="1"/>
  <c r="N93" i="84"/>
  <c r="L93" i="84"/>
  <c r="B93" i="84"/>
  <c r="T92" i="84"/>
  <c r="Z92" i="84" s="1"/>
  <c r="P92" i="84"/>
  <c r="X92" i="84" s="1"/>
  <c r="N92" i="84"/>
  <c r="L92" i="84"/>
  <c r="H92" i="84"/>
  <c r="D92" i="84"/>
  <c r="B92" i="84"/>
  <c r="X91" i="84"/>
  <c r="Z91" i="84" s="1"/>
  <c r="L91" i="84"/>
  <c r="N91" i="84" s="1"/>
  <c r="B91" i="84"/>
  <c r="X90" i="84"/>
  <c r="T90" i="84"/>
  <c r="Z90" i="84" s="1"/>
  <c r="P90" i="84"/>
  <c r="H90" i="84"/>
  <c r="D90" i="84"/>
  <c r="L90" i="84" s="1"/>
  <c r="B90" i="84"/>
  <c r="Z89" i="84"/>
  <c r="X89" i="84"/>
  <c r="N89" i="84"/>
  <c r="L89" i="84"/>
  <c r="B89" i="84"/>
  <c r="T88" i="84"/>
  <c r="X88" i="84" s="1"/>
  <c r="Z88" i="84" s="1"/>
  <c r="P88" i="84"/>
  <c r="N88" i="84"/>
  <c r="H88" i="84"/>
  <c r="D88" i="84"/>
  <c r="L88" i="84" s="1"/>
  <c r="B88" i="84"/>
  <c r="X87" i="84"/>
  <c r="Z87" i="84" s="1"/>
  <c r="L87" i="84"/>
  <c r="N87" i="84" s="1"/>
  <c r="B87" i="84"/>
  <c r="Z86" i="84"/>
  <c r="X86" i="84"/>
  <c r="T86" i="84"/>
  <c r="P86" i="84"/>
  <c r="H86" i="84"/>
  <c r="D86" i="84"/>
  <c r="L86" i="84" s="1"/>
  <c r="N86" i="84" s="1"/>
  <c r="B86" i="84"/>
  <c r="Z85" i="84"/>
  <c r="X85" i="84"/>
  <c r="N85" i="84"/>
  <c r="L85" i="84"/>
  <c r="B85" i="84"/>
  <c r="T84" i="84"/>
  <c r="P84" i="84"/>
  <c r="L84" i="84"/>
  <c r="H84" i="84"/>
  <c r="N84" i="84" s="1"/>
  <c r="D84" i="84"/>
  <c r="B84" i="84"/>
  <c r="X83" i="84"/>
  <c r="Z83" i="84" s="1"/>
  <c r="L83" i="84"/>
  <c r="N83" i="84" s="1"/>
  <c r="B83" i="84"/>
  <c r="T82" i="84"/>
  <c r="Z82" i="84" s="1"/>
  <c r="P82" i="84"/>
  <c r="X82" i="84" s="1"/>
  <c r="N82" i="84"/>
  <c r="H82" i="84"/>
  <c r="D82" i="84"/>
  <c r="L82" i="84" s="1"/>
  <c r="B82" i="84"/>
  <c r="Z81" i="84"/>
  <c r="X81" i="84"/>
  <c r="N81" i="84"/>
  <c r="L81" i="84"/>
  <c r="B81" i="84"/>
  <c r="T80" i="84"/>
  <c r="P80" i="84"/>
  <c r="X80" i="84" s="1"/>
  <c r="N80" i="84"/>
  <c r="L80" i="84"/>
  <c r="H80" i="84"/>
  <c r="D80" i="84"/>
  <c r="B80" i="84"/>
  <c r="X79" i="84"/>
  <c r="Z79" i="84" s="1"/>
  <c r="L79" i="84"/>
  <c r="N79" i="84" s="1"/>
  <c r="B79" i="84"/>
  <c r="X78" i="84"/>
  <c r="T78" i="84"/>
  <c r="Z78" i="84" s="1"/>
  <c r="P78" i="84"/>
  <c r="H78" i="84"/>
  <c r="D78" i="84"/>
  <c r="B78" i="84"/>
  <c r="Z77" i="84"/>
  <c r="X77" i="84"/>
  <c r="L77" i="84"/>
  <c r="N77" i="84" s="1"/>
  <c r="B77" i="84"/>
  <c r="Z76" i="84"/>
  <c r="T76" i="84"/>
  <c r="P76" i="84"/>
  <c r="X76" i="84" s="1"/>
  <c r="H76" i="84"/>
  <c r="D76" i="84"/>
  <c r="L76" i="84" s="1"/>
  <c r="B76" i="84"/>
  <c r="X75" i="84"/>
  <c r="Z75" i="84" s="1"/>
  <c r="N75" i="84"/>
  <c r="L75" i="84"/>
  <c r="B75" i="84"/>
  <c r="X74" i="84"/>
  <c r="Z74" i="84" s="1"/>
  <c r="T74" i="84"/>
  <c r="P74" i="84"/>
  <c r="H74" i="84"/>
  <c r="D74" i="84"/>
  <c r="L74" i="84" s="1"/>
  <c r="B74" i="84"/>
  <c r="Z73" i="84"/>
  <c r="X73" i="84"/>
  <c r="N73" i="84"/>
  <c r="L73" i="84"/>
  <c r="B73" i="84"/>
  <c r="T72" i="84"/>
  <c r="P72" i="84"/>
  <c r="L72" i="84"/>
  <c r="H72" i="84"/>
  <c r="N72" i="84" s="1"/>
  <c r="D72" i="84"/>
  <c r="B72" i="84"/>
  <c r="Z71" i="84"/>
  <c r="X71" i="84"/>
  <c r="N71" i="84"/>
  <c r="L71" i="84"/>
  <c r="B71" i="84"/>
  <c r="X70" i="84"/>
  <c r="Z70" i="84" s="1"/>
  <c r="L70" i="84"/>
  <c r="N70" i="84" s="1"/>
  <c r="B70" i="84"/>
  <c r="Z69" i="84"/>
  <c r="X69" i="84"/>
  <c r="L69" i="84"/>
  <c r="N69" i="84" s="1"/>
  <c r="B69" i="84"/>
  <c r="Z68" i="84"/>
  <c r="X68" i="84"/>
  <c r="N68" i="84"/>
  <c r="L68" i="84"/>
  <c r="B68" i="84"/>
  <c r="X67" i="84"/>
  <c r="Z67" i="84" s="1"/>
  <c r="L67" i="84"/>
  <c r="N67" i="84" s="1"/>
  <c r="B67" i="84"/>
  <c r="T66" i="84"/>
  <c r="Z66" i="84" s="1"/>
  <c r="P66" i="84"/>
  <c r="X66" i="84" s="1"/>
  <c r="N66" i="84"/>
  <c r="H66" i="84"/>
  <c r="D66" i="84"/>
  <c r="L66" i="84" s="1"/>
  <c r="B66" i="84"/>
  <c r="X65" i="84"/>
  <c r="Z65" i="84" s="1"/>
  <c r="N65" i="84"/>
  <c r="L65" i="84"/>
  <c r="B65" i="84"/>
  <c r="X64" i="84"/>
  <c r="Z64" i="84" s="1"/>
  <c r="N64" i="84"/>
  <c r="L64" i="84"/>
  <c r="B64" i="84"/>
  <c r="Z63" i="84"/>
  <c r="X63" i="84"/>
  <c r="L63" i="84"/>
  <c r="N63" i="84" s="1"/>
  <c r="B63" i="84"/>
  <c r="Z62" i="84"/>
  <c r="X62" i="84"/>
  <c r="N62" i="84"/>
  <c r="L62" i="84"/>
  <c r="B62" i="84"/>
  <c r="Z61" i="84"/>
  <c r="X61" i="84"/>
  <c r="L61" i="84"/>
  <c r="N61" i="84" s="1"/>
  <c r="B61" i="84"/>
  <c r="X60" i="84"/>
  <c r="Z60" i="84" s="1"/>
  <c r="N60" i="84"/>
  <c r="L60" i="84"/>
  <c r="B60" i="84"/>
  <c r="X59" i="84"/>
  <c r="Z59" i="84" s="1"/>
  <c r="L59" i="84"/>
  <c r="N59" i="84" s="1"/>
  <c r="B59" i="84"/>
  <c r="X58" i="84"/>
  <c r="Z58" i="84" s="1"/>
  <c r="L58" i="84"/>
  <c r="N58" i="84" s="1"/>
  <c r="B58" i="84"/>
  <c r="T57" i="84"/>
  <c r="P57" i="84"/>
  <c r="H57" i="84"/>
  <c r="N57" i="84" s="1"/>
  <c r="D57" i="84"/>
  <c r="L57" i="84" s="1"/>
  <c r="B57" i="84"/>
  <c r="T56" i="84"/>
  <c r="P56" i="84"/>
  <c r="H56" i="84"/>
  <c r="D56" i="84"/>
  <c r="X52" i="84"/>
  <c r="Z52" i="84" s="1"/>
  <c r="N52" i="84"/>
  <c r="L52" i="84"/>
  <c r="B52" i="84"/>
  <c r="Z51" i="84"/>
  <c r="X51" i="84"/>
  <c r="L51" i="84"/>
  <c r="N51" i="84" s="1"/>
  <c r="B51" i="84"/>
  <c r="Z50" i="84"/>
  <c r="X50" i="84"/>
  <c r="N50" i="84"/>
  <c r="L50" i="84"/>
  <c r="B50" i="84"/>
  <c r="Z49" i="84"/>
  <c r="X49" i="84"/>
  <c r="N49" i="84"/>
  <c r="L49" i="84"/>
  <c r="B49" i="84"/>
  <c r="X48" i="84"/>
  <c r="Z48" i="84" s="1"/>
  <c r="N48" i="84"/>
  <c r="L48" i="84"/>
  <c r="B48" i="84"/>
  <c r="Z47" i="84"/>
  <c r="X47" i="84"/>
  <c r="L47" i="84"/>
  <c r="N47" i="84" s="1"/>
  <c r="B47" i="84"/>
  <c r="X46" i="84"/>
  <c r="Z46" i="84" s="1"/>
  <c r="L46" i="84"/>
  <c r="N46" i="84" s="1"/>
  <c r="B46" i="84"/>
  <c r="Z45" i="84"/>
  <c r="X45" i="84"/>
  <c r="L45" i="84"/>
  <c r="N45" i="84" s="1"/>
  <c r="B45" i="84"/>
  <c r="X44" i="84"/>
  <c r="Z44" i="84" s="1"/>
  <c r="N44" i="84"/>
  <c r="L44" i="84"/>
  <c r="B44" i="84"/>
  <c r="Z43" i="84"/>
  <c r="X43" i="84"/>
  <c r="L43" i="84"/>
  <c r="N43" i="84" s="1"/>
  <c r="B43" i="84"/>
  <c r="X42" i="84"/>
  <c r="Z42" i="84" s="1"/>
  <c r="L42" i="84"/>
  <c r="N42" i="84" s="1"/>
  <c r="B42" i="84"/>
  <c r="X41" i="84"/>
  <c r="Z41" i="84" s="1"/>
  <c r="N41" i="84"/>
  <c r="L41" i="84"/>
  <c r="B41" i="84"/>
  <c r="X40" i="84"/>
  <c r="Z40" i="84" s="1"/>
  <c r="N40" i="84"/>
  <c r="L40" i="84"/>
  <c r="B40" i="84"/>
  <c r="Z39" i="84"/>
  <c r="X39" i="84"/>
  <c r="L39" i="84"/>
  <c r="N39" i="84" s="1"/>
  <c r="B39" i="84"/>
  <c r="T38" i="84"/>
  <c r="Z38" i="84" s="1"/>
  <c r="P38" i="84"/>
  <c r="X38" i="84" s="1"/>
  <c r="H38" i="84"/>
  <c r="D38" i="84"/>
  <c r="T36" i="84"/>
  <c r="Z36" i="84" s="1"/>
  <c r="P36" i="84"/>
  <c r="X36" i="84" s="1"/>
  <c r="N36" i="84"/>
  <c r="L36" i="84"/>
  <c r="H36" i="84"/>
  <c r="D36" i="84"/>
  <c r="B36" i="84"/>
  <c r="X35" i="84"/>
  <c r="Z35" i="84" s="1"/>
  <c r="T35" i="84"/>
  <c r="P35" i="84"/>
  <c r="L35" i="84"/>
  <c r="H35" i="84"/>
  <c r="N35" i="84" s="1"/>
  <c r="D35" i="84"/>
  <c r="B35" i="84"/>
  <c r="T34" i="84"/>
  <c r="P34" i="84"/>
  <c r="N34" i="84"/>
  <c r="L34" i="84"/>
  <c r="H34" i="84"/>
  <c r="D34" i="84"/>
  <c r="B34" i="84"/>
  <c r="T33" i="84"/>
  <c r="P33" i="84"/>
  <c r="L33" i="84"/>
  <c r="H33" i="84"/>
  <c r="D33" i="84"/>
  <c r="B33" i="84"/>
  <c r="T32" i="84"/>
  <c r="P32" i="84"/>
  <c r="X32" i="84" s="1"/>
  <c r="L32" i="84"/>
  <c r="N32" i="84" s="1"/>
  <c r="H32" i="84"/>
  <c r="D32" i="84"/>
  <c r="B32" i="84"/>
  <c r="Z31" i="84"/>
  <c r="X31" i="84"/>
  <c r="T31" i="84"/>
  <c r="P31" i="84"/>
  <c r="L31" i="84"/>
  <c r="H31" i="84"/>
  <c r="N31" i="84" s="1"/>
  <c r="D31" i="84"/>
  <c r="B31" i="84"/>
  <c r="T30" i="84"/>
  <c r="Z30" i="84" s="1"/>
  <c r="P30" i="84"/>
  <c r="N30" i="84"/>
  <c r="L30" i="84"/>
  <c r="H30" i="84"/>
  <c r="D30" i="84"/>
  <c r="B30" i="84"/>
  <c r="T29" i="84"/>
  <c r="P29" i="84"/>
  <c r="L29" i="84"/>
  <c r="H29" i="84"/>
  <c r="N29" i="84" s="1"/>
  <c r="D29" i="84"/>
  <c r="B29" i="84"/>
  <c r="T28" i="84"/>
  <c r="Z28" i="84" s="1"/>
  <c r="P28" i="84"/>
  <c r="X28" i="84" s="1"/>
  <c r="N28" i="84"/>
  <c r="L28" i="84"/>
  <c r="H28" i="84"/>
  <c r="D28" i="84"/>
  <c r="B28" i="84"/>
  <c r="X27" i="84"/>
  <c r="Z27" i="84" s="1"/>
  <c r="T27" i="84"/>
  <c r="P27" i="84"/>
  <c r="L27" i="84"/>
  <c r="H27" i="84"/>
  <c r="N27" i="84" s="1"/>
  <c r="D27" i="84"/>
  <c r="B27" i="84"/>
  <c r="T26" i="84"/>
  <c r="Z26" i="84" s="1"/>
  <c r="P26" i="84"/>
  <c r="N26" i="84"/>
  <c r="L26" i="84"/>
  <c r="H26" i="84"/>
  <c r="D26" i="84"/>
  <c r="B26" i="84"/>
  <c r="T25" i="84"/>
  <c r="P25" i="84"/>
  <c r="H25" i="84"/>
  <c r="D25" i="84"/>
  <c r="L25" i="84" s="1"/>
  <c r="B25" i="84"/>
  <c r="T24" i="84"/>
  <c r="Z24" i="84" s="1"/>
  <c r="P24" i="84"/>
  <c r="X24" i="84" s="1"/>
  <c r="N24" i="84"/>
  <c r="L24" i="84"/>
  <c r="H24" i="84"/>
  <c r="D24" i="84"/>
  <c r="B24" i="84"/>
  <c r="T23" i="84"/>
  <c r="P23" i="84"/>
  <c r="L23" i="84"/>
  <c r="H23" i="84"/>
  <c r="N23" i="84" s="1"/>
  <c r="D23" i="84"/>
  <c r="B23" i="84"/>
  <c r="T22" i="84"/>
  <c r="P22" i="84"/>
  <c r="X22" i="84" s="1"/>
  <c r="N22" i="84"/>
  <c r="L22" i="84"/>
  <c r="H22" i="84"/>
  <c r="D22" i="84"/>
  <c r="B22" i="84"/>
  <c r="T21" i="84"/>
  <c r="P21" i="84"/>
  <c r="H21" i="84"/>
  <c r="D21" i="84"/>
  <c r="B21" i="84"/>
  <c r="T20" i="84"/>
  <c r="P20" i="84"/>
  <c r="L20" i="84"/>
  <c r="N20" i="84" s="1"/>
  <c r="H20" i="84"/>
  <c r="D20" i="84"/>
  <c r="B20" i="84"/>
  <c r="X19" i="84"/>
  <c r="Z19" i="84" s="1"/>
  <c r="T19" i="84"/>
  <c r="P19" i="84"/>
  <c r="L19" i="84"/>
  <c r="N19" i="84" s="1"/>
  <c r="H19" i="84"/>
  <c r="D19" i="84"/>
  <c r="B19" i="84"/>
  <c r="T18" i="84"/>
  <c r="P18" i="84"/>
  <c r="L18" i="84"/>
  <c r="N18" i="84" s="1"/>
  <c r="H18" i="84"/>
  <c r="D18" i="84"/>
  <c r="B18" i="84"/>
  <c r="T17" i="84"/>
  <c r="P17" i="84"/>
  <c r="H17" i="84"/>
  <c r="D17" i="84"/>
  <c r="B17" i="84"/>
  <c r="T16" i="84"/>
  <c r="Z16" i="84" s="1"/>
  <c r="P16" i="84"/>
  <c r="X16" i="84" s="1"/>
  <c r="L16" i="84"/>
  <c r="N16" i="84" s="1"/>
  <c r="H16" i="84"/>
  <c r="D16" i="84"/>
  <c r="B16" i="84"/>
  <c r="Z15" i="84"/>
  <c r="T15" i="84"/>
  <c r="X15" i="84" s="1"/>
  <c r="P15" i="84"/>
  <c r="L15" i="84"/>
  <c r="H15" i="84"/>
  <c r="N15" i="84" s="1"/>
  <c r="D15" i="84"/>
  <c r="B15" i="84"/>
  <c r="T14" i="84"/>
  <c r="P14" i="84"/>
  <c r="N14" i="84"/>
  <c r="L14" i="84"/>
  <c r="H14" i="84"/>
  <c r="D14" i="84"/>
  <c r="B14" i="84"/>
  <c r="T13" i="84"/>
  <c r="P13" i="84"/>
  <c r="L13" i="84"/>
  <c r="H13" i="84"/>
  <c r="D13" i="84"/>
  <c r="B13" i="84"/>
  <c r="D6" i="84"/>
  <c r="D4" i="84"/>
  <c r="X82" i="83"/>
  <c r="Z82" i="83" s="1"/>
  <c r="N82" i="83"/>
  <c r="L82" i="83"/>
  <c r="T78" i="83"/>
  <c r="Z78" i="83" s="1"/>
  <c r="P78" i="83"/>
  <c r="X78" i="83" s="1"/>
  <c r="H78" i="83"/>
  <c r="N78" i="83" s="1"/>
  <c r="D78" i="83"/>
  <c r="Z76" i="83"/>
  <c r="X76" i="83"/>
  <c r="L76" i="83"/>
  <c r="N76" i="83" s="1"/>
  <c r="B76" i="83"/>
  <c r="T75" i="83"/>
  <c r="P75" i="83"/>
  <c r="X75" i="83" s="1"/>
  <c r="Z75" i="83" s="1"/>
  <c r="H75" i="83"/>
  <c r="D75" i="83"/>
  <c r="L75" i="83" s="1"/>
  <c r="N75" i="83" s="1"/>
  <c r="B75" i="83"/>
  <c r="X74" i="83"/>
  <c r="Z74" i="83" s="1"/>
  <c r="N74" i="83"/>
  <c r="L74" i="83"/>
  <c r="B74" i="83"/>
  <c r="X73" i="83"/>
  <c r="Z73" i="83" s="1"/>
  <c r="T73" i="83"/>
  <c r="P73" i="83"/>
  <c r="L73" i="83"/>
  <c r="H73" i="83"/>
  <c r="N73" i="83" s="1"/>
  <c r="D73" i="83"/>
  <c r="B73" i="83"/>
  <c r="X72" i="83"/>
  <c r="Z72" i="83" s="1"/>
  <c r="R72" i="83"/>
  <c r="L72" i="83"/>
  <c r="N72" i="83" s="1"/>
  <c r="B72" i="83"/>
  <c r="Z71" i="83"/>
  <c r="X71" i="83"/>
  <c r="N71" i="83"/>
  <c r="L71" i="83"/>
  <c r="B71" i="83"/>
  <c r="Z70" i="83"/>
  <c r="X70" i="83"/>
  <c r="N70" i="83"/>
  <c r="L70" i="83"/>
  <c r="F70" i="83"/>
  <c r="B70" i="83"/>
  <c r="Z69" i="83"/>
  <c r="X69" i="83"/>
  <c r="L69" i="83"/>
  <c r="N69" i="83" s="1"/>
  <c r="B69" i="83"/>
  <c r="X68" i="83"/>
  <c r="Z68" i="83" s="1"/>
  <c r="L68" i="83"/>
  <c r="N68" i="83" s="1"/>
  <c r="B68" i="83"/>
  <c r="T67" i="83"/>
  <c r="Z67" i="83" s="1"/>
  <c r="P67" i="83"/>
  <c r="X67" i="83" s="1"/>
  <c r="H67" i="83"/>
  <c r="D67" i="83"/>
  <c r="B67" i="83"/>
  <c r="X66" i="83"/>
  <c r="Z66" i="83" s="1"/>
  <c r="N66" i="83"/>
  <c r="L66" i="83"/>
  <c r="B66" i="83"/>
  <c r="X65" i="83"/>
  <c r="T65" i="83"/>
  <c r="Z65" i="83" s="1"/>
  <c r="P65" i="83"/>
  <c r="N65" i="83"/>
  <c r="H65" i="83"/>
  <c r="D65" i="83"/>
  <c r="L65" i="83" s="1"/>
  <c r="B65" i="83"/>
  <c r="Z64" i="83"/>
  <c r="X64" i="83"/>
  <c r="L64" i="83"/>
  <c r="N64" i="83" s="1"/>
  <c r="B64" i="83"/>
  <c r="X63" i="83"/>
  <c r="Z63" i="83" s="1"/>
  <c r="L63" i="83"/>
  <c r="N63" i="83" s="1"/>
  <c r="B63" i="83"/>
  <c r="X62" i="83"/>
  <c r="Z62" i="83" s="1"/>
  <c r="N62" i="83"/>
  <c r="L62" i="83"/>
  <c r="B62" i="83"/>
  <c r="T61" i="83"/>
  <c r="R61" i="83"/>
  <c r="P61" i="83"/>
  <c r="L61" i="83"/>
  <c r="H61" i="83"/>
  <c r="D61" i="83"/>
  <c r="B61" i="83"/>
  <c r="X60" i="83"/>
  <c r="Z60" i="83" s="1"/>
  <c r="N60" i="83"/>
  <c r="L60" i="83"/>
  <c r="B60" i="83"/>
  <c r="X59" i="83"/>
  <c r="Z59" i="83" s="1"/>
  <c r="N59" i="83"/>
  <c r="L59" i="83"/>
  <c r="B59" i="83"/>
  <c r="Z58" i="83"/>
  <c r="X58" i="83"/>
  <c r="N58" i="83"/>
  <c r="L58" i="83"/>
  <c r="F58" i="83"/>
  <c r="B58" i="83"/>
  <c r="T57" i="83"/>
  <c r="P57" i="83"/>
  <c r="H57" i="83"/>
  <c r="N57" i="83" s="1"/>
  <c r="F57" i="83"/>
  <c r="D57" i="83"/>
  <c r="L57" i="83" s="1"/>
  <c r="B57" i="83"/>
  <c r="X56" i="83"/>
  <c r="Z56" i="83" s="1"/>
  <c r="N56" i="83"/>
  <c r="L56" i="83"/>
  <c r="B56" i="83"/>
  <c r="V55" i="83"/>
  <c r="T55" i="83"/>
  <c r="P55" i="83"/>
  <c r="X55" i="83" s="1"/>
  <c r="Z55" i="83" s="1"/>
  <c r="L55" i="83"/>
  <c r="H55" i="83"/>
  <c r="N55" i="83" s="1"/>
  <c r="D55" i="83"/>
  <c r="B55" i="83"/>
  <c r="X54" i="83"/>
  <c r="Z54" i="83" s="1"/>
  <c r="N54" i="83"/>
  <c r="L54" i="83"/>
  <c r="B54" i="83"/>
  <c r="T53" i="83"/>
  <c r="P53" i="83"/>
  <c r="L53" i="83"/>
  <c r="H53" i="83"/>
  <c r="N53" i="83" s="1"/>
  <c r="D53" i="83"/>
  <c r="B53" i="83"/>
  <c r="X52" i="83"/>
  <c r="Z52" i="83" s="1"/>
  <c r="L52" i="83"/>
  <c r="N52" i="83" s="1"/>
  <c r="B52" i="83"/>
  <c r="T51" i="83"/>
  <c r="Z51" i="83" s="1"/>
  <c r="P51" i="83"/>
  <c r="X51" i="83" s="1"/>
  <c r="H51" i="83"/>
  <c r="D51" i="83"/>
  <c r="B51" i="83"/>
  <c r="X50" i="83"/>
  <c r="Z50" i="83" s="1"/>
  <c r="L50" i="83"/>
  <c r="N50" i="83" s="1"/>
  <c r="B50" i="83"/>
  <c r="X49" i="83"/>
  <c r="T49" i="83"/>
  <c r="Z49" i="83" s="1"/>
  <c r="P49" i="83"/>
  <c r="N49" i="83"/>
  <c r="H49" i="83"/>
  <c r="D49" i="83"/>
  <c r="L49" i="83" s="1"/>
  <c r="B49" i="83"/>
  <c r="Z48" i="83"/>
  <c r="X48" i="83"/>
  <c r="L48" i="83"/>
  <c r="N48" i="83" s="1"/>
  <c r="F48" i="83"/>
  <c r="B48" i="83"/>
  <c r="X47" i="83"/>
  <c r="T47" i="83"/>
  <c r="P47" i="83"/>
  <c r="H47" i="83"/>
  <c r="D47" i="83"/>
  <c r="B47" i="83"/>
  <c r="Z46" i="83"/>
  <c r="X46" i="83"/>
  <c r="L46" i="83"/>
  <c r="N46" i="83" s="1"/>
  <c r="B46" i="83"/>
  <c r="Z45" i="83"/>
  <c r="X45" i="83"/>
  <c r="L45" i="83"/>
  <c r="N45" i="83" s="1"/>
  <c r="B45" i="83"/>
  <c r="X44" i="83"/>
  <c r="T44" i="83"/>
  <c r="P44" i="83"/>
  <c r="N44" i="83"/>
  <c r="H44" i="83"/>
  <c r="D44" i="83"/>
  <c r="L44" i="83" s="1"/>
  <c r="B44" i="83"/>
  <c r="Z43" i="83"/>
  <c r="X43" i="83"/>
  <c r="L43" i="83"/>
  <c r="N43" i="83" s="1"/>
  <c r="B43" i="83"/>
  <c r="T42" i="83"/>
  <c r="P42" i="83"/>
  <c r="H42" i="83"/>
  <c r="D42" i="83"/>
  <c r="L42" i="83" s="1"/>
  <c r="B42" i="83"/>
  <c r="X41" i="83"/>
  <c r="Z41" i="83" s="1"/>
  <c r="N41" i="83"/>
  <c r="L41" i="83"/>
  <c r="F41" i="83"/>
  <c r="B41" i="83"/>
  <c r="T40" i="83"/>
  <c r="P40" i="83"/>
  <c r="X40" i="83" s="1"/>
  <c r="Z40" i="83" s="1"/>
  <c r="L40" i="83"/>
  <c r="N40" i="83" s="1"/>
  <c r="H40" i="83"/>
  <c r="F40" i="83"/>
  <c r="D40" i="83"/>
  <c r="B40" i="83"/>
  <c r="X39" i="83"/>
  <c r="Z39" i="83" s="1"/>
  <c r="N39" i="83"/>
  <c r="L39" i="83"/>
  <c r="B39" i="83"/>
  <c r="T38" i="83"/>
  <c r="P38" i="83"/>
  <c r="X38" i="83" s="1"/>
  <c r="Z38" i="83" s="1"/>
  <c r="H38" i="83"/>
  <c r="D38" i="83"/>
  <c r="B38" i="83"/>
  <c r="X37" i="83"/>
  <c r="Z37" i="83" s="1"/>
  <c r="L37" i="83"/>
  <c r="N37" i="83" s="1"/>
  <c r="B37" i="83"/>
  <c r="X36" i="83"/>
  <c r="Z36" i="83" s="1"/>
  <c r="N36" i="83"/>
  <c r="L36" i="83"/>
  <c r="B36" i="83"/>
  <c r="Z35" i="83"/>
  <c r="X35" i="83"/>
  <c r="V35" i="83"/>
  <c r="L35" i="83"/>
  <c r="N35" i="83" s="1"/>
  <c r="B35" i="83"/>
  <c r="X34" i="83"/>
  <c r="Z34" i="83" s="1"/>
  <c r="N34" i="83"/>
  <c r="L34" i="83"/>
  <c r="B34" i="83"/>
  <c r="X33" i="83"/>
  <c r="Z33" i="83" s="1"/>
  <c r="L33" i="83"/>
  <c r="N33" i="83" s="1"/>
  <c r="B33" i="83"/>
  <c r="V32" i="83"/>
  <c r="T32" i="83"/>
  <c r="P32" i="83"/>
  <c r="X32" i="83" s="1"/>
  <c r="H32" i="83"/>
  <c r="D32" i="83"/>
  <c r="L32" i="83" s="1"/>
  <c r="B32" i="83"/>
  <c r="X31" i="83"/>
  <c r="Z31" i="83" s="1"/>
  <c r="N31" i="83"/>
  <c r="L31" i="83"/>
  <c r="B31" i="83"/>
  <c r="X30" i="83"/>
  <c r="Z30" i="83" s="1"/>
  <c r="N30" i="83"/>
  <c r="L30" i="83"/>
  <c r="B30" i="83"/>
  <c r="X29" i="83"/>
  <c r="Z29" i="83" s="1"/>
  <c r="N29" i="83"/>
  <c r="L29" i="83"/>
  <c r="F29" i="83"/>
  <c r="B29" i="83"/>
  <c r="Z28" i="83"/>
  <c r="X28" i="83"/>
  <c r="L28" i="83"/>
  <c r="N28" i="83" s="1"/>
  <c r="B28" i="83"/>
  <c r="X27" i="83"/>
  <c r="Z27" i="83" s="1"/>
  <c r="L27" i="83"/>
  <c r="N27" i="83" s="1"/>
  <c r="B27" i="83"/>
  <c r="X26" i="83"/>
  <c r="Z26" i="83" s="1"/>
  <c r="N26" i="83"/>
  <c r="L26" i="83"/>
  <c r="B26" i="83"/>
  <c r="X25" i="83"/>
  <c r="Z25" i="83" s="1"/>
  <c r="N25" i="83"/>
  <c r="L25" i="83"/>
  <c r="F25" i="83"/>
  <c r="B25" i="83"/>
  <c r="Z24" i="83"/>
  <c r="X24" i="83"/>
  <c r="L24" i="83"/>
  <c r="N24" i="83" s="1"/>
  <c r="B24" i="83"/>
  <c r="X23" i="83"/>
  <c r="T23" i="83"/>
  <c r="Z23" i="83" s="1"/>
  <c r="P23" i="83"/>
  <c r="H23" i="83"/>
  <c r="F23" i="83"/>
  <c r="D23" i="83"/>
  <c r="B23" i="83"/>
  <c r="T22" i="83"/>
  <c r="P22" i="83"/>
  <c r="H22" i="83"/>
  <c r="D22" i="83"/>
  <c r="Z18" i="83"/>
  <c r="X18" i="83"/>
  <c r="L18" i="83"/>
  <c r="N18" i="83" s="1"/>
  <c r="F18" i="83"/>
  <c r="B18" i="83"/>
  <c r="Z17" i="83"/>
  <c r="X17" i="83"/>
  <c r="L17" i="83"/>
  <c r="N17" i="83" s="1"/>
  <c r="B17" i="83"/>
  <c r="X16" i="83"/>
  <c r="T16" i="83"/>
  <c r="P16" i="83"/>
  <c r="H16" i="83"/>
  <c r="D16" i="83"/>
  <c r="L16" i="83" s="1"/>
  <c r="N16" i="83" s="1"/>
  <c r="X14" i="83"/>
  <c r="T14" i="83"/>
  <c r="P14" i="83"/>
  <c r="P12" i="83" s="1"/>
  <c r="R60" i="83" s="1"/>
  <c r="H14" i="83"/>
  <c r="D14" i="83"/>
  <c r="B14" i="83"/>
  <c r="T13" i="83"/>
  <c r="T12" i="83" s="1"/>
  <c r="V53" i="83" s="1"/>
  <c r="P13" i="83"/>
  <c r="X13" i="83" s="1"/>
  <c r="H13" i="83"/>
  <c r="D13" i="83"/>
  <c r="B13" i="83"/>
  <c r="D12" i="83"/>
  <c r="F46" i="83" s="1"/>
  <c r="D6" i="83"/>
  <c r="D4" i="83"/>
  <c r="X29" i="82"/>
  <c r="Z29" i="82" s="1"/>
  <c r="V29" i="82"/>
  <c r="N29" i="82"/>
  <c r="L29" i="82"/>
  <c r="T27" i="82"/>
  <c r="T25" i="82"/>
  <c r="Z25" i="82" s="1"/>
  <c r="P25" i="82"/>
  <c r="N25" i="82"/>
  <c r="H25" i="82"/>
  <c r="D25" i="82"/>
  <c r="L25" i="82" s="1"/>
  <c r="T23" i="82"/>
  <c r="Z23" i="82" s="1"/>
  <c r="P23" i="82"/>
  <c r="N23" i="82"/>
  <c r="H23" i="82"/>
  <c r="D23" i="82"/>
  <c r="L23" i="82" s="1"/>
  <c r="T21" i="82"/>
  <c r="X19" i="82"/>
  <c r="Z19" i="82" s="1"/>
  <c r="L19" i="82"/>
  <c r="N19" i="82" s="1"/>
  <c r="B19" i="82"/>
  <c r="Z18" i="82"/>
  <c r="X18" i="82"/>
  <c r="N18" i="82"/>
  <c r="L18" i="82"/>
  <c r="B18" i="82"/>
  <c r="T17" i="82"/>
  <c r="P17" i="82"/>
  <c r="X17" i="82" s="1"/>
  <c r="Z17" i="82" s="1"/>
  <c r="L17" i="82"/>
  <c r="H17" i="82"/>
  <c r="D17" i="82"/>
  <c r="T15" i="82"/>
  <c r="P15" i="82"/>
  <c r="X15" i="82" s="1"/>
  <c r="Z15" i="82" s="1"/>
  <c r="H15" i="82"/>
  <c r="D15" i="82"/>
  <c r="L15" i="82" s="1"/>
  <c r="N15" i="82" s="1"/>
  <c r="B15" i="82"/>
  <c r="T14" i="82"/>
  <c r="P14" i="82"/>
  <c r="X14" i="82" s="1"/>
  <c r="Z14" i="82" s="1"/>
  <c r="L14" i="82"/>
  <c r="H14" i="82"/>
  <c r="N14" i="82" s="1"/>
  <c r="D14" i="82"/>
  <c r="B14" i="82"/>
  <c r="T13" i="82"/>
  <c r="P13" i="82"/>
  <c r="P12" i="82" s="1"/>
  <c r="H13" i="82"/>
  <c r="D13" i="82"/>
  <c r="L13" i="82" s="1"/>
  <c r="B13" i="82"/>
  <c r="T12" i="82"/>
  <c r="V17" i="82" s="1"/>
  <c r="H12" i="82"/>
  <c r="J19" i="82" s="1"/>
  <c r="D6" i="82"/>
  <c r="D4" i="82"/>
  <c r="Z71" i="80"/>
  <c r="X71" i="80"/>
  <c r="L71" i="80"/>
  <c r="N71" i="80" s="1"/>
  <c r="T67" i="80"/>
  <c r="Z67" i="80" s="1"/>
  <c r="P67" i="80"/>
  <c r="X67" i="80" s="1"/>
  <c r="H67" i="80"/>
  <c r="N67" i="80" s="1"/>
  <c r="D67" i="80"/>
  <c r="Z65" i="80"/>
  <c r="X65" i="80"/>
  <c r="N65" i="80"/>
  <c r="L65" i="80"/>
  <c r="B65" i="80"/>
  <c r="T64" i="80"/>
  <c r="P64" i="80"/>
  <c r="X64" i="80" s="1"/>
  <c r="Z64" i="80" s="1"/>
  <c r="H64" i="80"/>
  <c r="D64" i="80"/>
  <c r="B64" i="80"/>
  <c r="X63" i="80"/>
  <c r="Z63" i="80" s="1"/>
  <c r="N63" i="80"/>
  <c r="L63" i="80"/>
  <c r="B63" i="80"/>
  <c r="X62" i="80"/>
  <c r="T62" i="80"/>
  <c r="Z62" i="80" s="1"/>
  <c r="P62" i="80"/>
  <c r="H62" i="80"/>
  <c r="D62" i="80"/>
  <c r="B62" i="80"/>
  <c r="X61" i="80"/>
  <c r="Z61" i="80" s="1"/>
  <c r="N61" i="80"/>
  <c r="L61" i="80"/>
  <c r="B61" i="80"/>
  <c r="X60" i="80"/>
  <c r="Z60" i="80" s="1"/>
  <c r="N60" i="80"/>
  <c r="L60" i="80"/>
  <c r="B60" i="80"/>
  <c r="Z59" i="80"/>
  <c r="X59" i="80"/>
  <c r="N59" i="80"/>
  <c r="L59" i="80"/>
  <c r="B59" i="80"/>
  <c r="X58" i="80"/>
  <c r="Z58" i="80" s="1"/>
  <c r="L58" i="80"/>
  <c r="N58" i="80" s="1"/>
  <c r="B58" i="80"/>
  <c r="X57" i="80"/>
  <c r="Z57" i="80" s="1"/>
  <c r="N57" i="80"/>
  <c r="L57" i="80"/>
  <c r="B57" i="80"/>
  <c r="X56" i="80"/>
  <c r="T56" i="80"/>
  <c r="P56" i="80"/>
  <c r="H56" i="80"/>
  <c r="N56" i="80" s="1"/>
  <c r="D56" i="80"/>
  <c r="L56" i="80" s="1"/>
  <c r="B56" i="80"/>
  <c r="Z55" i="80"/>
  <c r="X55" i="80"/>
  <c r="N55" i="80"/>
  <c r="L55" i="80"/>
  <c r="B55" i="80"/>
  <c r="X54" i="80"/>
  <c r="Z54" i="80" s="1"/>
  <c r="N54" i="80"/>
  <c r="L54" i="80"/>
  <c r="B54" i="80"/>
  <c r="X53" i="80"/>
  <c r="Z53" i="80" s="1"/>
  <c r="N53" i="80"/>
  <c r="L53" i="80"/>
  <c r="B53" i="80"/>
  <c r="Z52" i="80"/>
  <c r="T52" i="80"/>
  <c r="P52" i="80"/>
  <c r="X52" i="80" s="1"/>
  <c r="H52" i="80"/>
  <c r="D52" i="80"/>
  <c r="B52" i="80"/>
  <c r="X51" i="80"/>
  <c r="Z51" i="80" s="1"/>
  <c r="N51" i="80"/>
  <c r="L51" i="80"/>
  <c r="B51" i="80"/>
  <c r="X50" i="80"/>
  <c r="Z50" i="80" s="1"/>
  <c r="N50" i="80"/>
  <c r="L50" i="80"/>
  <c r="B50" i="80"/>
  <c r="T49" i="80"/>
  <c r="P49" i="80"/>
  <c r="X49" i="80" s="1"/>
  <c r="Z49" i="80" s="1"/>
  <c r="H49" i="80"/>
  <c r="D49" i="80"/>
  <c r="L49" i="80" s="1"/>
  <c r="N49" i="80" s="1"/>
  <c r="B49" i="80"/>
  <c r="X48" i="80"/>
  <c r="Z48" i="80" s="1"/>
  <c r="N48" i="80"/>
  <c r="L48" i="80"/>
  <c r="B48" i="80"/>
  <c r="X47" i="80"/>
  <c r="Z47" i="80" s="1"/>
  <c r="T47" i="80"/>
  <c r="P47" i="80"/>
  <c r="L47" i="80"/>
  <c r="H47" i="80"/>
  <c r="N47" i="80" s="1"/>
  <c r="D47" i="80"/>
  <c r="B47" i="80"/>
  <c r="X46" i="80"/>
  <c r="Z46" i="80" s="1"/>
  <c r="L46" i="80"/>
  <c r="N46" i="80" s="1"/>
  <c r="B46" i="80"/>
  <c r="X45" i="80"/>
  <c r="T45" i="80"/>
  <c r="Z45" i="80" s="1"/>
  <c r="P45" i="80"/>
  <c r="H45" i="80"/>
  <c r="D45" i="80"/>
  <c r="L45" i="80" s="1"/>
  <c r="N45" i="80" s="1"/>
  <c r="B45" i="80"/>
  <c r="Z44" i="80"/>
  <c r="X44" i="80"/>
  <c r="L44" i="80"/>
  <c r="N44" i="80" s="1"/>
  <c r="B44" i="80"/>
  <c r="T43" i="80"/>
  <c r="P43" i="80"/>
  <c r="X43" i="80" s="1"/>
  <c r="H43" i="80"/>
  <c r="D43" i="80"/>
  <c r="L43" i="80" s="1"/>
  <c r="N43" i="80" s="1"/>
  <c r="B43" i="80"/>
  <c r="Z42" i="80"/>
  <c r="X42" i="80"/>
  <c r="L42" i="80"/>
  <c r="N42" i="80" s="1"/>
  <c r="B42" i="80"/>
  <c r="X41" i="80"/>
  <c r="T41" i="80"/>
  <c r="Z41" i="80" s="1"/>
  <c r="P41" i="80"/>
  <c r="N41" i="80"/>
  <c r="L41" i="80"/>
  <c r="H41" i="80"/>
  <c r="D41" i="80"/>
  <c r="B41" i="80"/>
  <c r="Z40" i="80"/>
  <c r="X40" i="80"/>
  <c r="N40" i="80"/>
  <c r="L40" i="80"/>
  <c r="B40" i="80"/>
  <c r="T39" i="80"/>
  <c r="P39" i="80"/>
  <c r="L39" i="80"/>
  <c r="H39" i="80"/>
  <c r="N39" i="80" s="1"/>
  <c r="D39" i="80"/>
  <c r="B39" i="80"/>
  <c r="X38" i="80"/>
  <c r="Z38" i="80" s="1"/>
  <c r="N38" i="80"/>
  <c r="L38" i="80"/>
  <c r="B38" i="80"/>
  <c r="Z37" i="80"/>
  <c r="T37" i="80"/>
  <c r="P37" i="80"/>
  <c r="X37" i="80" s="1"/>
  <c r="H37" i="80"/>
  <c r="N37" i="80" s="1"/>
  <c r="D37" i="80"/>
  <c r="L37" i="80" s="1"/>
  <c r="B37" i="80"/>
  <c r="X36" i="80"/>
  <c r="Z36" i="80" s="1"/>
  <c r="N36" i="80"/>
  <c r="L36" i="80"/>
  <c r="B36" i="80"/>
  <c r="X35" i="80"/>
  <c r="Z35" i="80" s="1"/>
  <c r="V35" i="80"/>
  <c r="N35" i="80"/>
  <c r="L35" i="80"/>
  <c r="B35" i="80"/>
  <c r="Z34" i="80"/>
  <c r="X34" i="80"/>
  <c r="L34" i="80"/>
  <c r="N34" i="80" s="1"/>
  <c r="B34" i="80"/>
  <c r="X33" i="80"/>
  <c r="Z33" i="80" s="1"/>
  <c r="L33" i="80"/>
  <c r="N33" i="80" s="1"/>
  <c r="B33" i="80"/>
  <c r="X32" i="80"/>
  <c r="T32" i="80"/>
  <c r="Z32" i="80" s="1"/>
  <c r="P32" i="80"/>
  <c r="H32" i="80"/>
  <c r="D32" i="80"/>
  <c r="L32" i="80" s="1"/>
  <c r="B32" i="80"/>
  <c r="Z31" i="80"/>
  <c r="X31" i="80"/>
  <c r="N31" i="80"/>
  <c r="L31" i="80"/>
  <c r="B31" i="80"/>
  <c r="X30" i="80"/>
  <c r="Z30" i="80" s="1"/>
  <c r="N30" i="80"/>
  <c r="L30" i="80"/>
  <c r="B30" i="80"/>
  <c r="X29" i="80"/>
  <c r="Z29" i="80" s="1"/>
  <c r="N29" i="80"/>
  <c r="L29" i="80"/>
  <c r="B29" i="80"/>
  <c r="Z28" i="80"/>
  <c r="X28" i="80"/>
  <c r="N28" i="80"/>
  <c r="L28" i="80"/>
  <c r="B28" i="80"/>
  <c r="Z27" i="80"/>
  <c r="X27" i="80"/>
  <c r="N27" i="80"/>
  <c r="L27" i="80"/>
  <c r="B27" i="80"/>
  <c r="X26" i="80"/>
  <c r="Z26" i="80" s="1"/>
  <c r="N26" i="80"/>
  <c r="L26" i="80"/>
  <c r="B26" i="80"/>
  <c r="X25" i="80"/>
  <c r="Z25" i="80" s="1"/>
  <c r="N25" i="80"/>
  <c r="L25" i="80"/>
  <c r="B25" i="80"/>
  <c r="Z24" i="80"/>
  <c r="X24" i="80"/>
  <c r="N24" i="80"/>
  <c r="L24" i="80"/>
  <c r="F24" i="80"/>
  <c r="B24" i="80"/>
  <c r="T23" i="80"/>
  <c r="P23" i="80"/>
  <c r="H23" i="80"/>
  <c r="N23" i="80" s="1"/>
  <c r="D23" i="80"/>
  <c r="L23" i="80" s="1"/>
  <c r="B23" i="80"/>
  <c r="T22" i="80"/>
  <c r="P22" i="80"/>
  <c r="X22" i="80" s="1"/>
  <c r="H22" i="80"/>
  <c r="D22" i="80"/>
  <c r="X18" i="80"/>
  <c r="Z18" i="80" s="1"/>
  <c r="L18" i="80"/>
  <c r="N18" i="80" s="1"/>
  <c r="B18" i="80"/>
  <c r="Z17" i="80"/>
  <c r="X17" i="80"/>
  <c r="L17" i="80"/>
  <c r="N17" i="80" s="1"/>
  <c r="B17" i="80"/>
  <c r="T16" i="80"/>
  <c r="P16" i="80"/>
  <c r="H16" i="80"/>
  <c r="D16" i="80"/>
  <c r="L16" i="80" s="1"/>
  <c r="T14" i="80"/>
  <c r="P14" i="80"/>
  <c r="L14" i="80"/>
  <c r="N14" i="80" s="1"/>
  <c r="H14" i="80"/>
  <c r="D14" i="80"/>
  <c r="B14" i="80"/>
  <c r="T13" i="80"/>
  <c r="P13" i="80"/>
  <c r="X13" i="80" s="1"/>
  <c r="H13" i="80"/>
  <c r="D13" i="80"/>
  <c r="D12" i="80" s="1"/>
  <c r="F40" i="80" s="1"/>
  <c r="B13" i="80"/>
  <c r="T12" i="80"/>
  <c r="V59" i="80" s="1"/>
  <c r="D6" i="80"/>
  <c r="D4" i="80"/>
  <c r="X70" i="79"/>
  <c r="Z70" i="79" s="1"/>
  <c r="N70" i="79"/>
  <c r="L70" i="79"/>
  <c r="T66" i="79"/>
  <c r="Z66" i="79" s="1"/>
  <c r="P66" i="79"/>
  <c r="X66" i="79" s="1"/>
  <c r="H66" i="79"/>
  <c r="N66" i="79" s="1"/>
  <c r="D66" i="79"/>
  <c r="L66" i="79" s="1"/>
  <c r="Z64" i="79"/>
  <c r="X64" i="79"/>
  <c r="L64" i="79"/>
  <c r="N64" i="79" s="1"/>
  <c r="B64" i="79"/>
  <c r="T63" i="79"/>
  <c r="X63" i="79" s="1"/>
  <c r="Z63" i="79" s="1"/>
  <c r="P63" i="79"/>
  <c r="H63" i="79"/>
  <c r="D63" i="79"/>
  <c r="L63" i="79" s="1"/>
  <c r="N63" i="79" s="1"/>
  <c r="B63" i="79"/>
  <c r="X62" i="79"/>
  <c r="Z62" i="79" s="1"/>
  <c r="L62" i="79"/>
  <c r="N62" i="79" s="1"/>
  <c r="F62" i="79"/>
  <c r="B62" i="79"/>
  <c r="X61" i="79"/>
  <c r="T61" i="79"/>
  <c r="P61" i="79"/>
  <c r="H61" i="79"/>
  <c r="F61" i="79"/>
  <c r="D61" i="79"/>
  <c r="L61" i="79" s="1"/>
  <c r="B61" i="79"/>
  <c r="Z60" i="79"/>
  <c r="X60" i="79"/>
  <c r="N60" i="79"/>
  <c r="L60" i="79"/>
  <c r="F60" i="79"/>
  <c r="B60" i="79"/>
  <c r="Z59" i="79"/>
  <c r="X59" i="79"/>
  <c r="N59" i="79"/>
  <c r="L59" i="79"/>
  <c r="B59" i="79"/>
  <c r="Z58" i="79"/>
  <c r="X58" i="79"/>
  <c r="N58" i="79"/>
  <c r="L58" i="79"/>
  <c r="B58" i="79"/>
  <c r="X57" i="79"/>
  <c r="Z57" i="79" s="1"/>
  <c r="N57" i="79"/>
  <c r="L57" i="79"/>
  <c r="B57" i="79"/>
  <c r="Z56" i="79"/>
  <c r="T56" i="79"/>
  <c r="P56" i="79"/>
  <c r="X56" i="79" s="1"/>
  <c r="H56" i="79"/>
  <c r="D56" i="79"/>
  <c r="B56" i="79"/>
  <c r="X55" i="79"/>
  <c r="Z55" i="79" s="1"/>
  <c r="N55" i="79"/>
  <c r="L55" i="79"/>
  <c r="B55" i="79"/>
  <c r="X54" i="79"/>
  <c r="Z54" i="79" s="1"/>
  <c r="L54" i="79"/>
  <c r="N54" i="79" s="1"/>
  <c r="B54" i="79"/>
  <c r="Z53" i="79"/>
  <c r="X53" i="79"/>
  <c r="V53" i="79"/>
  <c r="L53" i="79"/>
  <c r="N53" i="79" s="1"/>
  <c r="B53" i="79"/>
  <c r="T52" i="79"/>
  <c r="P52" i="79"/>
  <c r="X52" i="79" s="1"/>
  <c r="H52" i="79"/>
  <c r="N52" i="79" s="1"/>
  <c r="D52" i="79"/>
  <c r="L52" i="79" s="1"/>
  <c r="B52" i="79"/>
  <c r="X51" i="79"/>
  <c r="Z51" i="79" s="1"/>
  <c r="N51" i="79"/>
  <c r="L51" i="79"/>
  <c r="F51" i="79"/>
  <c r="B51" i="79"/>
  <c r="T50" i="79"/>
  <c r="P50" i="79"/>
  <c r="X50" i="79" s="1"/>
  <c r="L50" i="79"/>
  <c r="H50" i="79"/>
  <c r="N50" i="79" s="1"/>
  <c r="F50" i="79"/>
  <c r="D50" i="79"/>
  <c r="B50" i="79"/>
  <c r="Z49" i="79"/>
  <c r="X49" i="79"/>
  <c r="N49" i="79"/>
  <c r="L49" i="79"/>
  <c r="B49" i="79"/>
  <c r="Z48" i="79"/>
  <c r="X48" i="79"/>
  <c r="N48" i="79"/>
  <c r="L48" i="79"/>
  <c r="F48" i="79"/>
  <c r="B48" i="79"/>
  <c r="Z47" i="79"/>
  <c r="X47" i="79"/>
  <c r="N47" i="79"/>
  <c r="L47" i="79"/>
  <c r="B47" i="79"/>
  <c r="X46" i="79"/>
  <c r="T46" i="79"/>
  <c r="P46" i="79"/>
  <c r="N46" i="79"/>
  <c r="H46" i="79"/>
  <c r="D46" i="79"/>
  <c r="L46" i="79" s="1"/>
  <c r="B46" i="79"/>
  <c r="Z45" i="79"/>
  <c r="X45" i="79"/>
  <c r="N45" i="79"/>
  <c r="L45" i="79"/>
  <c r="B45" i="79"/>
  <c r="T44" i="79"/>
  <c r="P44" i="79"/>
  <c r="X44" i="79" s="1"/>
  <c r="H44" i="79"/>
  <c r="N44" i="79" s="1"/>
  <c r="D44" i="79"/>
  <c r="L44" i="79" s="1"/>
  <c r="B44" i="79"/>
  <c r="X43" i="79"/>
  <c r="Z43" i="79" s="1"/>
  <c r="V43" i="79"/>
  <c r="N43" i="79"/>
  <c r="L43" i="79"/>
  <c r="F43" i="79"/>
  <c r="B43" i="79"/>
  <c r="T42" i="79"/>
  <c r="P42" i="79"/>
  <c r="X42" i="79" s="1"/>
  <c r="L42" i="79"/>
  <c r="H42" i="79"/>
  <c r="F42" i="79"/>
  <c r="D42" i="79"/>
  <c r="B42" i="79"/>
  <c r="Z41" i="79"/>
  <c r="X41" i="79"/>
  <c r="N41" i="79"/>
  <c r="L41" i="79"/>
  <c r="B41" i="79"/>
  <c r="Z40" i="79"/>
  <c r="T40" i="79"/>
  <c r="P40" i="79"/>
  <c r="X40" i="79" s="1"/>
  <c r="H40" i="79"/>
  <c r="D40" i="79"/>
  <c r="B40" i="79"/>
  <c r="Z39" i="79"/>
  <c r="X39" i="79"/>
  <c r="L39" i="79"/>
  <c r="N39" i="79" s="1"/>
  <c r="B39" i="79"/>
  <c r="T38" i="79"/>
  <c r="Z38" i="79" s="1"/>
  <c r="P38" i="79"/>
  <c r="X38" i="79" s="1"/>
  <c r="H38" i="79"/>
  <c r="D38" i="79"/>
  <c r="L38" i="79" s="1"/>
  <c r="B38" i="79"/>
  <c r="X37" i="79"/>
  <c r="Z37" i="79" s="1"/>
  <c r="N37" i="79"/>
  <c r="L37" i="79"/>
  <c r="B37" i="79"/>
  <c r="X36" i="79"/>
  <c r="Z36" i="79" s="1"/>
  <c r="N36" i="79"/>
  <c r="L36" i="79"/>
  <c r="B36" i="79"/>
  <c r="X35" i="79"/>
  <c r="Z35" i="79" s="1"/>
  <c r="N35" i="79"/>
  <c r="L35" i="79"/>
  <c r="F35" i="79"/>
  <c r="B35" i="79"/>
  <c r="X34" i="79"/>
  <c r="Z34" i="79" s="1"/>
  <c r="N34" i="79"/>
  <c r="L34" i="79"/>
  <c r="F34" i="79"/>
  <c r="B34" i="79"/>
  <c r="X33" i="79"/>
  <c r="Z33" i="79" s="1"/>
  <c r="N33" i="79"/>
  <c r="L33" i="79"/>
  <c r="B33" i="79"/>
  <c r="X32" i="79"/>
  <c r="T32" i="79"/>
  <c r="Z32" i="79" s="1"/>
  <c r="P32" i="79"/>
  <c r="H32" i="79"/>
  <c r="D32" i="79"/>
  <c r="L32" i="79" s="1"/>
  <c r="B32" i="79"/>
  <c r="Z31" i="79"/>
  <c r="X31" i="79"/>
  <c r="N31" i="79"/>
  <c r="L31" i="79"/>
  <c r="B31" i="79"/>
  <c r="X30" i="79"/>
  <c r="Z30" i="79" s="1"/>
  <c r="L30" i="79"/>
  <c r="N30" i="79" s="1"/>
  <c r="B30" i="79"/>
  <c r="Z29" i="79"/>
  <c r="X29" i="79"/>
  <c r="N29" i="79"/>
  <c r="L29" i="79"/>
  <c r="B29" i="79"/>
  <c r="Z28" i="79"/>
  <c r="X28" i="79"/>
  <c r="L28" i="79"/>
  <c r="N28" i="79" s="1"/>
  <c r="F28" i="79"/>
  <c r="B28" i="79"/>
  <c r="Z27" i="79"/>
  <c r="X27" i="79"/>
  <c r="N27" i="79"/>
  <c r="L27" i="79"/>
  <c r="B27" i="79"/>
  <c r="X26" i="79"/>
  <c r="Z26" i="79" s="1"/>
  <c r="L26" i="79"/>
  <c r="N26" i="79" s="1"/>
  <c r="B26" i="79"/>
  <c r="Z25" i="79"/>
  <c r="X25" i="79"/>
  <c r="N25" i="79"/>
  <c r="L25" i="79"/>
  <c r="B25" i="79"/>
  <c r="Z24" i="79"/>
  <c r="X24" i="79"/>
  <c r="L24" i="79"/>
  <c r="N24" i="79" s="1"/>
  <c r="F24" i="79"/>
  <c r="B24" i="79"/>
  <c r="T23" i="79"/>
  <c r="P23" i="79"/>
  <c r="X23" i="79" s="1"/>
  <c r="Z23" i="79" s="1"/>
  <c r="H23" i="79"/>
  <c r="F23" i="79"/>
  <c r="D23" i="79"/>
  <c r="L23" i="79" s="1"/>
  <c r="B23" i="79"/>
  <c r="T22" i="79"/>
  <c r="P22" i="79"/>
  <c r="X22" i="79" s="1"/>
  <c r="H22" i="79"/>
  <c r="D22" i="79"/>
  <c r="D20" i="79"/>
  <c r="X18" i="79"/>
  <c r="Z18" i="79" s="1"/>
  <c r="L18" i="79"/>
  <c r="N18" i="79" s="1"/>
  <c r="B18" i="79"/>
  <c r="Z17" i="79"/>
  <c r="X17" i="79"/>
  <c r="L17" i="79"/>
  <c r="N17" i="79" s="1"/>
  <c r="B17" i="79"/>
  <c r="T16" i="79"/>
  <c r="P16" i="79"/>
  <c r="H16" i="79"/>
  <c r="D16" i="79"/>
  <c r="L16" i="79" s="1"/>
  <c r="T14" i="79"/>
  <c r="P14" i="79"/>
  <c r="L14" i="79"/>
  <c r="N14" i="79" s="1"/>
  <c r="H14" i="79"/>
  <c r="D14" i="79"/>
  <c r="B14" i="79"/>
  <c r="T13" i="79"/>
  <c r="P13" i="79"/>
  <c r="H13" i="79"/>
  <c r="D13" i="79"/>
  <c r="L13" i="79" s="1"/>
  <c r="B13" i="79"/>
  <c r="T12" i="79"/>
  <c r="V54" i="79" s="1"/>
  <c r="D12" i="79"/>
  <c r="F64" i="79" s="1"/>
  <c r="D6" i="79"/>
  <c r="D4" i="79"/>
  <c r="X65" i="78"/>
  <c r="Z65" i="78" s="1"/>
  <c r="N65" i="78"/>
  <c r="L65" i="78"/>
  <c r="T61" i="78"/>
  <c r="P61" i="78"/>
  <c r="H61" i="78"/>
  <c r="N61" i="78" s="1"/>
  <c r="D61" i="78"/>
  <c r="L61" i="78" s="1"/>
  <c r="B61" i="78"/>
  <c r="X60" i="78"/>
  <c r="T60" i="78"/>
  <c r="Z60" i="78" s="1"/>
  <c r="P60" i="78"/>
  <c r="L60" i="78"/>
  <c r="N60" i="78" s="1"/>
  <c r="H60" i="78"/>
  <c r="D60" i="78"/>
  <c r="B60" i="78"/>
  <c r="X59" i="78"/>
  <c r="T59" i="78"/>
  <c r="P59" i="78"/>
  <c r="N59" i="78"/>
  <c r="H59" i="78"/>
  <c r="D59" i="78"/>
  <c r="L59" i="78" s="1"/>
  <c r="B59" i="78"/>
  <c r="T58" i="78"/>
  <c r="P58" i="78"/>
  <c r="H58" i="78"/>
  <c r="N58" i="78" s="1"/>
  <c r="D58" i="78"/>
  <c r="L58" i="78" s="1"/>
  <c r="B58" i="78"/>
  <c r="X57" i="78"/>
  <c r="T57" i="78"/>
  <c r="Z57" i="78" s="1"/>
  <c r="P57" i="78"/>
  <c r="N57" i="78"/>
  <c r="H57" i="78"/>
  <c r="D57" i="78"/>
  <c r="L57" i="78" s="1"/>
  <c r="B57" i="78"/>
  <c r="T56" i="78"/>
  <c r="H56" i="78"/>
  <c r="Z54" i="78"/>
  <c r="X54" i="78"/>
  <c r="L54" i="78"/>
  <c r="N54" i="78" s="1"/>
  <c r="B54" i="78"/>
  <c r="X53" i="78"/>
  <c r="T53" i="78"/>
  <c r="P53" i="78"/>
  <c r="N53" i="78"/>
  <c r="H53" i="78"/>
  <c r="D53" i="78"/>
  <c r="L53" i="78" s="1"/>
  <c r="B53" i="78"/>
  <c r="X52" i="78"/>
  <c r="Z52" i="78" s="1"/>
  <c r="N52" i="78"/>
  <c r="L52" i="78"/>
  <c r="B52" i="78"/>
  <c r="X51" i="78"/>
  <c r="Z51" i="78" s="1"/>
  <c r="N51" i="78"/>
  <c r="L51" i="78"/>
  <c r="B51" i="78"/>
  <c r="T50" i="78"/>
  <c r="Z50" i="78" s="1"/>
  <c r="P50" i="78"/>
  <c r="X50" i="78" s="1"/>
  <c r="N50" i="78"/>
  <c r="H50" i="78"/>
  <c r="D50" i="78"/>
  <c r="L50" i="78" s="1"/>
  <c r="B50" i="78"/>
  <c r="X49" i="78"/>
  <c r="Z49" i="78" s="1"/>
  <c r="L49" i="78"/>
  <c r="N49" i="78" s="1"/>
  <c r="B49" i="78"/>
  <c r="X48" i="78"/>
  <c r="T48" i="78"/>
  <c r="Z48" i="78" s="1"/>
  <c r="P48" i="78"/>
  <c r="H48" i="78"/>
  <c r="D48" i="78"/>
  <c r="B48" i="78"/>
  <c r="Z47" i="78"/>
  <c r="X47" i="78"/>
  <c r="N47" i="78"/>
  <c r="L47" i="78"/>
  <c r="B47" i="78"/>
  <c r="Z46" i="78"/>
  <c r="T46" i="78"/>
  <c r="P46" i="78"/>
  <c r="X46" i="78" s="1"/>
  <c r="H46" i="78"/>
  <c r="N46" i="78" s="1"/>
  <c r="D46" i="78"/>
  <c r="L46" i="78" s="1"/>
  <c r="B46" i="78"/>
  <c r="Z45" i="78"/>
  <c r="X45" i="78"/>
  <c r="N45" i="78"/>
  <c r="L45" i="78"/>
  <c r="B45" i="78"/>
  <c r="X44" i="78"/>
  <c r="Z44" i="78" s="1"/>
  <c r="L44" i="78"/>
  <c r="N44" i="78" s="1"/>
  <c r="B44" i="78"/>
  <c r="T43" i="78"/>
  <c r="P43" i="78"/>
  <c r="H43" i="78"/>
  <c r="D43" i="78"/>
  <c r="L43" i="78" s="1"/>
  <c r="B43" i="78"/>
  <c r="X42" i="78"/>
  <c r="Z42" i="78" s="1"/>
  <c r="N42" i="78"/>
  <c r="L42" i="78"/>
  <c r="B42" i="78"/>
  <c r="X41" i="78"/>
  <c r="Z41" i="78" s="1"/>
  <c r="T41" i="78"/>
  <c r="P41" i="78"/>
  <c r="H41" i="78"/>
  <c r="D41" i="78"/>
  <c r="L41" i="78" s="1"/>
  <c r="N41" i="78" s="1"/>
  <c r="B41" i="78"/>
  <c r="Z40" i="78"/>
  <c r="X40" i="78"/>
  <c r="N40" i="78"/>
  <c r="L40" i="78"/>
  <c r="B40" i="78"/>
  <c r="T39" i="78"/>
  <c r="X39" i="78" s="1"/>
  <c r="Z39" i="78" s="1"/>
  <c r="P39" i="78"/>
  <c r="H39" i="78"/>
  <c r="N39" i="78" s="1"/>
  <c r="D39" i="78"/>
  <c r="L39" i="78" s="1"/>
  <c r="B39" i="78"/>
  <c r="Z38" i="78"/>
  <c r="X38" i="78"/>
  <c r="N38" i="78"/>
  <c r="L38" i="78"/>
  <c r="B38" i="78"/>
  <c r="X37" i="78"/>
  <c r="Z37" i="78" s="1"/>
  <c r="N37" i="78"/>
  <c r="L37" i="78"/>
  <c r="B37" i="78"/>
  <c r="Z36" i="78"/>
  <c r="X36" i="78"/>
  <c r="N36" i="78"/>
  <c r="L36" i="78"/>
  <c r="F36" i="78"/>
  <c r="B36" i="78"/>
  <c r="X35" i="78"/>
  <c r="Z35" i="78" s="1"/>
  <c r="T35" i="78"/>
  <c r="P35" i="78"/>
  <c r="N35" i="78"/>
  <c r="H35" i="78"/>
  <c r="F35" i="78"/>
  <c r="D35" i="78"/>
  <c r="L35" i="78" s="1"/>
  <c r="B35" i="78"/>
  <c r="X34" i="78"/>
  <c r="Z34" i="78" s="1"/>
  <c r="N34" i="78"/>
  <c r="L34" i="78"/>
  <c r="B34" i="78"/>
  <c r="Z33" i="78"/>
  <c r="X33" i="78"/>
  <c r="N33" i="78"/>
  <c r="L33" i="78"/>
  <c r="B33" i="78"/>
  <c r="X32" i="78"/>
  <c r="Z32" i="78" s="1"/>
  <c r="N32" i="78"/>
  <c r="L32" i="78"/>
  <c r="F32" i="78"/>
  <c r="B32" i="78"/>
  <c r="Z31" i="78"/>
  <c r="X31" i="78"/>
  <c r="N31" i="78"/>
  <c r="L31" i="78"/>
  <c r="J31" i="78"/>
  <c r="B31" i="78"/>
  <c r="X30" i="78"/>
  <c r="Z30" i="78" s="1"/>
  <c r="N30" i="78"/>
  <c r="L30" i="78"/>
  <c r="B30" i="78"/>
  <c r="Z29" i="78"/>
  <c r="X29" i="78"/>
  <c r="N29" i="78"/>
  <c r="L29" i="78"/>
  <c r="B29" i="78"/>
  <c r="X28" i="78"/>
  <c r="Z28" i="78" s="1"/>
  <c r="N28" i="78"/>
  <c r="L28" i="78"/>
  <c r="F28" i="78"/>
  <c r="B28" i="78"/>
  <c r="T27" i="78"/>
  <c r="X27" i="78" s="1"/>
  <c r="Z27" i="78" s="1"/>
  <c r="P27" i="78"/>
  <c r="N27" i="78"/>
  <c r="L27" i="78"/>
  <c r="H27" i="78"/>
  <c r="F27" i="78"/>
  <c r="D27" i="78"/>
  <c r="B27" i="78"/>
  <c r="T26" i="78"/>
  <c r="P26" i="78"/>
  <c r="X26" i="78" s="1"/>
  <c r="H26" i="78"/>
  <c r="D26" i="78"/>
  <c r="L26" i="78" s="1"/>
  <c r="D24" i="78"/>
  <c r="X22" i="78"/>
  <c r="Z22" i="78" s="1"/>
  <c r="L22" i="78"/>
  <c r="N22" i="78" s="1"/>
  <c r="B22" i="78"/>
  <c r="Z21" i="78"/>
  <c r="X21" i="78"/>
  <c r="L21" i="78"/>
  <c r="N21" i="78" s="1"/>
  <c r="B21" i="78"/>
  <c r="Z20" i="78"/>
  <c r="X20" i="78"/>
  <c r="L20" i="78"/>
  <c r="N20" i="78" s="1"/>
  <c r="B20" i="78"/>
  <c r="Z19" i="78"/>
  <c r="X19" i="78"/>
  <c r="N19" i="78"/>
  <c r="L19" i="78"/>
  <c r="B19" i="78"/>
  <c r="Z18" i="78"/>
  <c r="X18" i="78"/>
  <c r="L18" i="78"/>
  <c r="N18" i="78" s="1"/>
  <c r="B18" i="78"/>
  <c r="T17" i="78"/>
  <c r="P17" i="78"/>
  <c r="X17" i="78" s="1"/>
  <c r="Z17" i="78" s="1"/>
  <c r="J17" i="78"/>
  <c r="H17" i="78"/>
  <c r="D17" i="78"/>
  <c r="L17" i="78" s="1"/>
  <c r="N17" i="78" s="1"/>
  <c r="T15" i="78"/>
  <c r="P15" i="78"/>
  <c r="L15" i="78"/>
  <c r="H15" i="78"/>
  <c r="N15" i="78" s="1"/>
  <c r="D15" i="78"/>
  <c r="B15" i="78"/>
  <c r="T14" i="78"/>
  <c r="Z14" i="78" s="1"/>
  <c r="P14" i="78"/>
  <c r="X14" i="78" s="1"/>
  <c r="L14" i="78"/>
  <c r="N14" i="78" s="1"/>
  <c r="H14" i="78"/>
  <c r="D14" i="78"/>
  <c r="B14" i="78"/>
  <c r="T13" i="78"/>
  <c r="P13" i="78"/>
  <c r="X13" i="78" s="1"/>
  <c r="H13" i="78"/>
  <c r="H12" i="78" s="1"/>
  <c r="J61" i="78" s="1"/>
  <c r="D13" i="78"/>
  <c r="B13" i="78"/>
  <c r="D12" i="78"/>
  <c r="F49" i="78" s="1"/>
  <c r="D6" i="78"/>
  <c r="D4" i="78"/>
  <c r="X106" i="76"/>
  <c r="Z106" i="76" s="1"/>
  <c r="L106" i="76"/>
  <c r="N106" i="76" s="1"/>
  <c r="T102" i="76"/>
  <c r="P102" i="76"/>
  <c r="H102" i="76"/>
  <c r="N102" i="76" s="1"/>
  <c r="D102" i="76"/>
  <c r="L102" i="76" s="1"/>
  <c r="B102" i="76"/>
  <c r="X101" i="76"/>
  <c r="T101" i="76"/>
  <c r="Z101" i="76" s="1"/>
  <c r="P101" i="76"/>
  <c r="H101" i="76"/>
  <c r="D101" i="76"/>
  <c r="L101" i="76" s="1"/>
  <c r="N101" i="76" s="1"/>
  <c r="B101" i="76"/>
  <c r="T100" i="76"/>
  <c r="P100" i="76"/>
  <c r="H100" i="76"/>
  <c r="D100" i="76"/>
  <c r="B100" i="76"/>
  <c r="Z97" i="76"/>
  <c r="X97" i="76"/>
  <c r="L97" i="76"/>
  <c r="N97" i="76" s="1"/>
  <c r="B97" i="76"/>
  <c r="T96" i="76"/>
  <c r="P96" i="76"/>
  <c r="X96" i="76" s="1"/>
  <c r="H96" i="76"/>
  <c r="D96" i="76"/>
  <c r="L96" i="76" s="1"/>
  <c r="B96" i="76"/>
  <c r="X95" i="76"/>
  <c r="Z95" i="76" s="1"/>
  <c r="N95" i="76"/>
  <c r="L95" i="76"/>
  <c r="B95" i="76"/>
  <c r="X94" i="76"/>
  <c r="T94" i="76"/>
  <c r="Z94" i="76" s="1"/>
  <c r="P94" i="76"/>
  <c r="L94" i="76"/>
  <c r="H94" i="76"/>
  <c r="N94" i="76" s="1"/>
  <c r="D94" i="76"/>
  <c r="B94" i="76"/>
  <c r="Z93" i="76"/>
  <c r="X93" i="76"/>
  <c r="N93" i="76"/>
  <c r="L93" i="76"/>
  <c r="B93" i="76"/>
  <c r="T92" i="76"/>
  <c r="P92" i="76"/>
  <c r="H92" i="76"/>
  <c r="D92" i="76"/>
  <c r="B92" i="76"/>
  <c r="Z91" i="76"/>
  <c r="X91" i="76"/>
  <c r="L91" i="76"/>
  <c r="N91" i="76" s="1"/>
  <c r="B91" i="76"/>
  <c r="X90" i="76"/>
  <c r="Z90" i="76" s="1"/>
  <c r="L90" i="76"/>
  <c r="N90" i="76" s="1"/>
  <c r="B90" i="76"/>
  <c r="Z89" i="76"/>
  <c r="X89" i="76"/>
  <c r="N89" i="76"/>
  <c r="L89" i="76"/>
  <c r="B89" i="76"/>
  <c r="T88" i="76"/>
  <c r="P88" i="76"/>
  <c r="X88" i="76" s="1"/>
  <c r="H88" i="76"/>
  <c r="N88" i="76" s="1"/>
  <c r="D88" i="76"/>
  <c r="L88" i="76" s="1"/>
  <c r="B88" i="76"/>
  <c r="X87" i="76"/>
  <c r="Z87" i="76" s="1"/>
  <c r="N87" i="76"/>
  <c r="L87" i="76"/>
  <c r="B87" i="76"/>
  <c r="X86" i="76"/>
  <c r="T86" i="76"/>
  <c r="Z86" i="76" s="1"/>
  <c r="P86" i="76"/>
  <c r="L86" i="76"/>
  <c r="H86" i="76"/>
  <c r="N86" i="76" s="1"/>
  <c r="D86" i="76"/>
  <c r="B86" i="76"/>
  <c r="Z85" i="76"/>
  <c r="X85" i="76"/>
  <c r="N85" i="76"/>
  <c r="L85" i="76"/>
  <c r="B85" i="76"/>
  <c r="T84" i="76"/>
  <c r="Z84" i="76" s="1"/>
  <c r="P84" i="76"/>
  <c r="H84" i="76"/>
  <c r="N84" i="76" s="1"/>
  <c r="D84" i="76"/>
  <c r="L84" i="76" s="1"/>
  <c r="B84" i="76"/>
  <c r="Z83" i="76"/>
  <c r="X83" i="76"/>
  <c r="N83" i="76"/>
  <c r="L83" i="76"/>
  <c r="B83" i="76"/>
  <c r="T82" i="76"/>
  <c r="Z82" i="76" s="1"/>
  <c r="P82" i="76"/>
  <c r="X82" i="76" s="1"/>
  <c r="H82" i="76"/>
  <c r="N82" i="76" s="1"/>
  <c r="D82" i="76"/>
  <c r="L82" i="76" s="1"/>
  <c r="B82" i="76"/>
  <c r="Z81" i="76"/>
  <c r="X81" i="76"/>
  <c r="N81" i="76"/>
  <c r="L81" i="76"/>
  <c r="B81" i="76"/>
  <c r="X80" i="76"/>
  <c r="Z80" i="76" s="1"/>
  <c r="L80" i="76"/>
  <c r="N80" i="76" s="1"/>
  <c r="B80" i="76"/>
  <c r="X79" i="76"/>
  <c r="T79" i="76"/>
  <c r="Z79" i="76" s="1"/>
  <c r="P79" i="76"/>
  <c r="H79" i="76"/>
  <c r="D79" i="76"/>
  <c r="L79" i="76" s="1"/>
  <c r="N79" i="76" s="1"/>
  <c r="B79" i="76"/>
  <c r="X78" i="76"/>
  <c r="Z78" i="76" s="1"/>
  <c r="L78" i="76"/>
  <c r="N78" i="76" s="1"/>
  <c r="B78" i="76"/>
  <c r="T77" i="76"/>
  <c r="X77" i="76" s="1"/>
  <c r="Z77" i="76" s="1"/>
  <c r="P77" i="76"/>
  <c r="H77" i="76"/>
  <c r="D77" i="76"/>
  <c r="L77" i="76" s="1"/>
  <c r="N77" i="76" s="1"/>
  <c r="B77" i="76"/>
  <c r="Z76" i="76"/>
  <c r="X76" i="76"/>
  <c r="L76" i="76"/>
  <c r="N76" i="76" s="1"/>
  <c r="B76" i="76"/>
  <c r="T75" i="76"/>
  <c r="P75" i="76"/>
  <c r="X75" i="76" s="1"/>
  <c r="Z75" i="76" s="1"/>
  <c r="H75" i="76"/>
  <c r="D75" i="76"/>
  <c r="L75" i="76" s="1"/>
  <c r="N75" i="76" s="1"/>
  <c r="B75" i="76"/>
  <c r="X74" i="76"/>
  <c r="Z74" i="76" s="1"/>
  <c r="N74" i="76"/>
  <c r="L74" i="76"/>
  <c r="B74" i="76"/>
  <c r="X73" i="76"/>
  <c r="T73" i="76"/>
  <c r="Z73" i="76" s="1"/>
  <c r="P73" i="76"/>
  <c r="H73" i="76"/>
  <c r="N73" i="76" s="1"/>
  <c r="F73" i="76"/>
  <c r="D73" i="76"/>
  <c r="L73" i="76" s="1"/>
  <c r="B73" i="76"/>
  <c r="X72" i="76"/>
  <c r="Z72" i="76" s="1"/>
  <c r="N72" i="76"/>
  <c r="L72" i="76"/>
  <c r="B72" i="76"/>
  <c r="Z71" i="76"/>
  <c r="X71" i="76"/>
  <c r="N71" i="76"/>
  <c r="L71" i="76"/>
  <c r="B71" i="76"/>
  <c r="Z70" i="76"/>
  <c r="X70" i="76"/>
  <c r="N70" i="76"/>
  <c r="L70" i="76"/>
  <c r="B70" i="76"/>
  <c r="Z69" i="76"/>
  <c r="X69" i="76"/>
  <c r="N69" i="76"/>
  <c r="L69" i="76"/>
  <c r="B69" i="76"/>
  <c r="X68" i="76"/>
  <c r="Z68" i="76" s="1"/>
  <c r="L68" i="76"/>
  <c r="N68" i="76" s="1"/>
  <c r="B68" i="76"/>
  <c r="Z67" i="76"/>
  <c r="X67" i="76"/>
  <c r="T67" i="76"/>
  <c r="P67" i="76"/>
  <c r="N67" i="76"/>
  <c r="H67" i="76"/>
  <c r="D67" i="76"/>
  <c r="L67" i="76" s="1"/>
  <c r="B67" i="76"/>
  <c r="Z66" i="76"/>
  <c r="X66" i="76"/>
  <c r="L66" i="76"/>
  <c r="N66" i="76" s="1"/>
  <c r="B66" i="76"/>
  <c r="X65" i="76"/>
  <c r="Z65" i="76" s="1"/>
  <c r="L65" i="76"/>
  <c r="N65" i="76" s="1"/>
  <c r="B65" i="76"/>
  <c r="Z64" i="76"/>
  <c r="X64" i="76"/>
  <c r="L64" i="76"/>
  <c r="N64" i="76" s="1"/>
  <c r="B64" i="76"/>
  <c r="Z63" i="76"/>
  <c r="X63" i="76"/>
  <c r="L63" i="76"/>
  <c r="N63" i="76" s="1"/>
  <c r="B63" i="76"/>
  <c r="Z62" i="76"/>
  <c r="X62" i="76"/>
  <c r="N62" i="76"/>
  <c r="L62" i="76"/>
  <c r="B62" i="76"/>
  <c r="X61" i="76"/>
  <c r="Z61" i="76" s="1"/>
  <c r="N61" i="76"/>
  <c r="L61" i="76"/>
  <c r="B61" i="76"/>
  <c r="X60" i="76"/>
  <c r="Z60" i="76" s="1"/>
  <c r="N60" i="76"/>
  <c r="L60" i="76"/>
  <c r="B60" i="76"/>
  <c r="Z59" i="76"/>
  <c r="X59" i="76"/>
  <c r="L59" i="76"/>
  <c r="N59" i="76" s="1"/>
  <c r="F59" i="76"/>
  <c r="B59" i="76"/>
  <c r="X58" i="76"/>
  <c r="Z58" i="76" s="1"/>
  <c r="L58" i="76"/>
  <c r="N58" i="76" s="1"/>
  <c r="B58" i="76"/>
  <c r="X57" i="76"/>
  <c r="Z57" i="76" s="1"/>
  <c r="T57" i="76"/>
  <c r="P57" i="76"/>
  <c r="H57" i="76"/>
  <c r="D57" i="76"/>
  <c r="L57" i="76" s="1"/>
  <c r="N57" i="76" s="1"/>
  <c r="B57" i="76"/>
  <c r="T56" i="76"/>
  <c r="P56" i="76"/>
  <c r="X56" i="76" s="1"/>
  <c r="Z56" i="76" s="1"/>
  <c r="H56" i="76"/>
  <c r="D56" i="76"/>
  <c r="Z52" i="76"/>
  <c r="X52" i="76"/>
  <c r="N52" i="76"/>
  <c r="L52" i="76"/>
  <c r="B52" i="76"/>
  <c r="Z51" i="76"/>
  <c r="X51" i="76"/>
  <c r="N51" i="76"/>
  <c r="L51" i="76"/>
  <c r="B51" i="76"/>
  <c r="X50" i="76"/>
  <c r="Z50" i="76" s="1"/>
  <c r="N50" i="76"/>
  <c r="L50" i="76"/>
  <c r="B50" i="76"/>
  <c r="Z49" i="76"/>
  <c r="X49" i="76"/>
  <c r="N49" i="76"/>
  <c r="L49" i="76"/>
  <c r="B49" i="76"/>
  <c r="Z48" i="76"/>
  <c r="X48" i="76"/>
  <c r="L48" i="76"/>
  <c r="N48" i="76" s="1"/>
  <c r="B48" i="76"/>
  <c r="Z47" i="76"/>
  <c r="X47" i="76"/>
  <c r="L47" i="76"/>
  <c r="N47" i="76" s="1"/>
  <c r="B47" i="76"/>
  <c r="X46" i="76"/>
  <c r="Z46" i="76" s="1"/>
  <c r="N46" i="76"/>
  <c r="L46" i="76"/>
  <c r="B46" i="76"/>
  <c r="Z45" i="76"/>
  <c r="X45" i="76"/>
  <c r="N45" i="76"/>
  <c r="L45" i="76"/>
  <c r="B45" i="76"/>
  <c r="Z44" i="76"/>
  <c r="X44" i="76"/>
  <c r="L44" i="76"/>
  <c r="N44" i="76" s="1"/>
  <c r="B44" i="76"/>
  <c r="Z43" i="76"/>
  <c r="X43" i="76"/>
  <c r="N43" i="76"/>
  <c r="L43" i="76"/>
  <c r="B43" i="76"/>
  <c r="X42" i="76"/>
  <c r="Z42" i="76" s="1"/>
  <c r="L42" i="76"/>
  <c r="N42" i="76" s="1"/>
  <c r="B42" i="76"/>
  <c r="Z41" i="76"/>
  <c r="X41" i="76"/>
  <c r="N41" i="76"/>
  <c r="L41" i="76"/>
  <c r="B41" i="76"/>
  <c r="Z40" i="76"/>
  <c r="X40" i="76"/>
  <c r="L40" i="76"/>
  <c r="N40" i="76" s="1"/>
  <c r="B40" i="76"/>
  <c r="T39" i="76"/>
  <c r="P39" i="76"/>
  <c r="X39" i="76" s="1"/>
  <c r="H39" i="76"/>
  <c r="D39" i="76"/>
  <c r="L39" i="76" s="1"/>
  <c r="N39" i="76" s="1"/>
  <c r="T37" i="76"/>
  <c r="Z37" i="76" s="1"/>
  <c r="P37" i="76"/>
  <c r="X37" i="76" s="1"/>
  <c r="L37" i="76"/>
  <c r="H37" i="76"/>
  <c r="N37" i="76" s="1"/>
  <c r="D37" i="76"/>
  <c r="B37" i="76"/>
  <c r="X36" i="76"/>
  <c r="T36" i="76"/>
  <c r="Z36" i="76" s="1"/>
  <c r="P36" i="76"/>
  <c r="H36" i="76"/>
  <c r="D36" i="76"/>
  <c r="B36" i="76"/>
  <c r="T35" i="76"/>
  <c r="P35" i="76"/>
  <c r="N35" i="76"/>
  <c r="L35" i="76"/>
  <c r="H35" i="76"/>
  <c r="D35" i="76"/>
  <c r="B35" i="76"/>
  <c r="T34" i="76"/>
  <c r="P34" i="76"/>
  <c r="X34" i="76" s="1"/>
  <c r="Z34" i="76" s="1"/>
  <c r="N34" i="76"/>
  <c r="L34" i="76"/>
  <c r="H34" i="76"/>
  <c r="D34" i="76"/>
  <c r="B34" i="76"/>
  <c r="T33" i="76"/>
  <c r="P33" i="76"/>
  <c r="X33" i="76" s="1"/>
  <c r="L33" i="76"/>
  <c r="H33" i="76"/>
  <c r="N33" i="76" s="1"/>
  <c r="D33" i="76"/>
  <c r="B33" i="76"/>
  <c r="X32" i="76"/>
  <c r="T32" i="76"/>
  <c r="Z32" i="76" s="1"/>
  <c r="P32" i="76"/>
  <c r="H32" i="76"/>
  <c r="D32" i="76"/>
  <c r="B32" i="76"/>
  <c r="T31" i="76"/>
  <c r="P31" i="76"/>
  <c r="N31" i="76"/>
  <c r="L31" i="76"/>
  <c r="H31" i="76"/>
  <c r="D31" i="76"/>
  <c r="B31" i="76"/>
  <c r="T30" i="76"/>
  <c r="P30" i="76"/>
  <c r="X30" i="76" s="1"/>
  <c r="Z30" i="76" s="1"/>
  <c r="L30" i="76"/>
  <c r="N30" i="76" s="1"/>
  <c r="H30" i="76"/>
  <c r="D30" i="76"/>
  <c r="B30" i="76"/>
  <c r="T29" i="76"/>
  <c r="P29" i="76"/>
  <c r="X29" i="76" s="1"/>
  <c r="L29" i="76"/>
  <c r="H29" i="76"/>
  <c r="N29" i="76" s="1"/>
  <c r="D29" i="76"/>
  <c r="B29" i="76"/>
  <c r="X28" i="76"/>
  <c r="T28" i="76"/>
  <c r="Z28" i="76" s="1"/>
  <c r="P28" i="76"/>
  <c r="H28" i="76"/>
  <c r="D28" i="76"/>
  <c r="B28" i="76"/>
  <c r="T27" i="76"/>
  <c r="P27" i="76"/>
  <c r="N27" i="76"/>
  <c r="L27" i="76"/>
  <c r="H27" i="76"/>
  <c r="D27" i="76"/>
  <c r="B27" i="76"/>
  <c r="T26" i="76"/>
  <c r="P26" i="76"/>
  <c r="X26" i="76" s="1"/>
  <c r="Z26" i="76" s="1"/>
  <c r="L26" i="76"/>
  <c r="N26" i="76" s="1"/>
  <c r="H26" i="76"/>
  <c r="D26" i="76"/>
  <c r="B26" i="76"/>
  <c r="T25" i="76"/>
  <c r="Z25" i="76" s="1"/>
  <c r="P25" i="76"/>
  <c r="X25" i="76" s="1"/>
  <c r="L25" i="76"/>
  <c r="H25" i="76"/>
  <c r="N25" i="76" s="1"/>
  <c r="D25" i="76"/>
  <c r="B25" i="76"/>
  <c r="T24" i="76"/>
  <c r="P24" i="76"/>
  <c r="H24" i="76"/>
  <c r="D24" i="76"/>
  <c r="B24" i="76"/>
  <c r="T23" i="76"/>
  <c r="P23" i="76"/>
  <c r="L23" i="76"/>
  <c r="N23" i="76" s="1"/>
  <c r="H23" i="76"/>
  <c r="D23" i="76"/>
  <c r="B23" i="76"/>
  <c r="T22" i="76"/>
  <c r="P22" i="76"/>
  <c r="X22" i="76" s="1"/>
  <c r="Z22" i="76" s="1"/>
  <c r="L22" i="76"/>
  <c r="N22" i="76" s="1"/>
  <c r="H22" i="76"/>
  <c r="D22" i="76"/>
  <c r="B22" i="76"/>
  <c r="T21" i="76"/>
  <c r="Z21" i="76" s="1"/>
  <c r="P21" i="76"/>
  <c r="X21" i="76" s="1"/>
  <c r="L21" i="76"/>
  <c r="H21" i="76"/>
  <c r="N21" i="76" s="1"/>
  <c r="D21" i="76"/>
  <c r="B21" i="76"/>
  <c r="T20" i="76"/>
  <c r="P20" i="76"/>
  <c r="H20" i="76"/>
  <c r="D20" i="76"/>
  <c r="B20" i="76"/>
  <c r="T19" i="76"/>
  <c r="P19" i="76"/>
  <c r="L19" i="76"/>
  <c r="N19" i="76" s="1"/>
  <c r="H19" i="76"/>
  <c r="D19" i="76"/>
  <c r="B19" i="76"/>
  <c r="T18" i="76"/>
  <c r="P18" i="76"/>
  <c r="X18" i="76" s="1"/>
  <c r="Z18" i="76" s="1"/>
  <c r="N18" i="76"/>
  <c r="L18" i="76"/>
  <c r="H18" i="76"/>
  <c r="D18" i="76"/>
  <c r="B18" i="76"/>
  <c r="T17" i="76"/>
  <c r="P17" i="76"/>
  <c r="X17" i="76" s="1"/>
  <c r="L17" i="76"/>
  <c r="H17" i="76"/>
  <c r="N17" i="76" s="1"/>
  <c r="D17" i="76"/>
  <c r="B17" i="76"/>
  <c r="T16" i="76"/>
  <c r="P16" i="76"/>
  <c r="H16" i="76"/>
  <c r="D16" i="76"/>
  <c r="B16" i="76"/>
  <c r="T15" i="76"/>
  <c r="P15" i="76"/>
  <c r="L15" i="76"/>
  <c r="N15" i="76" s="1"/>
  <c r="H15" i="76"/>
  <c r="D15" i="76"/>
  <c r="B15" i="76"/>
  <c r="T14" i="76"/>
  <c r="X14" i="76" s="1"/>
  <c r="Z14" i="76" s="1"/>
  <c r="P14" i="76"/>
  <c r="L14" i="76"/>
  <c r="N14" i="76" s="1"/>
  <c r="H14" i="76"/>
  <c r="D14" i="76"/>
  <c r="D12" i="76" s="1"/>
  <c r="B14" i="76"/>
  <c r="T13" i="76"/>
  <c r="T12" i="76" s="1"/>
  <c r="P13" i="76"/>
  <c r="N13" i="76"/>
  <c r="L13" i="76"/>
  <c r="H13" i="76"/>
  <c r="D13" i="76"/>
  <c r="B13" i="76"/>
  <c r="D6" i="76"/>
  <c r="D4" i="76"/>
  <c r="X77" i="75"/>
  <c r="Z77" i="75" s="1"/>
  <c r="N77" i="75"/>
  <c r="L77" i="75"/>
  <c r="T73" i="75"/>
  <c r="T72" i="75" s="1"/>
  <c r="P73" i="75"/>
  <c r="P72" i="75" s="1"/>
  <c r="X72" i="75" s="1"/>
  <c r="H73" i="75"/>
  <c r="D73" i="75"/>
  <c r="L73" i="75" s="1"/>
  <c r="B73" i="75"/>
  <c r="D72" i="75"/>
  <c r="Z70" i="75"/>
  <c r="X70" i="75"/>
  <c r="N70" i="75"/>
  <c r="L70" i="75"/>
  <c r="B70" i="75"/>
  <c r="X69" i="75"/>
  <c r="T69" i="75"/>
  <c r="Z69" i="75" s="1"/>
  <c r="P69" i="75"/>
  <c r="N69" i="75"/>
  <c r="L69" i="75"/>
  <c r="H69" i="75"/>
  <c r="D69" i="75"/>
  <c r="B69" i="75"/>
  <c r="X68" i="75"/>
  <c r="Z68" i="75" s="1"/>
  <c r="N68" i="75"/>
  <c r="L68" i="75"/>
  <c r="B68" i="75"/>
  <c r="T67" i="75"/>
  <c r="P67" i="75"/>
  <c r="H67" i="75"/>
  <c r="N67" i="75" s="1"/>
  <c r="D67" i="75"/>
  <c r="L67" i="75" s="1"/>
  <c r="B67" i="75"/>
  <c r="Z66" i="75"/>
  <c r="X66" i="75"/>
  <c r="L66" i="75"/>
  <c r="N66" i="75" s="1"/>
  <c r="B66" i="75"/>
  <c r="T65" i="75"/>
  <c r="Z65" i="75" s="1"/>
  <c r="P65" i="75"/>
  <c r="X65" i="75" s="1"/>
  <c r="H65" i="75"/>
  <c r="D65" i="75"/>
  <c r="L65" i="75" s="1"/>
  <c r="N65" i="75" s="1"/>
  <c r="B65" i="75"/>
  <c r="X64" i="75"/>
  <c r="Z64" i="75" s="1"/>
  <c r="L64" i="75"/>
  <c r="N64" i="75" s="1"/>
  <c r="B64" i="75"/>
  <c r="X63" i="75"/>
  <c r="Z63" i="75" s="1"/>
  <c r="N63" i="75"/>
  <c r="L63" i="75"/>
  <c r="B63" i="75"/>
  <c r="Z62" i="75"/>
  <c r="X62" i="75"/>
  <c r="N62" i="75"/>
  <c r="L62" i="75"/>
  <c r="B62" i="75"/>
  <c r="Z61" i="75"/>
  <c r="X61" i="75"/>
  <c r="N61" i="75"/>
  <c r="L61" i="75"/>
  <c r="B61" i="75"/>
  <c r="Z60" i="75"/>
  <c r="X60" i="75"/>
  <c r="N60" i="75"/>
  <c r="L60" i="75"/>
  <c r="B60" i="75"/>
  <c r="X59" i="75"/>
  <c r="Z59" i="75" s="1"/>
  <c r="N59" i="75"/>
  <c r="L59" i="75"/>
  <c r="B59" i="75"/>
  <c r="T58" i="75"/>
  <c r="Z58" i="75" s="1"/>
  <c r="P58" i="75"/>
  <c r="X58" i="75" s="1"/>
  <c r="H58" i="75"/>
  <c r="D58" i="75"/>
  <c r="L58" i="75" s="1"/>
  <c r="B58" i="75"/>
  <c r="X57" i="75"/>
  <c r="Z57" i="75" s="1"/>
  <c r="N57" i="75"/>
  <c r="L57" i="75"/>
  <c r="B57" i="75"/>
  <c r="X56" i="75"/>
  <c r="Z56" i="75" s="1"/>
  <c r="T56" i="75"/>
  <c r="P56" i="75"/>
  <c r="N56" i="75"/>
  <c r="L56" i="75"/>
  <c r="H56" i="75"/>
  <c r="D56" i="75"/>
  <c r="B56" i="75"/>
  <c r="Z55" i="75"/>
  <c r="X55" i="75"/>
  <c r="L55" i="75"/>
  <c r="N55" i="75" s="1"/>
  <c r="B55" i="75"/>
  <c r="Z54" i="75"/>
  <c r="X54" i="75"/>
  <c r="N54" i="75"/>
  <c r="L54" i="75"/>
  <c r="B54" i="75"/>
  <c r="T53" i="75"/>
  <c r="P53" i="75"/>
  <c r="X53" i="75" s="1"/>
  <c r="Z53" i="75" s="1"/>
  <c r="H53" i="75"/>
  <c r="D53" i="75"/>
  <c r="L53" i="75" s="1"/>
  <c r="N53" i="75" s="1"/>
  <c r="B53" i="75"/>
  <c r="Z52" i="75"/>
  <c r="X52" i="75"/>
  <c r="N52" i="75"/>
  <c r="L52" i="75"/>
  <c r="B52" i="75"/>
  <c r="X51" i="75"/>
  <c r="Z51" i="75" s="1"/>
  <c r="N51" i="75"/>
  <c r="L51" i="75"/>
  <c r="B51" i="75"/>
  <c r="T50" i="75"/>
  <c r="P50" i="75"/>
  <c r="X50" i="75" s="1"/>
  <c r="H50" i="75"/>
  <c r="D50" i="75"/>
  <c r="L50" i="75" s="1"/>
  <c r="N50" i="75" s="1"/>
  <c r="B50" i="75"/>
  <c r="X49" i="75"/>
  <c r="Z49" i="75" s="1"/>
  <c r="N49" i="75"/>
  <c r="L49" i="75"/>
  <c r="B49" i="75"/>
  <c r="X48" i="75"/>
  <c r="Z48" i="75" s="1"/>
  <c r="T48" i="75"/>
  <c r="P48" i="75"/>
  <c r="H48" i="75"/>
  <c r="D48" i="75"/>
  <c r="L48" i="75" s="1"/>
  <c r="N48" i="75" s="1"/>
  <c r="B48" i="75"/>
  <c r="Z47" i="75"/>
  <c r="X47" i="75"/>
  <c r="L47" i="75"/>
  <c r="N47" i="75" s="1"/>
  <c r="B47" i="75"/>
  <c r="T46" i="75"/>
  <c r="P46" i="75"/>
  <c r="H46" i="75"/>
  <c r="N46" i="75" s="1"/>
  <c r="D46" i="75"/>
  <c r="L46" i="75" s="1"/>
  <c r="B46" i="75"/>
  <c r="Z45" i="75"/>
  <c r="X45" i="75"/>
  <c r="N45" i="75"/>
  <c r="L45" i="75"/>
  <c r="B45" i="75"/>
  <c r="T44" i="75"/>
  <c r="Z44" i="75" s="1"/>
  <c r="P44" i="75"/>
  <c r="X44" i="75" s="1"/>
  <c r="H44" i="75"/>
  <c r="N44" i="75" s="1"/>
  <c r="D44" i="75"/>
  <c r="L44" i="75" s="1"/>
  <c r="B44" i="75"/>
  <c r="Z43" i="75"/>
  <c r="X43" i="75"/>
  <c r="N43" i="75"/>
  <c r="L43" i="75"/>
  <c r="B43" i="75"/>
  <c r="X42" i="75"/>
  <c r="Z42" i="75" s="1"/>
  <c r="L42" i="75"/>
  <c r="N42" i="75" s="1"/>
  <c r="B42" i="75"/>
  <c r="X41" i="75"/>
  <c r="Z41" i="75" s="1"/>
  <c r="N41" i="75"/>
  <c r="L41" i="75"/>
  <c r="B41" i="75"/>
  <c r="X40" i="75"/>
  <c r="Z40" i="75" s="1"/>
  <c r="T40" i="75"/>
  <c r="P40" i="75"/>
  <c r="H40" i="75"/>
  <c r="D40" i="75"/>
  <c r="L40" i="75" s="1"/>
  <c r="N40" i="75" s="1"/>
  <c r="B40" i="75"/>
  <c r="Z39" i="75"/>
  <c r="X39" i="75"/>
  <c r="L39" i="75"/>
  <c r="N39" i="75" s="1"/>
  <c r="B39" i="75"/>
  <c r="X38" i="75"/>
  <c r="Z38" i="75" s="1"/>
  <c r="N38" i="75"/>
  <c r="L38" i="75"/>
  <c r="B38" i="75"/>
  <c r="X37" i="75"/>
  <c r="Z37" i="75" s="1"/>
  <c r="L37" i="75"/>
  <c r="N37" i="75" s="1"/>
  <c r="J37" i="75"/>
  <c r="B37" i="75"/>
  <c r="X36" i="75"/>
  <c r="Z36" i="75" s="1"/>
  <c r="L36" i="75"/>
  <c r="N36" i="75" s="1"/>
  <c r="B36" i="75"/>
  <c r="Z35" i="75"/>
  <c r="X35" i="75"/>
  <c r="L35" i="75"/>
  <c r="N35" i="75" s="1"/>
  <c r="B35" i="75"/>
  <c r="X34" i="75"/>
  <c r="Z34" i="75" s="1"/>
  <c r="L34" i="75"/>
  <c r="N34" i="75" s="1"/>
  <c r="B34" i="75"/>
  <c r="X33" i="75"/>
  <c r="Z33" i="75" s="1"/>
  <c r="L33" i="75"/>
  <c r="N33" i="75" s="1"/>
  <c r="B33" i="75"/>
  <c r="X32" i="75"/>
  <c r="Z32" i="75" s="1"/>
  <c r="L32" i="75"/>
  <c r="N32" i="75" s="1"/>
  <c r="B32" i="75"/>
  <c r="Z31" i="75"/>
  <c r="T31" i="75"/>
  <c r="P31" i="75"/>
  <c r="X31" i="75" s="1"/>
  <c r="H31" i="75"/>
  <c r="D31" i="75"/>
  <c r="L31" i="75" s="1"/>
  <c r="B31" i="75"/>
  <c r="T30" i="75"/>
  <c r="P30" i="75"/>
  <c r="X30" i="75" s="1"/>
  <c r="H30" i="75"/>
  <c r="D30" i="75"/>
  <c r="L30" i="75" s="1"/>
  <c r="T26" i="75"/>
  <c r="Z26" i="75" s="1"/>
  <c r="P26" i="75"/>
  <c r="X26" i="75" s="1"/>
  <c r="H26" i="75"/>
  <c r="N26" i="75" s="1"/>
  <c r="D26" i="75"/>
  <c r="L26" i="75" s="1"/>
  <c r="T24" i="75"/>
  <c r="P24" i="75"/>
  <c r="X24" i="75" s="1"/>
  <c r="Z24" i="75" s="1"/>
  <c r="N24" i="75"/>
  <c r="L24" i="75"/>
  <c r="H24" i="75"/>
  <c r="D24" i="75"/>
  <c r="B24" i="75"/>
  <c r="T23" i="75"/>
  <c r="P23" i="75"/>
  <c r="H23" i="75"/>
  <c r="N23" i="75" s="1"/>
  <c r="D23" i="75"/>
  <c r="L23" i="75" s="1"/>
  <c r="B23" i="75"/>
  <c r="T22" i="75"/>
  <c r="P22" i="75"/>
  <c r="X22" i="75" s="1"/>
  <c r="N22" i="75"/>
  <c r="L22" i="75"/>
  <c r="H22" i="75"/>
  <c r="D22" i="75"/>
  <c r="B22" i="75"/>
  <c r="T21" i="75"/>
  <c r="P21" i="75"/>
  <c r="H21" i="75"/>
  <c r="N21" i="75" s="1"/>
  <c r="D21" i="75"/>
  <c r="L21" i="75" s="1"/>
  <c r="B21" i="75"/>
  <c r="T20" i="75"/>
  <c r="P20" i="75"/>
  <c r="X20" i="75" s="1"/>
  <c r="L20" i="75"/>
  <c r="N20" i="75" s="1"/>
  <c r="H20" i="75"/>
  <c r="D20" i="75"/>
  <c r="B20" i="75"/>
  <c r="T19" i="75"/>
  <c r="P19" i="75"/>
  <c r="L19" i="75"/>
  <c r="H19" i="75"/>
  <c r="N19" i="75" s="1"/>
  <c r="D19" i="75"/>
  <c r="B19" i="75"/>
  <c r="T18" i="75"/>
  <c r="P18" i="75"/>
  <c r="X18" i="75" s="1"/>
  <c r="N18" i="75"/>
  <c r="L18" i="75"/>
  <c r="H18" i="75"/>
  <c r="D18" i="75"/>
  <c r="B18" i="75"/>
  <c r="T17" i="75"/>
  <c r="P17" i="75"/>
  <c r="H17" i="75"/>
  <c r="N17" i="75" s="1"/>
  <c r="D17" i="75"/>
  <c r="L17" i="75" s="1"/>
  <c r="B17" i="75"/>
  <c r="T16" i="75"/>
  <c r="P16" i="75"/>
  <c r="X16" i="75" s="1"/>
  <c r="L16" i="75"/>
  <c r="N16" i="75" s="1"/>
  <c r="H16" i="75"/>
  <c r="D16" i="75"/>
  <c r="B16" i="75"/>
  <c r="T15" i="75"/>
  <c r="P15" i="75"/>
  <c r="L15" i="75"/>
  <c r="H15" i="75"/>
  <c r="N15" i="75" s="1"/>
  <c r="D15" i="75"/>
  <c r="B15" i="75"/>
  <c r="T14" i="75"/>
  <c r="P14" i="75"/>
  <c r="P12" i="75" s="1"/>
  <c r="R66" i="75" s="1"/>
  <c r="L14" i="75"/>
  <c r="N14" i="75" s="1"/>
  <c r="H14" i="75"/>
  <c r="D14" i="75"/>
  <c r="B14" i="75"/>
  <c r="T13" i="75"/>
  <c r="Z13" i="75" s="1"/>
  <c r="P13" i="75"/>
  <c r="H13" i="75"/>
  <c r="H12" i="75" s="1"/>
  <c r="D13" i="75"/>
  <c r="D12" i="75" s="1"/>
  <c r="B13" i="75"/>
  <c r="D6" i="75"/>
  <c r="D4" i="75"/>
  <c r="X134" i="74"/>
  <c r="Z134" i="74" s="1"/>
  <c r="N134" i="74"/>
  <c r="L134" i="74"/>
  <c r="T130" i="74"/>
  <c r="Z130" i="74" s="1"/>
  <c r="P130" i="74"/>
  <c r="N130" i="74"/>
  <c r="H130" i="74"/>
  <c r="D130" i="74"/>
  <c r="L130" i="74" s="1"/>
  <c r="B130" i="74"/>
  <c r="T129" i="74"/>
  <c r="Z129" i="74" s="1"/>
  <c r="R129" i="74"/>
  <c r="P129" i="74"/>
  <c r="X129" i="74" s="1"/>
  <c r="N129" i="74"/>
  <c r="L129" i="74"/>
  <c r="H129" i="74"/>
  <c r="D129" i="74"/>
  <c r="B129" i="74"/>
  <c r="T128" i="74"/>
  <c r="H128" i="74"/>
  <c r="D128" i="74"/>
  <c r="X126" i="74"/>
  <c r="Z126" i="74" s="1"/>
  <c r="R126" i="74"/>
  <c r="N126" i="74"/>
  <c r="L126" i="74"/>
  <c r="B126" i="74"/>
  <c r="Z125" i="74"/>
  <c r="X125" i="74"/>
  <c r="N125" i="74"/>
  <c r="L125" i="74"/>
  <c r="J125" i="74"/>
  <c r="B125" i="74"/>
  <c r="T124" i="74"/>
  <c r="P124" i="74"/>
  <c r="X124" i="74" s="1"/>
  <c r="H124" i="74"/>
  <c r="D124" i="74"/>
  <c r="B124" i="74"/>
  <c r="X123" i="74"/>
  <c r="Z123" i="74" s="1"/>
  <c r="N123" i="74"/>
  <c r="L123" i="74"/>
  <c r="B123" i="74"/>
  <c r="X122" i="74"/>
  <c r="T122" i="74"/>
  <c r="Z122" i="74" s="1"/>
  <c r="P122" i="74"/>
  <c r="H122" i="74"/>
  <c r="D122" i="74"/>
  <c r="L122" i="74" s="1"/>
  <c r="B122" i="74"/>
  <c r="Z121" i="74"/>
  <c r="X121" i="74"/>
  <c r="N121" i="74"/>
  <c r="L121" i="74"/>
  <c r="B121" i="74"/>
  <c r="X120" i="74"/>
  <c r="T120" i="74"/>
  <c r="P120" i="74"/>
  <c r="H120" i="74"/>
  <c r="D120" i="74"/>
  <c r="L120" i="74" s="1"/>
  <c r="B120" i="74"/>
  <c r="Z119" i="74"/>
  <c r="X119" i="74"/>
  <c r="N119" i="74"/>
  <c r="L119" i="74"/>
  <c r="B119" i="74"/>
  <c r="X118" i="74"/>
  <c r="Z118" i="74" s="1"/>
  <c r="R118" i="74"/>
  <c r="N118" i="74"/>
  <c r="L118" i="74"/>
  <c r="B118" i="74"/>
  <c r="Z117" i="74"/>
  <c r="X117" i="74"/>
  <c r="N117" i="74"/>
  <c r="L117" i="74"/>
  <c r="J117" i="74"/>
  <c r="B117" i="74"/>
  <c r="Z116" i="74"/>
  <c r="X116" i="74"/>
  <c r="N116" i="74"/>
  <c r="L116" i="74"/>
  <c r="B116" i="74"/>
  <c r="Z115" i="74"/>
  <c r="X115" i="74"/>
  <c r="L115" i="74"/>
  <c r="N115" i="74" s="1"/>
  <c r="B115" i="74"/>
  <c r="T114" i="74"/>
  <c r="P114" i="74"/>
  <c r="H114" i="74"/>
  <c r="D114" i="74"/>
  <c r="L114" i="74" s="1"/>
  <c r="B114" i="74"/>
  <c r="X113" i="74"/>
  <c r="Z113" i="74" s="1"/>
  <c r="N113" i="74"/>
  <c r="L113" i="74"/>
  <c r="B113" i="74"/>
  <c r="Z112" i="74"/>
  <c r="X112" i="74"/>
  <c r="N112" i="74"/>
  <c r="L112" i="74"/>
  <c r="B112" i="74"/>
  <c r="T111" i="74"/>
  <c r="P111" i="74"/>
  <c r="X111" i="74" s="1"/>
  <c r="J111" i="74"/>
  <c r="H111" i="74"/>
  <c r="N111" i="74" s="1"/>
  <c r="D111" i="74"/>
  <c r="L111" i="74" s="1"/>
  <c r="B111" i="74"/>
  <c r="X110" i="74"/>
  <c r="Z110" i="74" s="1"/>
  <c r="L110" i="74"/>
  <c r="N110" i="74" s="1"/>
  <c r="F110" i="74"/>
  <c r="B110" i="74"/>
  <c r="X109" i="74"/>
  <c r="Z109" i="74" s="1"/>
  <c r="N109" i="74"/>
  <c r="L109" i="74"/>
  <c r="B109" i="74"/>
  <c r="X108" i="74"/>
  <c r="T108" i="74"/>
  <c r="P108" i="74"/>
  <c r="H108" i="74"/>
  <c r="D108" i="74"/>
  <c r="L108" i="74" s="1"/>
  <c r="B108" i="74"/>
  <c r="Z107" i="74"/>
  <c r="X107" i="74"/>
  <c r="L107" i="74"/>
  <c r="N107" i="74" s="1"/>
  <c r="B107" i="74"/>
  <c r="T106" i="74"/>
  <c r="P106" i="74"/>
  <c r="H106" i="74"/>
  <c r="N106" i="74" s="1"/>
  <c r="D106" i="74"/>
  <c r="L106" i="74" s="1"/>
  <c r="B106" i="74"/>
  <c r="X105" i="74"/>
  <c r="Z105" i="74" s="1"/>
  <c r="N105" i="74"/>
  <c r="L105" i="74"/>
  <c r="B105" i="74"/>
  <c r="X104" i="74"/>
  <c r="Z104" i="74" s="1"/>
  <c r="N104" i="74"/>
  <c r="L104" i="74"/>
  <c r="B104" i="74"/>
  <c r="T103" i="74"/>
  <c r="Z103" i="74" s="1"/>
  <c r="P103" i="74"/>
  <c r="X103" i="74" s="1"/>
  <c r="J103" i="74"/>
  <c r="H103" i="74"/>
  <c r="N103" i="74" s="1"/>
  <c r="D103" i="74"/>
  <c r="L103" i="74" s="1"/>
  <c r="B103" i="74"/>
  <c r="X102" i="74"/>
  <c r="Z102" i="74" s="1"/>
  <c r="L102" i="74"/>
  <c r="N102" i="74" s="1"/>
  <c r="B102" i="74"/>
  <c r="X101" i="74"/>
  <c r="T101" i="74"/>
  <c r="Z101" i="74" s="1"/>
  <c r="P101" i="74"/>
  <c r="H101" i="74"/>
  <c r="N101" i="74" s="1"/>
  <c r="F101" i="74"/>
  <c r="D101" i="74"/>
  <c r="L101" i="74" s="1"/>
  <c r="B101" i="74"/>
  <c r="Z100" i="74"/>
  <c r="X100" i="74"/>
  <c r="N100" i="74"/>
  <c r="L100" i="74"/>
  <c r="B100" i="74"/>
  <c r="Z99" i="74"/>
  <c r="X99" i="74"/>
  <c r="L99" i="74"/>
  <c r="N99" i="74" s="1"/>
  <c r="B99" i="74"/>
  <c r="T98" i="74"/>
  <c r="P98" i="74"/>
  <c r="H98" i="74"/>
  <c r="D98" i="74"/>
  <c r="L98" i="74" s="1"/>
  <c r="N98" i="74" s="1"/>
  <c r="B98" i="74"/>
  <c r="X97" i="74"/>
  <c r="Z97" i="74" s="1"/>
  <c r="L97" i="74"/>
  <c r="N97" i="74" s="1"/>
  <c r="B97" i="74"/>
  <c r="T96" i="74"/>
  <c r="P96" i="74"/>
  <c r="X96" i="74" s="1"/>
  <c r="H96" i="74"/>
  <c r="D96" i="74"/>
  <c r="L96" i="74" s="1"/>
  <c r="N96" i="74" s="1"/>
  <c r="B96" i="74"/>
  <c r="Z95" i="74"/>
  <c r="X95" i="74"/>
  <c r="N95" i="74"/>
  <c r="L95" i="74"/>
  <c r="B95" i="74"/>
  <c r="X94" i="74"/>
  <c r="Z94" i="74" s="1"/>
  <c r="L94" i="74"/>
  <c r="N94" i="74" s="1"/>
  <c r="F94" i="74"/>
  <c r="B94" i="74"/>
  <c r="X93" i="74"/>
  <c r="Z93" i="74" s="1"/>
  <c r="N93" i="74"/>
  <c r="L93" i="74"/>
  <c r="B93" i="74"/>
  <c r="X92" i="74"/>
  <c r="Z92" i="74" s="1"/>
  <c r="N92" i="74"/>
  <c r="L92" i="74"/>
  <c r="B92" i="74"/>
  <c r="X91" i="74"/>
  <c r="Z91" i="74" s="1"/>
  <c r="N91" i="74"/>
  <c r="L91" i="74"/>
  <c r="B91" i="74"/>
  <c r="X90" i="74"/>
  <c r="Z90" i="74" s="1"/>
  <c r="L90" i="74"/>
  <c r="N90" i="74" s="1"/>
  <c r="B90" i="74"/>
  <c r="T89" i="74"/>
  <c r="P89" i="74"/>
  <c r="X89" i="74" s="1"/>
  <c r="H89" i="74"/>
  <c r="N89" i="74" s="1"/>
  <c r="D89" i="74"/>
  <c r="L89" i="74" s="1"/>
  <c r="B89" i="74"/>
  <c r="X88" i="74"/>
  <c r="Z88" i="74" s="1"/>
  <c r="N88" i="74"/>
  <c r="L88" i="74"/>
  <c r="B88" i="74"/>
  <c r="Z87" i="74"/>
  <c r="X87" i="74"/>
  <c r="N87" i="74"/>
  <c r="L87" i="74"/>
  <c r="B87" i="74"/>
  <c r="X86" i="74"/>
  <c r="Z86" i="74" s="1"/>
  <c r="R86" i="74"/>
  <c r="N86" i="74"/>
  <c r="L86" i="74"/>
  <c r="B86" i="74"/>
  <c r="X85" i="74"/>
  <c r="Z85" i="74" s="1"/>
  <c r="N85" i="74"/>
  <c r="L85" i="74"/>
  <c r="J85" i="74"/>
  <c r="B85" i="74"/>
  <c r="X84" i="74"/>
  <c r="Z84" i="74" s="1"/>
  <c r="N84" i="74"/>
  <c r="L84" i="74"/>
  <c r="B84" i="74"/>
  <c r="Z83" i="74"/>
  <c r="X83" i="74"/>
  <c r="N83" i="74"/>
  <c r="L83" i="74"/>
  <c r="B83" i="74"/>
  <c r="X82" i="74"/>
  <c r="Z82" i="74" s="1"/>
  <c r="R82" i="74"/>
  <c r="N82" i="74"/>
  <c r="L82" i="74"/>
  <c r="B82" i="74"/>
  <c r="X81" i="74"/>
  <c r="Z81" i="74" s="1"/>
  <c r="L81" i="74"/>
  <c r="N81" i="74" s="1"/>
  <c r="J81" i="74"/>
  <c r="B81" i="74"/>
  <c r="T80" i="74"/>
  <c r="Z80" i="74" s="1"/>
  <c r="P80" i="74"/>
  <c r="X80" i="74" s="1"/>
  <c r="H80" i="74"/>
  <c r="D80" i="74"/>
  <c r="B80" i="74"/>
  <c r="T79" i="74"/>
  <c r="P79" i="74"/>
  <c r="X79" i="74" s="1"/>
  <c r="J79" i="74"/>
  <c r="H79" i="74"/>
  <c r="D79" i="74"/>
  <c r="L79" i="74" s="1"/>
  <c r="X75" i="74"/>
  <c r="Z75" i="74" s="1"/>
  <c r="L75" i="74"/>
  <c r="N75" i="74" s="1"/>
  <c r="B75" i="74"/>
  <c r="Z74" i="74"/>
  <c r="X74" i="74"/>
  <c r="N74" i="74"/>
  <c r="L74" i="74"/>
  <c r="B74" i="74"/>
  <c r="X73" i="74"/>
  <c r="Z73" i="74" s="1"/>
  <c r="L73" i="74"/>
  <c r="N73" i="74" s="1"/>
  <c r="B73" i="74"/>
  <c r="Z72" i="74"/>
  <c r="X72" i="74"/>
  <c r="L72" i="74"/>
  <c r="N72" i="74" s="1"/>
  <c r="B72" i="74"/>
  <c r="X71" i="74"/>
  <c r="Z71" i="74" s="1"/>
  <c r="L71" i="74"/>
  <c r="N71" i="74" s="1"/>
  <c r="B71" i="74"/>
  <c r="Z70" i="74"/>
  <c r="X70" i="74"/>
  <c r="L70" i="74"/>
  <c r="N70" i="74" s="1"/>
  <c r="B70" i="74"/>
  <c r="Z69" i="74"/>
  <c r="X69" i="74"/>
  <c r="N69" i="74"/>
  <c r="L69" i="74"/>
  <c r="B69" i="74"/>
  <c r="Z68" i="74"/>
  <c r="X68" i="74"/>
  <c r="N68" i="74"/>
  <c r="L68" i="74"/>
  <c r="B68" i="74"/>
  <c r="Z67" i="74"/>
  <c r="X67" i="74"/>
  <c r="N67" i="74"/>
  <c r="L67" i="74"/>
  <c r="B67" i="74"/>
  <c r="Z66" i="74"/>
  <c r="X66" i="74"/>
  <c r="N66" i="74"/>
  <c r="L66" i="74"/>
  <c r="B66" i="74"/>
  <c r="X65" i="74"/>
  <c r="Z65" i="74" s="1"/>
  <c r="L65" i="74"/>
  <c r="N65" i="74" s="1"/>
  <c r="B65" i="74"/>
  <c r="X64" i="74"/>
  <c r="Z64" i="74" s="1"/>
  <c r="L64" i="74"/>
  <c r="N64" i="74" s="1"/>
  <c r="B64" i="74"/>
  <c r="Z63" i="74"/>
  <c r="X63" i="74"/>
  <c r="L63" i="74"/>
  <c r="N63" i="74" s="1"/>
  <c r="B63" i="74"/>
  <c r="Z62" i="74"/>
  <c r="X62" i="74"/>
  <c r="L62" i="74"/>
  <c r="N62" i="74" s="1"/>
  <c r="B62" i="74"/>
  <c r="X61" i="74"/>
  <c r="Z61" i="74" s="1"/>
  <c r="L61" i="74"/>
  <c r="N61" i="74" s="1"/>
  <c r="B61" i="74"/>
  <c r="Z60" i="74"/>
  <c r="X60" i="74"/>
  <c r="L60" i="74"/>
  <c r="N60" i="74" s="1"/>
  <c r="B60" i="74"/>
  <c r="X59" i="74"/>
  <c r="Z59" i="74" s="1"/>
  <c r="L59" i="74"/>
  <c r="N59" i="74" s="1"/>
  <c r="B59" i="74"/>
  <c r="Z58" i="74"/>
  <c r="X58" i="74"/>
  <c r="L58" i="74"/>
  <c r="N58" i="74" s="1"/>
  <c r="B58" i="74"/>
  <c r="Z57" i="74"/>
  <c r="X57" i="74"/>
  <c r="N57" i="74"/>
  <c r="L57" i="74"/>
  <c r="B57" i="74"/>
  <c r="Z56" i="74"/>
  <c r="X56" i="74"/>
  <c r="N56" i="74"/>
  <c r="L56" i="74"/>
  <c r="B56" i="74"/>
  <c r="Z55" i="74"/>
  <c r="X55" i="74"/>
  <c r="N55" i="74"/>
  <c r="L55" i="74"/>
  <c r="B55" i="74"/>
  <c r="Z54" i="74"/>
  <c r="X54" i="74"/>
  <c r="N54" i="74"/>
  <c r="L54" i="74"/>
  <c r="B54" i="74"/>
  <c r="Z53" i="74"/>
  <c r="X53" i="74"/>
  <c r="N53" i="74"/>
  <c r="L53" i="74"/>
  <c r="B53" i="74"/>
  <c r="T52" i="74"/>
  <c r="P52" i="74"/>
  <c r="X52" i="74" s="1"/>
  <c r="Z52" i="74" s="1"/>
  <c r="H52" i="74"/>
  <c r="D52" i="74"/>
  <c r="L52" i="74" s="1"/>
  <c r="N52" i="74" s="1"/>
  <c r="T50" i="74"/>
  <c r="P50" i="74"/>
  <c r="L50" i="74"/>
  <c r="H50" i="74"/>
  <c r="N50" i="74" s="1"/>
  <c r="D50" i="74"/>
  <c r="B50" i="74"/>
  <c r="T49" i="74"/>
  <c r="Z49" i="74" s="1"/>
  <c r="P49" i="74"/>
  <c r="X49" i="74" s="1"/>
  <c r="N49" i="74"/>
  <c r="L49" i="74"/>
  <c r="H49" i="74"/>
  <c r="D49" i="74"/>
  <c r="B49" i="74"/>
  <c r="T48" i="74"/>
  <c r="X48" i="74" s="1"/>
  <c r="P48" i="74"/>
  <c r="L48" i="74"/>
  <c r="H48" i="74"/>
  <c r="N48" i="74" s="1"/>
  <c r="D48" i="74"/>
  <c r="B48" i="74"/>
  <c r="T47" i="74"/>
  <c r="P47" i="74"/>
  <c r="X47" i="74" s="1"/>
  <c r="N47" i="74"/>
  <c r="L47" i="74"/>
  <c r="H47" i="74"/>
  <c r="D47" i="74"/>
  <c r="B47" i="74"/>
  <c r="T46" i="74"/>
  <c r="P46" i="74"/>
  <c r="L46" i="74"/>
  <c r="H46" i="74"/>
  <c r="D46" i="74"/>
  <c r="B46" i="74"/>
  <c r="T45" i="74"/>
  <c r="P45" i="74"/>
  <c r="X45" i="74" s="1"/>
  <c r="L45" i="74"/>
  <c r="N45" i="74" s="1"/>
  <c r="H45" i="74"/>
  <c r="D45" i="74"/>
  <c r="B45" i="74"/>
  <c r="T44" i="74"/>
  <c r="X44" i="74" s="1"/>
  <c r="P44" i="74"/>
  <c r="L44" i="74"/>
  <c r="N44" i="74" s="1"/>
  <c r="H44" i="74"/>
  <c r="D44" i="74"/>
  <c r="B44" i="74"/>
  <c r="T43" i="74"/>
  <c r="P43" i="74"/>
  <c r="X43" i="74" s="1"/>
  <c r="L43" i="74"/>
  <c r="N43" i="74" s="1"/>
  <c r="H43" i="74"/>
  <c r="D43" i="74"/>
  <c r="B43" i="74"/>
  <c r="T42" i="74"/>
  <c r="P42" i="74"/>
  <c r="L42" i="74"/>
  <c r="H42" i="74"/>
  <c r="D42" i="74"/>
  <c r="B42" i="74"/>
  <c r="T41" i="74"/>
  <c r="Z41" i="74" s="1"/>
  <c r="P41" i="74"/>
  <c r="N41" i="74"/>
  <c r="L41" i="74"/>
  <c r="H41" i="74"/>
  <c r="D41" i="74"/>
  <c r="B41" i="74"/>
  <c r="T40" i="74"/>
  <c r="X40" i="74" s="1"/>
  <c r="P40" i="74"/>
  <c r="N40" i="74"/>
  <c r="L40" i="74"/>
  <c r="H40" i="74"/>
  <c r="D40" i="74"/>
  <c r="B40" i="74"/>
  <c r="T39" i="74"/>
  <c r="Z39" i="74" s="1"/>
  <c r="P39" i="74"/>
  <c r="N39" i="74"/>
  <c r="L39" i="74"/>
  <c r="H39" i="74"/>
  <c r="D39" i="74"/>
  <c r="B39" i="74"/>
  <c r="T38" i="74"/>
  <c r="P38" i="74"/>
  <c r="L38" i="74"/>
  <c r="H38" i="74"/>
  <c r="N38" i="74" s="1"/>
  <c r="D38" i="74"/>
  <c r="B38" i="74"/>
  <c r="T37" i="74"/>
  <c r="Z37" i="74" s="1"/>
  <c r="P37" i="74"/>
  <c r="X37" i="74" s="1"/>
  <c r="L37" i="74"/>
  <c r="N37" i="74" s="1"/>
  <c r="H37" i="74"/>
  <c r="D37" i="74"/>
  <c r="B37" i="74"/>
  <c r="T36" i="74"/>
  <c r="X36" i="74" s="1"/>
  <c r="P36" i="74"/>
  <c r="N36" i="74"/>
  <c r="L36" i="74"/>
  <c r="H36" i="74"/>
  <c r="D36" i="74"/>
  <c r="B36" i="74"/>
  <c r="T35" i="74"/>
  <c r="P35" i="74"/>
  <c r="L35" i="74"/>
  <c r="N35" i="74" s="1"/>
  <c r="H35" i="74"/>
  <c r="D35" i="74"/>
  <c r="B35" i="74"/>
  <c r="T34" i="74"/>
  <c r="P34" i="74"/>
  <c r="L34" i="74"/>
  <c r="N34" i="74" s="1"/>
  <c r="H34" i="74"/>
  <c r="D34" i="74"/>
  <c r="B34" i="74"/>
  <c r="T33" i="74"/>
  <c r="P33" i="74"/>
  <c r="X33" i="74" s="1"/>
  <c r="L33" i="74"/>
  <c r="N33" i="74" s="1"/>
  <c r="H33" i="74"/>
  <c r="D33" i="74"/>
  <c r="B33" i="74"/>
  <c r="T32" i="74"/>
  <c r="X32" i="74" s="1"/>
  <c r="P32" i="74"/>
  <c r="L32" i="74"/>
  <c r="H32" i="74"/>
  <c r="N32" i="74" s="1"/>
  <c r="D32" i="74"/>
  <c r="B32" i="74"/>
  <c r="T31" i="74"/>
  <c r="P31" i="74"/>
  <c r="N31" i="74"/>
  <c r="L31" i="74"/>
  <c r="H31" i="74"/>
  <c r="D31" i="74"/>
  <c r="B31" i="74"/>
  <c r="T30" i="74"/>
  <c r="Z30" i="74" s="1"/>
  <c r="P30" i="74"/>
  <c r="N30" i="74"/>
  <c r="L30" i="74"/>
  <c r="H30" i="74"/>
  <c r="D30" i="74"/>
  <c r="B30" i="74"/>
  <c r="T29" i="74"/>
  <c r="Z29" i="74" s="1"/>
  <c r="P29" i="74"/>
  <c r="X29" i="74" s="1"/>
  <c r="N29" i="74"/>
  <c r="L29" i="74"/>
  <c r="H29" i="74"/>
  <c r="D29" i="74"/>
  <c r="B29" i="74"/>
  <c r="T28" i="74"/>
  <c r="X28" i="74" s="1"/>
  <c r="P28" i="74"/>
  <c r="N28" i="74"/>
  <c r="L28" i="74"/>
  <c r="H28" i="74"/>
  <c r="D28" i="74"/>
  <c r="B28" i="74"/>
  <c r="T27" i="74"/>
  <c r="P27" i="74"/>
  <c r="N27" i="74"/>
  <c r="L27" i="74"/>
  <c r="H27" i="74"/>
  <c r="D27" i="74"/>
  <c r="B27" i="74"/>
  <c r="T26" i="74"/>
  <c r="Z26" i="74" s="1"/>
  <c r="P26" i="74"/>
  <c r="N26" i="74"/>
  <c r="L26" i="74"/>
  <c r="H26" i="74"/>
  <c r="D26" i="74"/>
  <c r="B26" i="74"/>
  <c r="T25" i="74"/>
  <c r="Z25" i="74" s="1"/>
  <c r="P25" i="74"/>
  <c r="N25" i="74"/>
  <c r="L25" i="74"/>
  <c r="H25" i="74"/>
  <c r="D25" i="74"/>
  <c r="B25" i="74"/>
  <c r="T24" i="74"/>
  <c r="X24" i="74" s="1"/>
  <c r="P24" i="74"/>
  <c r="L24" i="74"/>
  <c r="N24" i="74" s="1"/>
  <c r="H24" i="74"/>
  <c r="D24" i="74"/>
  <c r="B24" i="74"/>
  <c r="T23" i="74"/>
  <c r="P23" i="74"/>
  <c r="L23" i="74"/>
  <c r="N23" i="74" s="1"/>
  <c r="H23" i="74"/>
  <c r="D23" i="74"/>
  <c r="B23" i="74"/>
  <c r="T22" i="74"/>
  <c r="P22" i="74"/>
  <c r="L22" i="74"/>
  <c r="N22" i="74" s="1"/>
  <c r="H22" i="74"/>
  <c r="D22" i="74"/>
  <c r="B22" i="74"/>
  <c r="T21" i="74"/>
  <c r="P21" i="74"/>
  <c r="L21" i="74"/>
  <c r="N21" i="74" s="1"/>
  <c r="H21" i="74"/>
  <c r="D21" i="74"/>
  <c r="B21" i="74"/>
  <c r="T20" i="74"/>
  <c r="X20" i="74" s="1"/>
  <c r="P20" i="74"/>
  <c r="L20" i="74"/>
  <c r="N20" i="74" s="1"/>
  <c r="H20" i="74"/>
  <c r="D20" i="74"/>
  <c r="B20" i="74"/>
  <c r="T19" i="74"/>
  <c r="P19" i="74"/>
  <c r="L19" i="74"/>
  <c r="N19" i="74" s="1"/>
  <c r="H19" i="74"/>
  <c r="D19" i="74"/>
  <c r="B19" i="74"/>
  <c r="T18" i="74"/>
  <c r="Z18" i="74" s="1"/>
  <c r="P18" i="74"/>
  <c r="N18" i="74"/>
  <c r="L18" i="74"/>
  <c r="H18" i="74"/>
  <c r="D18" i="74"/>
  <c r="B18" i="74"/>
  <c r="T17" i="74"/>
  <c r="Z17" i="74" s="1"/>
  <c r="P17" i="74"/>
  <c r="N17" i="74"/>
  <c r="L17" i="74"/>
  <c r="H17" i="74"/>
  <c r="D17" i="74"/>
  <c r="B17" i="74"/>
  <c r="T16" i="74"/>
  <c r="X16" i="74" s="1"/>
  <c r="P16" i="74"/>
  <c r="N16" i="74"/>
  <c r="L16" i="74"/>
  <c r="H16" i="74"/>
  <c r="D16" i="74"/>
  <c r="B16" i="74"/>
  <c r="T15" i="74"/>
  <c r="P15" i="74"/>
  <c r="N15" i="74"/>
  <c r="L15" i="74"/>
  <c r="H15" i="74"/>
  <c r="D15" i="74"/>
  <c r="B15" i="74"/>
  <c r="T14" i="74"/>
  <c r="Z14" i="74" s="1"/>
  <c r="P14" i="74"/>
  <c r="N14" i="74"/>
  <c r="L14" i="74"/>
  <c r="H14" i="74"/>
  <c r="D14" i="74"/>
  <c r="B14" i="74"/>
  <c r="T13" i="74"/>
  <c r="P13" i="74"/>
  <c r="N13" i="74"/>
  <c r="L13" i="74"/>
  <c r="H13" i="74"/>
  <c r="D13" i="74"/>
  <c r="D12" i="74" s="1"/>
  <c r="F90" i="74" s="1"/>
  <c r="B13" i="74"/>
  <c r="P12" i="74"/>
  <c r="R134" i="74" s="1"/>
  <c r="H12" i="74"/>
  <c r="J95" i="74" s="1"/>
  <c r="D6" i="74"/>
  <c r="D4" i="74"/>
  <c r="X82" i="73"/>
  <c r="Z82" i="73" s="1"/>
  <c r="N82" i="73"/>
  <c r="L82" i="73"/>
  <c r="T78" i="73"/>
  <c r="Z78" i="73" s="1"/>
  <c r="P78" i="73"/>
  <c r="X78" i="73" s="1"/>
  <c r="H78" i="73"/>
  <c r="N78" i="73" s="1"/>
  <c r="D78" i="73"/>
  <c r="L78" i="73" s="1"/>
  <c r="Z76" i="73"/>
  <c r="X76" i="73"/>
  <c r="L76" i="73"/>
  <c r="N76" i="73" s="1"/>
  <c r="B76" i="73"/>
  <c r="T75" i="73"/>
  <c r="P75" i="73"/>
  <c r="X75" i="73" s="1"/>
  <c r="J75" i="73"/>
  <c r="H75" i="73"/>
  <c r="N75" i="73" s="1"/>
  <c r="D75" i="73"/>
  <c r="L75" i="73" s="1"/>
  <c r="B75" i="73"/>
  <c r="X74" i="73"/>
  <c r="Z74" i="73" s="1"/>
  <c r="N74" i="73"/>
  <c r="L74" i="73"/>
  <c r="B74" i="73"/>
  <c r="X73" i="73"/>
  <c r="T73" i="73"/>
  <c r="Z73" i="73" s="1"/>
  <c r="P73" i="73"/>
  <c r="L73" i="73"/>
  <c r="H73" i="73"/>
  <c r="N73" i="73" s="1"/>
  <c r="D73" i="73"/>
  <c r="B73" i="73"/>
  <c r="Z72" i="73"/>
  <c r="X72" i="73"/>
  <c r="N72" i="73"/>
  <c r="L72" i="73"/>
  <c r="B72" i="73"/>
  <c r="T71" i="73"/>
  <c r="X71" i="73" s="1"/>
  <c r="Z71" i="73" s="1"/>
  <c r="P71" i="73"/>
  <c r="H71" i="73"/>
  <c r="D71" i="73"/>
  <c r="L71" i="73" s="1"/>
  <c r="N71" i="73" s="1"/>
  <c r="B71" i="73"/>
  <c r="Z70" i="73"/>
  <c r="X70" i="73"/>
  <c r="L70" i="73"/>
  <c r="N70" i="73" s="1"/>
  <c r="B70" i="73"/>
  <c r="X69" i="73"/>
  <c r="Z69" i="73" s="1"/>
  <c r="V69" i="73"/>
  <c r="L69" i="73"/>
  <c r="N69" i="73" s="1"/>
  <c r="B69" i="73"/>
  <c r="T68" i="73"/>
  <c r="P68" i="73"/>
  <c r="X68" i="73" s="1"/>
  <c r="H68" i="73"/>
  <c r="D68" i="73"/>
  <c r="L68" i="73" s="1"/>
  <c r="N68" i="73" s="1"/>
  <c r="B68" i="73"/>
  <c r="X67" i="73"/>
  <c r="Z67" i="73" s="1"/>
  <c r="N67" i="73"/>
  <c r="L67" i="73"/>
  <c r="B67" i="73"/>
  <c r="X66" i="73"/>
  <c r="T66" i="73"/>
  <c r="Z66" i="73" s="1"/>
  <c r="P66" i="73"/>
  <c r="L66" i="73"/>
  <c r="H66" i="73"/>
  <c r="N66" i="73" s="1"/>
  <c r="D66" i="73"/>
  <c r="B66" i="73"/>
  <c r="Z65" i="73"/>
  <c r="X65" i="73"/>
  <c r="L65" i="73"/>
  <c r="N65" i="73" s="1"/>
  <c r="J65" i="73"/>
  <c r="B65" i="73"/>
  <c r="Z64" i="73"/>
  <c r="X64" i="73"/>
  <c r="N64" i="73"/>
  <c r="L64" i="73"/>
  <c r="B64" i="73"/>
  <c r="Z63" i="73"/>
  <c r="X63" i="73"/>
  <c r="N63" i="73"/>
  <c r="L63" i="73"/>
  <c r="B63" i="73"/>
  <c r="T62" i="73"/>
  <c r="P62" i="73"/>
  <c r="H62" i="73"/>
  <c r="D62" i="73"/>
  <c r="L62" i="73" s="1"/>
  <c r="B62" i="73"/>
  <c r="X61" i="73"/>
  <c r="Z61" i="73" s="1"/>
  <c r="V61" i="73"/>
  <c r="L61" i="73"/>
  <c r="N61" i="73" s="1"/>
  <c r="B61" i="73"/>
  <c r="X60" i="73"/>
  <c r="Z60" i="73" s="1"/>
  <c r="L60" i="73"/>
  <c r="N60" i="73" s="1"/>
  <c r="B60" i="73"/>
  <c r="X59" i="73"/>
  <c r="Z59" i="73" s="1"/>
  <c r="L59" i="73"/>
  <c r="N59" i="73" s="1"/>
  <c r="B59" i="73"/>
  <c r="Z58" i="73"/>
  <c r="X58" i="73"/>
  <c r="L58" i="73"/>
  <c r="N58" i="73" s="1"/>
  <c r="B58" i="73"/>
  <c r="X57" i="73"/>
  <c r="Z57" i="73" s="1"/>
  <c r="V57" i="73"/>
  <c r="L57" i="73"/>
  <c r="N57" i="73" s="1"/>
  <c r="B57" i="73"/>
  <c r="X56" i="73"/>
  <c r="Z56" i="73" s="1"/>
  <c r="L56" i="73"/>
  <c r="N56" i="73" s="1"/>
  <c r="B56" i="73"/>
  <c r="Z55" i="73"/>
  <c r="X55" i="73"/>
  <c r="L55" i="73"/>
  <c r="N55" i="73" s="1"/>
  <c r="B55" i="73"/>
  <c r="T54" i="73"/>
  <c r="Z54" i="73" s="1"/>
  <c r="P54" i="73"/>
  <c r="X54" i="73" s="1"/>
  <c r="H54" i="73"/>
  <c r="N54" i="73" s="1"/>
  <c r="D54" i="73"/>
  <c r="L54" i="73" s="1"/>
  <c r="B54" i="73"/>
  <c r="X53" i="73"/>
  <c r="T53" i="73"/>
  <c r="P53" i="73"/>
  <c r="H53" i="73"/>
  <c r="D53" i="73"/>
  <c r="X49" i="73"/>
  <c r="Z49" i="73" s="1"/>
  <c r="N49" i="73"/>
  <c r="L49" i="73"/>
  <c r="B49" i="73"/>
  <c r="X48" i="73"/>
  <c r="Z48" i="73" s="1"/>
  <c r="N48" i="73"/>
  <c r="L48" i="73"/>
  <c r="B48" i="73"/>
  <c r="X47" i="73"/>
  <c r="Z47" i="73" s="1"/>
  <c r="N47" i="73"/>
  <c r="L47" i="73"/>
  <c r="B47" i="73"/>
  <c r="X46" i="73"/>
  <c r="Z46" i="73" s="1"/>
  <c r="N46" i="73"/>
  <c r="L46" i="73"/>
  <c r="B46" i="73"/>
  <c r="X45" i="73"/>
  <c r="Z45" i="73" s="1"/>
  <c r="N45" i="73"/>
  <c r="L45" i="73"/>
  <c r="B45" i="73"/>
  <c r="X44" i="73"/>
  <c r="Z44" i="73" s="1"/>
  <c r="N44" i="73"/>
  <c r="L44" i="73"/>
  <c r="B44" i="73"/>
  <c r="X43" i="73"/>
  <c r="Z43" i="73" s="1"/>
  <c r="N43" i="73"/>
  <c r="L43" i="73"/>
  <c r="B43" i="73"/>
  <c r="X42" i="73"/>
  <c r="Z42" i="73" s="1"/>
  <c r="N42" i="73"/>
  <c r="L42" i="73"/>
  <c r="B42" i="73"/>
  <c r="X41" i="73"/>
  <c r="Z41" i="73" s="1"/>
  <c r="N41" i="73"/>
  <c r="L41" i="73"/>
  <c r="B41" i="73"/>
  <c r="X40" i="73"/>
  <c r="Z40" i="73" s="1"/>
  <c r="N40" i="73"/>
  <c r="L40" i="73"/>
  <c r="B40" i="73"/>
  <c r="X39" i="73"/>
  <c r="Z39" i="73" s="1"/>
  <c r="N39" i="73"/>
  <c r="L39" i="73"/>
  <c r="B39" i="73"/>
  <c r="X38" i="73"/>
  <c r="Z38" i="73" s="1"/>
  <c r="N38" i="73"/>
  <c r="L38" i="73"/>
  <c r="B38" i="73"/>
  <c r="X37" i="73"/>
  <c r="Z37" i="73" s="1"/>
  <c r="N37" i="73"/>
  <c r="L37" i="73"/>
  <c r="B37" i="73"/>
  <c r="X36" i="73"/>
  <c r="Z36" i="73" s="1"/>
  <c r="N36" i="73"/>
  <c r="L36" i="73"/>
  <c r="B36" i="73"/>
  <c r="Z35" i="73"/>
  <c r="X35" i="73"/>
  <c r="N35" i="73"/>
  <c r="L35" i="73"/>
  <c r="B35" i="73"/>
  <c r="X34" i="73"/>
  <c r="Z34" i="73" s="1"/>
  <c r="T34" i="73"/>
  <c r="P34" i="73"/>
  <c r="L34" i="73"/>
  <c r="H34" i="73"/>
  <c r="D34" i="73"/>
  <c r="T32" i="73"/>
  <c r="P32" i="73"/>
  <c r="N32" i="73"/>
  <c r="H32" i="73"/>
  <c r="D32" i="73"/>
  <c r="L32" i="73" s="1"/>
  <c r="B32" i="73"/>
  <c r="X31" i="73"/>
  <c r="T31" i="73"/>
  <c r="Z31" i="73" s="1"/>
  <c r="P31" i="73"/>
  <c r="L31" i="73"/>
  <c r="N31" i="73" s="1"/>
  <c r="H31" i="73"/>
  <c r="D31" i="73"/>
  <c r="B31" i="73"/>
  <c r="X30" i="73"/>
  <c r="T30" i="73"/>
  <c r="Z30" i="73" s="1"/>
  <c r="P30" i="73"/>
  <c r="H30" i="73"/>
  <c r="D30" i="73"/>
  <c r="L30" i="73" s="1"/>
  <c r="N30" i="73" s="1"/>
  <c r="B30" i="73"/>
  <c r="T29" i="73"/>
  <c r="P29" i="73"/>
  <c r="N29" i="73"/>
  <c r="H29" i="73"/>
  <c r="D29" i="73"/>
  <c r="L29" i="73" s="1"/>
  <c r="B29" i="73"/>
  <c r="T28" i="73"/>
  <c r="P28" i="73"/>
  <c r="H28" i="73"/>
  <c r="D28" i="73"/>
  <c r="L28" i="73" s="1"/>
  <c r="N28" i="73" s="1"/>
  <c r="B28" i="73"/>
  <c r="X27" i="73"/>
  <c r="T27" i="73"/>
  <c r="Z27" i="73" s="1"/>
  <c r="P27" i="73"/>
  <c r="N27" i="73"/>
  <c r="L27" i="73"/>
  <c r="H27" i="73"/>
  <c r="D27" i="73"/>
  <c r="B27" i="73"/>
  <c r="X26" i="73"/>
  <c r="T26" i="73"/>
  <c r="P26" i="73"/>
  <c r="N26" i="73"/>
  <c r="H26" i="73"/>
  <c r="D26" i="73"/>
  <c r="L26" i="73" s="1"/>
  <c r="B26" i="73"/>
  <c r="T25" i="73"/>
  <c r="P25" i="73"/>
  <c r="N25" i="73"/>
  <c r="L25" i="73"/>
  <c r="H25" i="73"/>
  <c r="D25" i="73"/>
  <c r="B25" i="73"/>
  <c r="T24" i="73"/>
  <c r="P24" i="73"/>
  <c r="H24" i="73"/>
  <c r="D24" i="73"/>
  <c r="L24" i="73" s="1"/>
  <c r="N24" i="73" s="1"/>
  <c r="B24" i="73"/>
  <c r="X23" i="73"/>
  <c r="T23" i="73"/>
  <c r="Z23" i="73" s="1"/>
  <c r="P23" i="73"/>
  <c r="N23" i="73"/>
  <c r="L23" i="73"/>
  <c r="H23" i="73"/>
  <c r="D23" i="73"/>
  <c r="B23" i="73"/>
  <c r="X22" i="73"/>
  <c r="T22" i="73"/>
  <c r="Z22" i="73" s="1"/>
  <c r="P22" i="73"/>
  <c r="H22" i="73"/>
  <c r="D22" i="73"/>
  <c r="L22" i="73" s="1"/>
  <c r="N22" i="73" s="1"/>
  <c r="B22" i="73"/>
  <c r="T21" i="73"/>
  <c r="P21" i="73"/>
  <c r="N21" i="73"/>
  <c r="L21" i="73"/>
  <c r="H21" i="73"/>
  <c r="D21" i="73"/>
  <c r="B21" i="73"/>
  <c r="T20" i="73"/>
  <c r="P20" i="73"/>
  <c r="N20" i="73"/>
  <c r="H20" i="73"/>
  <c r="D20" i="73"/>
  <c r="L20" i="73" s="1"/>
  <c r="B20" i="73"/>
  <c r="X19" i="73"/>
  <c r="T19" i="73"/>
  <c r="Z19" i="73" s="1"/>
  <c r="P19" i="73"/>
  <c r="N19" i="73"/>
  <c r="L19" i="73"/>
  <c r="H19" i="73"/>
  <c r="D19" i="73"/>
  <c r="B19" i="73"/>
  <c r="X18" i="73"/>
  <c r="T18" i="73"/>
  <c r="P18" i="73"/>
  <c r="N18" i="73"/>
  <c r="L18" i="73"/>
  <c r="H18" i="73"/>
  <c r="D18" i="73"/>
  <c r="B18" i="73"/>
  <c r="T17" i="73"/>
  <c r="Z17" i="73" s="1"/>
  <c r="P17" i="73"/>
  <c r="X17" i="73" s="1"/>
  <c r="N17" i="73"/>
  <c r="L17" i="73"/>
  <c r="H17" i="73"/>
  <c r="D17" i="73"/>
  <c r="B17" i="73"/>
  <c r="T16" i="73"/>
  <c r="P16" i="73"/>
  <c r="H16" i="73"/>
  <c r="D16" i="73"/>
  <c r="L16" i="73" s="1"/>
  <c r="B16" i="73"/>
  <c r="X15" i="73"/>
  <c r="T15" i="73"/>
  <c r="Z15" i="73" s="1"/>
  <c r="P15" i="73"/>
  <c r="L15" i="73"/>
  <c r="N15" i="73" s="1"/>
  <c r="H15" i="73"/>
  <c r="D15" i="73"/>
  <c r="B15" i="73"/>
  <c r="X14" i="73"/>
  <c r="T14" i="73"/>
  <c r="Z14" i="73" s="1"/>
  <c r="P14" i="73"/>
  <c r="N14" i="73"/>
  <c r="L14" i="73"/>
  <c r="H14" i="73"/>
  <c r="D14" i="73"/>
  <c r="B14" i="73"/>
  <c r="T13" i="73"/>
  <c r="P13" i="73"/>
  <c r="P12" i="73" s="1"/>
  <c r="N13" i="73"/>
  <c r="L13" i="73"/>
  <c r="H13" i="73"/>
  <c r="D13" i="73"/>
  <c r="B13" i="73"/>
  <c r="T12" i="73"/>
  <c r="V71" i="73" s="1"/>
  <c r="H12" i="73"/>
  <c r="J67" i="73" s="1"/>
  <c r="D12" i="73"/>
  <c r="D6" i="73"/>
  <c r="D4" i="73"/>
  <c r="Z74" i="72"/>
  <c r="X74" i="72"/>
  <c r="N74" i="72"/>
  <c r="L74" i="72"/>
  <c r="X70" i="72"/>
  <c r="T70" i="72"/>
  <c r="Z70" i="72" s="1"/>
  <c r="P70" i="72"/>
  <c r="H70" i="72"/>
  <c r="N70" i="72" s="1"/>
  <c r="D70" i="72"/>
  <c r="L70" i="72" s="1"/>
  <c r="X68" i="72"/>
  <c r="Z68" i="72" s="1"/>
  <c r="N68" i="72"/>
  <c r="L68" i="72"/>
  <c r="B68" i="72"/>
  <c r="T67" i="72"/>
  <c r="P67" i="72"/>
  <c r="X67" i="72" s="1"/>
  <c r="N67" i="72"/>
  <c r="H67" i="72"/>
  <c r="D67" i="72"/>
  <c r="L67" i="72" s="1"/>
  <c r="B67" i="72"/>
  <c r="X66" i="72"/>
  <c r="Z66" i="72" s="1"/>
  <c r="N66" i="72"/>
  <c r="L66" i="72"/>
  <c r="B66" i="72"/>
  <c r="X65" i="72"/>
  <c r="Z65" i="72" s="1"/>
  <c r="T65" i="72"/>
  <c r="P65" i="72"/>
  <c r="N65" i="72"/>
  <c r="L65" i="72"/>
  <c r="H65" i="72"/>
  <c r="D65" i="72"/>
  <c r="B65" i="72"/>
  <c r="Z64" i="72"/>
  <c r="X64" i="72"/>
  <c r="L64" i="72"/>
  <c r="N64" i="72" s="1"/>
  <c r="B64" i="72"/>
  <c r="X63" i="72"/>
  <c r="Z63" i="72" s="1"/>
  <c r="N63" i="72"/>
  <c r="L63" i="72"/>
  <c r="B63" i="72"/>
  <c r="Z62" i="72"/>
  <c r="X62" i="72"/>
  <c r="N62" i="72"/>
  <c r="L62" i="72"/>
  <c r="B62" i="72"/>
  <c r="Z61" i="72"/>
  <c r="X61" i="72"/>
  <c r="N61" i="72"/>
  <c r="L61" i="72"/>
  <c r="B61" i="72"/>
  <c r="Z60" i="72"/>
  <c r="X60" i="72"/>
  <c r="N60" i="72"/>
  <c r="L60" i="72"/>
  <c r="B60" i="72"/>
  <c r="T59" i="72"/>
  <c r="P59" i="72"/>
  <c r="X59" i="72" s="1"/>
  <c r="H59" i="72"/>
  <c r="D59" i="72"/>
  <c r="L59" i="72" s="1"/>
  <c r="B59" i="72"/>
  <c r="X58" i="72"/>
  <c r="Z58" i="72" s="1"/>
  <c r="N58" i="72"/>
  <c r="L58" i="72"/>
  <c r="F58" i="72"/>
  <c r="B58" i="72"/>
  <c r="T57" i="72"/>
  <c r="P57" i="72"/>
  <c r="X57" i="72" s="1"/>
  <c r="H57" i="72"/>
  <c r="N57" i="72" s="1"/>
  <c r="D57" i="72"/>
  <c r="L57" i="72" s="1"/>
  <c r="B57" i="72"/>
  <c r="Z56" i="72"/>
  <c r="X56" i="72"/>
  <c r="N56" i="72"/>
  <c r="L56" i="72"/>
  <c r="B56" i="72"/>
  <c r="Z55" i="72"/>
  <c r="X55" i="72"/>
  <c r="N55" i="72"/>
  <c r="L55" i="72"/>
  <c r="B55" i="72"/>
  <c r="X54" i="72"/>
  <c r="Z54" i="72" s="1"/>
  <c r="N54" i="72"/>
  <c r="L54" i="72"/>
  <c r="B54" i="72"/>
  <c r="T53" i="72"/>
  <c r="P53" i="72"/>
  <c r="X53" i="72" s="1"/>
  <c r="N53" i="72"/>
  <c r="L53" i="72"/>
  <c r="H53" i="72"/>
  <c r="D53" i="72"/>
  <c r="B53" i="72"/>
  <c r="Z52" i="72"/>
  <c r="X52" i="72"/>
  <c r="L52" i="72"/>
  <c r="N52" i="72" s="1"/>
  <c r="B52" i="72"/>
  <c r="T51" i="72"/>
  <c r="P51" i="72"/>
  <c r="L51" i="72"/>
  <c r="H51" i="72"/>
  <c r="N51" i="72" s="1"/>
  <c r="D51" i="72"/>
  <c r="B51" i="72"/>
  <c r="Z50" i="72"/>
  <c r="X50" i="72"/>
  <c r="N50" i="72"/>
  <c r="L50" i="72"/>
  <c r="B50" i="72"/>
  <c r="T49" i="72"/>
  <c r="P49" i="72"/>
  <c r="X49" i="72" s="1"/>
  <c r="H49" i="72"/>
  <c r="D49" i="72"/>
  <c r="L49" i="72" s="1"/>
  <c r="B49" i="72"/>
  <c r="Z48" i="72"/>
  <c r="X48" i="72"/>
  <c r="N48" i="72"/>
  <c r="L48" i="72"/>
  <c r="B48" i="72"/>
  <c r="Z47" i="72"/>
  <c r="X47" i="72"/>
  <c r="T47" i="72"/>
  <c r="P47" i="72"/>
  <c r="H47" i="72"/>
  <c r="D47" i="72"/>
  <c r="L47" i="72" s="1"/>
  <c r="N47" i="72" s="1"/>
  <c r="B47" i="72"/>
  <c r="Z46" i="72"/>
  <c r="X46" i="72"/>
  <c r="N46" i="72"/>
  <c r="L46" i="72"/>
  <c r="B46" i="72"/>
  <c r="X45" i="72"/>
  <c r="T45" i="72"/>
  <c r="Z45" i="72" s="1"/>
  <c r="P45" i="72"/>
  <c r="H45" i="72"/>
  <c r="D45" i="72"/>
  <c r="L45" i="72" s="1"/>
  <c r="B45" i="72"/>
  <c r="X44" i="72"/>
  <c r="Z44" i="72" s="1"/>
  <c r="N44" i="72"/>
  <c r="L44" i="72"/>
  <c r="B44" i="72"/>
  <c r="T43" i="72"/>
  <c r="Z43" i="72" s="1"/>
  <c r="P43" i="72"/>
  <c r="X43" i="72" s="1"/>
  <c r="H43" i="72"/>
  <c r="N43" i="72" s="1"/>
  <c r="D43" i="72"/>
  <c r="L43" i="72" s="1"/>
  <c r="B43" i="72"/>
  <c r="Z42" i="72"/>
  <c r="X42" i="72"/>
  <c r="N42" i="72"/>
  <c r="L42" i="72"/>
  <c r="B42" i="72"/>
  <c r="T41" i="72"/>
  <c r="P41" i="72"/>
  <c r="X41" i="72" s="1"/>
  <c r="N41" i="72"/>
  <c r="L41" i="72"/>
  <c r="H41" i="72"/>
  <c r="D41" i="72"/>
  <c r="B41" i="72"/>
  <c r="Z40" i="72"/>
  <c r="X40" i="72"/>
  <c r="L40" i="72"/>
  <c r="N40" i="72" s="1"/>
  <c r="B40" i="72"/>
  <c r="X39" i="72"/>
  <c r="Z39" i="72" s="1"/>
  <c r="L39" i="72"/>
  <c r="N39" i="72" s="1"/>
  <c r="B39" i="72"/>
  <c r="Z38" i="72"/>
  <c r="X38" i="72"/>
  <c r="N38" i="72"/>
  <c r="L38" i="72"/>
  <c r="B38" i="72"/>
  <c r="X37" i="72"/>
  <c r="Z37" i="72" s="1"/>
  <c r="N37" i="72"/>
  <c r="L37" i="72"/>
  <c r="B37" i="72"/>
  <c r="Z36" i="72"/>
  <c r="X36" i="72"/>
  <c r="L36" i="72"/>
  <c r="N36" i="72" s="1"/>
  <c r="B36" i="72"/>
  <c r="T35" i="72"/>
  <c r="P35" i="72"/>
  <c r="X35" i="72" s="1"/>
  <c r="L35" i="72"/>
  <c r="H35" i="72"/>
  <c r="N35" i="72" s="1"/>
  <c r="D35" i="72"/>
  <c r="B35" i="72"/>
  <c r="Z34" i="72"/>
  <c r="X34" i="72"/>
  <c r="N34" i="72"/>
  <c r="L34" i="72"/>
  <c r="F34" i="72"/>
  <c r="B34" i="72"/>
  <c r="X33" i="72"/>
  <c r="Z33" i="72" s="1"/>
  <c r="L33" i="72"/>
  <c r="N33" i="72" s="1"/>
  <c r="B33" i="72"/>
  <c r="X32" i="72"/>
  <c r="Z32" i="72" s="1"/>
  <c r="N32" i="72"/>
  <c r="L32" i="72"/>
  <c r="B32" i="72"/>
  <c r="X31" i="72"/>
  <c r="Z31" i="72" s="1"/>
  <c r="N31" i="72"/>
  <c r="L31" i="72"/>
  <c r="B31" i="72"/>
  <c r="X30" i="72"/>
  <c r="Z30" i="72" s="1"/>
  <c r="L30" i="72"/>
  <c r="N30" i="72" s="1"/>
  <c r="B30" i="72"/>
  <c r="X29" i="72"/>
  <c r="Z29" i="72" s="1"/>
  <c r="L29" i="72"/>
  <c r="N29" i="72" s="1"/>
  <c r="B29" i="72"/>
  <c r="X28" i="72"/>
  <c r="Z28" i="72" s="1"/>
  <c r="N28" i="72"/>
  <c r="L28" i="72"/>
  <c r="B28" i="72"/>
  <c r="X27" i="72"/>
  <c r="Z27" i="72" s="1"/>
  <c r="N27" i="72"/>
  <c r="L27" i="72"/>
  <c r="B27" i="72"/>
  <c r="T26" i="72"/>
  <c r="P26" i="72"/>
  <c r="X26" i="72" s="1"/>
  <c r="L26" i="72"/>
  <c r="N26" i="72" s="1"/>
  <c r="H26" i="72"/>
  <c r="D26" i="72"/>
  <c r="B26" i="72"/>
  <c r="T25" i="72"/>
  <c r="P25" i="72"/>
  <c r="X25" i="72" s="1"/>
  <c r="H25" i="72"/>
  <c r="D25" i="72"/>
  <c r="L25" i="72" s="1"/>
  <c r="D23" i="72"/>
  <c r="X21" i="72"/>
  <c r="Z21" i="72" s="1"/>
  <c r="L21" i="72"/>
  <c r="N21" i="72" s="1"/>
  <c r="B21" i="72"/>
  <c r="X20" i="72"/>
  <c r="Z20" i="72" s="1"/>
  <c r="L20" i="72"/>
  <c r="N20" i="72" s="1"/>
  <c r="B20" i="72"/>
  <c r="T19" i="72"/>
  <c r="X19" i="72" s="1"/>
  <c r="P19" i="72"/>
  <c r="H19" i="72"/>
  <c r="D19" i="72"/>
  <c r="L19" i="72" s="1"/>
  <c r="T17" i="72"/>
  <c r="P17" i="72"/>
  <c r="H17" i="72"/>
  <c r="D17" i="72"/>
  <c r="L17" i="72" s="1"/>
  <c r="N17" i="72" s="1"/>
  <c r="B17" i="72"/>
  <c r="T16" i="72"/>
  <c r="P16" i="72"/>
  <c r="X16" i="72" s="1"/>
  <c r="N16" i="72"/>
  <c r="L16" i="72"/>
  <c r="H16" i="72"/>
  <c r="D16" i="72"/>
  <c r="B16" i="72"/>
  <c r="X15" i="72"/>
  <c r="Z15" i="72" s="1"/>
  <c r="T15" i="72"/>
  <c r="P15" i="72"/>
  <c r="H15" i="72"/>
  <c r="D15" i="72"/>
  <c r="B15" i="72"/>
  <c r="T14" i="72"/>
  <c r="X14" i="72" s="1"/>
  <c r="P14" i="72"/>
  <c r="H14" i="72"/>
  <c r="D14" i="72"/>
  <c r="L14" i="72" s="1"/>
  <c r="N14" i="72" s="1"/>
  <c r="B14" i="72"/>
  <c r="T13" i="72"/>
  <c r="P13" i="72"/>
  <c r="L13" i="72"/>
  <c r="N13" i="72" s="1"/>
  <c r="H13" i="72"/>
  <c r="H12" i="72" s="1"/>
  <c r="D13" i="72"/>
  <c r="B13" i="72"/>
  <c r="P12" i="72"/>
  <c r="D12" i="72"/>
  <c r="F30" i="72" s="1"/>
  <c r="D6" i="72"/>
  <c r="D4" i="72"/>
  <c r="X118" i="70"/>
  <c r="Z118" i="70" s="1"/>
  <c r="L118" i="70"/>
  <c r="N118" i="70" s="1"/>
  <c r="T114" i="70"/>
  <c r="P114" i="70"/>
  <c r="H114" i="70"/>
  <c r="L114" i="70" s="1"/>
  <c r="D114" i="70"/>
  <c r="B114" i="70"/>
  <c r="X113" i="70"/>
  <c r="Z113" i="70" s="1"/>
  <c r="T113" i="70"/>
  <c r="P113" i="70"/>
  <c r="N113" i="70"/>
  <c r="L113" i="70"/>
  <c r="H113" i="70"/>
  <c r="H111" i="70" s="1"/>
  <c r="D113" i="70"/>
  <c r="B113" i="70"/>
  <c r="T112" i="70"/>
  <c r="P112" i="70"/>
  <c r="L112" i="70"/>
  <c r="N112" i="70" s="1"/>
  <c r="H112" i="70"/>
  <c r="D112" i="70"/>
  <c r="B112" i="70"/>
  <c r="D111" i="70"/>
  <c r="Z109" i="70"/>
  <c r="X109" i="70"/>
  <c r="N109" i="70"/>
  <c r="L109" i="70"/>
  <c r="B109" i="70"/>
  <c r="T108" i="70"/>
  <c r="Z108" i="70" s="1"/>
  <c r="P108" i="70"/>
  <c r="X108" i="70" s="1"/>
  <c r="H108" i="70"/>
  <c r="L108" i="70" s="1"/>
  <c r="D108" i="70"/>
  <c r="B108" i="70"/>
  <c r="X107" i="70"/>
  <c r="Z107" i="70" s="1"/>
  <c r="N107" i="70"/>
  <c r="L107" i="70"/>
  <c r="B107" i="70"/>
  <c r="T106" i="70"/>
  <c r="P106" i="70"/>
  <c r="X106" i="70" s="1"/>
  <c r="Z106" i="70" s="1"/>
  <c r="L106" i="70"/>
  <c r="H106" i="70"/>
  <c r="N106" i="70" s="1"/>
  <c r="D106" i="70"/>
  <c r="B106" i="70"/>
  <c r="X105" i="70"/>
  <c r="Z105" i="70" s="1"/>
  <c r="N105" i="70"/>
  <c r="L105" i="70"/>
  <c r="J105" i="70"/>
  <c r="B105" i="70"/>
  <c r="X104" i="70"/>
  <c r="Z104" i="70" s="1"/>
  <c r="L104" i="70"/>
  <c r="N104" i="70" s="1"/>
  <c r="B104" i="70"/>
  <c r="T103" i="70"/>
  <c r="P103" i="70"/>
  <c r="X103" i="70" s="1"/>
  <c r="Z103" i="70" s="1"/>
  <c r="H103" i="70"/>
  <c r="N103" i="70" s="1"/>
  <c r="D103" i="70"/>
  <c r="L103" i="70" s="1"/>
  <c r="B103" i="70"/>
  <c r="X102" i="70"/>
  <c r="Z102" i="70" s="1"/>
  <c r="N102" i="70"/>
  <c r="L102" i="70"/>
  <c r="B102" i="70"/>
  <c r="Z101" i="70"/>
  <c r="X101" i="70"/>
  <c r="N101" i="70"/>
  <c r="L101" i="70"/>
  <c r="B101" i="70"/>
  <c r="X100" i="70"/>
  <c r="Z100" i="70" s="1"/>
  <c r="L100" i="70"/>
  <c r="N100" i="70" s="1"/>
  <c r="B100" i="70"/>
  <c r="T99" i="70"/>
  <c r="P99" i="70"/>
  <c r="X99" i="70" s="1"/>
  <c r="Z99" i="70" s="1"/>
  <c r="J99" i="70"/>
  <c r="H99" i="70"/>
  <c r="D99" i="70"/>
  <c r="L99" i="70" s="1"/>
  <c r="N99" i="70" s="1"/>
  <c r="B99" i="70"/>
  <c r="Z98" i="70"/>
  <c r="X98" i="70"/>
  <c r="L98" i="70"/>
  <c r="N98" i="70" s="1"/>
  <c r="B98" i="70"/>
  <c r="X97" i="70"/>
  <c r="Z97" i="70" s="1"/>
  <c r="T97" i="70"/>
  <c r="P97" i="70"/>
  <c r="L97" i="70"/>
  <c r="N97" i="70" s="1"/>
  <c r="H97" i="70"/>
  <c r="D97" i="70"/>
  <c r="B97" i="70"/>
  <c r="Z96" i="70"/>
  <c r="X96" i="70"/>
  <c r="N96" i="70"/>
  <c r="L96" i="70"/>
  <c r="B96" i="70"/>
  <c r="Z95" i="70"/>
  <c r="X95" i="70"/>
  <c r="N95" i="70"/>
  <c r="L95" i="70"/>
  <c r="B95" i="70"/>
  <c r="T94" i="70"/>
  <c r="P94" i="70"/>
  <c r="L94" i="70"/>
  <c r="N94" i="70" s="1"/>
  <c r="H94" i="70"/>
  <c r="D94" i="70"/>
  <c r="B94" i="70"/>
  <c r="Z93" i="70"/>
  <c r="X93" i="70"/>
  <c r="L93" i="70"/>
  <c r="N93" i="70" s="1"/>
  <c r="B93" i="70"/>
  <c r="T92" i="70"/>
  <c r="P92" i="70"/>
  <c r="X92" i="70" s="1"/>
  <c r="H92" i="70"/>
  <c r="L92" i="70" s="1"/>
  <c r="D92" i="70"/>
  <c r="B92" i="70"/>
  <c r="X91" i="70"/>
  <c r="Z91" i="70" s="1"/>
  <c r="N91" i="70"/>
  <c r="L91" i="70"/>
  <c r="B91" i="70"/>
  <c r="T90" i="70"/>
  <c r="P90" i="70"/>
  <c r="X90" i="70" s="1"/>
  <c r="Z90" i="70" s="1"/>
  <c r="L90" i="70"/>
  <c r="H90" i="70"/>
  <c r="D90" i="70"/>
  <c r="B90" i="70"/>
  <c r="X89" i="70"/>
  <c r="Z89" i="70" s="1"/>
  <c r="N89" i="70"/>
  <c r="L89" i="70"/>
  <c r="J89" i="70"/>
  <c r="B89" i="70"/>
  <c r="X88" i="70"/>
  <c r="Z88" i="70" s="1"/>
  <c r="L88" i="70"/>
  <c r="N88" i="70" s="1"/>
  <c r="B88" i="70"/>
  <c r="Z87" i="70"/>
  <c r="T87" i="70"/>
  <c r="P87" i="70"/>
  <c r="X87" i="70" s="1"/>
  <c r="H87" i="70"/>
  <c r="N87" i="70" s="1"/>
  <c r="D87" i="70"/>
  <c r="L87" i="70" s="1"/>
  <c r="B87" i="70"/>
  <c r="X86" i="70"/>
  <c r="Z86" i="70" s="1"/>
  <c r="N86" i="70"/>
  <c r="L86" i="70"/>
  <c r="B86" i="70"/>
  <c r="T85" i="70"/>
  <c r="P85" i="70"/>
  <c r="X85" i="70" s="1"/>
  <c r="Z85" i="70" s="1"/>
  <c r="H85" i="70"/>
  <c r="D85" i="70"/>
  <c r="L85" i="70" s="1"/>
  <c r="N85" i="70" s="1"/>
  <c r="B85" i="70"/>
  <c r="X84" i="70"/>
  <c r="Z84" i="70" s="1"/>
  <c r="L84" i="70"/>
  <c r="N84" i="70" s="1"/>
  <c r="B84" i="70"/>
  <c r="X83" i="70"/>
  <c r="Z83" i="70" s="1"/>
  <c r="T83" i="70"/>
  <c r="P83" i="70"/>
  <c r="L83" i="70"/>
  <c r="N83" i="70" s="1"/>
  <c r="H83" i="70"/>
  <c r="D83" i="70"/>
  <c r="B83" i="70"/>
  <c r="X82" i="70"/>
  <c r="Z82" i="70" s="1"/>
  <c r="N82" i="70"/>
  <c r="L82" i="70"/>
  <c r="B82" i="70"/>
  <c r="X81" i="70"/>
  <c r="Z81" i="70" s="1"/>
  <c r="N81" i="70"/>
  <c r="L81" i="70"/>
  <c r="J81" i="70"/>
  <c r="B81" i="70"/>
  <c r="X80" i="70"/>
  <c r="Z80" i="70" s="1"/>
  <c r="T80" i="70"/>
  <c r="P80" i="70"/>
  <c r="H80" i="70"/>
  <c r="D80" i="70"/>
  <c r="B80" i="70"/>
  <c r="Z79" i="70"/>
  <c r="X79" i="70"/>
  <c r="L79" i="70"/>
  <c r="N79" i="70" s="1"/>
  <c r="B79" i="70"/>
  <c r="T78" i="70"/>
  <c r="X78" i="70" s="1"/>
  <c r="P78" i="70"/>
  <c r="H78" i="70"/>
  <c r="D78" i="70"/>
  <c r="L78" i="70" s="1"/>
  <c r="B78" i="70"/>
  <c r="Z77" i="70"/>
  <c r="X77" i="70"/>
  <c r="L77" i="70"/>
  <c r="N77" i="70" s="1"/>
  <c r="B77" i="70"/>
  <c r="Z76" i="70"/>
  <c r="X76" i="70"/>
  <c r="N76" i="70"/>
  <c r="L76" i="70"/>
  <c r="B76" i="70"/>
  <c r="X75" i="70"/>
  <c r="Z75" i="70" s="1"/>
  <c r="N75" i="70"/>
  <c r="L75" i="70"/>
  <c r="B75" i="70"/>
  <c r="Z74" i="70"/>
  <c r="X74" i="70"/>
  <c r="L74" i="70"/>
  <c r="N74" i="70" s="1"/>
  <c r="B74" i="70"/>
  <c r="Z73" i="70"/>
  <c r="X73" i="70"/>
  <c r="L73" i="70"/>
  <c r="N73" i="70" s="1"/>
  <c r="B73" i="70"/>
  <c r="Z72" i="70"/>
  <c r="X72" i="70"/>
  <c r="N72" i="70"/>
  <c r="L72" i="70"/>
  <c r="B72" i="70"/>
  <c r="X71" i="70"/>
  <c r="Z71" i="70" s="1"/>
  <c r="T71" i="70"/>
  <c r="P71" i="70"/>
  <c r="N71" i="70"/>
  <c r="L71" i="70"/>
  <c r="H71" i="70"/>
  <c r="D71" i="70"/>
  <c r="B71" i="70"/>
  <c r="X70" i="70"/>
  <c r="Z70" i="70" s="1"/>
  <c r="L70" i="70"/>
  <c r="N70" i="70" s="1"/>
  <c r="B70" i="70"/>
  <c r="X69" i="70"/>
  <c r="Z69" i="70" s="1"/>
  <c r="N69" i="70"/>
  <c r="L69" i="70"/>
  <c r="J69" i="70"/>
  <c r="B69" i="70"/>
  <c r="X68" i="70"/>
  <c r="Z68" i="70" s="1"/>
  <c r="L68" i="70"/>
  <c r="N68" i="70" s="1"/>
  <c r="B68" i="70"/>
  <c r="Z67" i="70"/>
  <c r="X67" i="70"/>
  <c r="N67" i="70"/>
  <c r="L67" i="70"/>
  <c r="B67" i="70"/>
  <c r="X66" i="70"/>
  <c r="Z66" i="70" s="1"/>
  <c r="L66" i="70"/>
  <c r="N66" i="70" s="1"/>
  <c r="B66" i="70"/>
  <c r="X65" i="70"/>
  <c r="Z65" i="70" s="1"/>
  <c r="N65" i="70"/>
  <c r="L65" i="70"/>
  <c r="J65" i="70"/>
  <c r="B65" i="70"/>
  <c r="X64" i="70"/>
  <c r="Z64" i="70" s="1"/>
  <c r="L64" i="70"/>
  <c r="N64" i="70" s="1"/>
  <c r="B64" i="70"/>
  <c r="Z63" i="70"/>
  <c r="X63" i="70"/>
  <c r="N63" i="70"/>
  <c r="L63" i="70"/>
  <c r="B63" i="70"/>
  <c r="X62" i="70"/>
  <c r="Z62" i="70" s="1"/>
  <c r="L62" i="70"/>
  <c r="N62" i="70" s="1"/>
  <c r="B62" i="70"/>
  <c r="T61" i="70"/>
  <c r="P61" i="70"/>
  <c r="X61" i="70" s="1"/>
  <c r="H61" i="70"/>
  <c r="D61" i="70"/>
  <c r="L61" i="70" s="1"/>
  <c r="N61" i="70" s="1"/>
  <c r="B61" i="70"/>
  <c r="T60" i="70"/>
  <c r="P60" i="70"/>
  <c r="X60" i="70" s="1"/>
  <c r="H60" i="70"/>
  <c r="L60" i="70" s="1"/>
  <c r="D60" i="70"/>
  <c r="X56" i="70"/>
  <c r="Z56" i="70" s="1"/>
  <c r="L56" i="70"/>
  <c r="N56" i="70" s="1"/>
  <c r="B56" i="70"/>
  <c r="Z55" i="70"/>
  <c r="X55" i="70"/>
  <c r="L55" i="70"/>
  <c r="N55" i="70" s="1"/>
  <c r="B55" i="70"/>
  <c r="X54" i="70"/>
  <c r="Z54" i="70" s="1"/>
  <c r="N54" i="70"/>
  <c r="L54" i="70"/>
  <c r="B54" i="70"/>
  <c r="Z53" i="70"/>
  <c r="X53" i="70"/>
  <c r="N53" i="70"/>
  <c r="L53" i="70"/>
  <c r="B53" i="70"/>
  <c r="X52" i="70"/>
  <c r="Z52" i="70" s="1"/>
  <c r="L52" i="70"/>
  <c r="N52" i="70" s="1"/>
  <c r="B52" i="70"/>
  <c r="Z51" i="70"/>
  <c r="X51" i="70"/>
  <c r="L51" i="70"/>
  <c r="N51" i="70" s="1"/>
  <c r="B51" i="70"/>
  <c r="X50" i="70"/>
  <c r="Z50" i="70" s="1"/>
  <c r="N50" i="70"/>
  <c r="L50" i="70"/>
  <c r="B50" i="70"/>
  <c r="Z49" i="70"/>
  <c r="X49" i="70"/>
  <c r="N49" i="70"/>
  <c r="L49" i="70"/>
  <c r="B49" i="70"/>
  <c r="X48" i="70"/>
  <c r="Z48" i="70" s="1"/>
  <c r="L48" i="70"/>
  <c r="N48" i="70" s="1"/>
  <c r="B48" i="70"/>
  <c r="Z47" i="70"/>
  <c r="X47" i="70"/>
  <c r="L47" i="70"/>
  <c r="N47" i="70" s="1"/>
  <c r="B47" i="70"/>
  <c r="X46" i="70"/>
  <c r="Z46" i="70" s="1"/>
  <c r="N46" i="70"/>
  <c r="L46" i="70"/>
  <c r="B46" i="70"/>
  <c r="Z45" i="70"/>
  <c r="X45" i="70"/>
  <c r="L45" i="70"/>
  <c r="N45" i="70" s="1"/>
  <c r="B45" i="70"/>
  <c r="X44" i="70"/>
  <c r="Z44" i="70" s="1"/>
  <c r="N44" i="70"/>
  <c r="L44" i="70"/>
  <c r="B44" i="70"/>
  <c r="Z43" i="70"/>
  <c r="X43" i="70"/>
  <c r="L43" i="70"/>
  <c r="N43" i="70" s="1"/>
  <c r="B43" i="70"/>
  <c r="X42" i="70"/>
  <c r="Z42" i="70" s="1"/>
  <c r="N42" i="70"/>
  <c r="L42" i="70"/>
  <c r="B42" i="70"/>
  <c r="T41" i="70"/>
  <c r="P41" i="70"/>
  <c r="X41" i="70" s="1"/>
  <c r="Z41" i="70" s="1"/>
  <c r="H41" i="70"/>
  <c r="D41" i="70"/>
  <c r="L41" i="70" s="1"/>
  <c r="N41" i="70" s="1"/>
  <c r="T39" i="70"/>
  <c r="P39" i="70"/>
  <c r="H39" i="70"/>
  <c r="N39" i="70" s="1"/>
  <c r="D39" i="70"/>
  <c r="B39" i="70"/>
  <c r="T38" i="70"/>
  <c r="Z38" i="70" s="1"/>
  <c r="P38" i="70"/>
  <c r="X38" i="70" s="1"/>
  <c r="L38" i="70"/>
  <c r="N38" i="70" s="1"/>
  <c r="H38" i="70"/>
  <c r="D38" i="70"/>
  <c r="B38" i="70"/>
  <c r="Z37" i="70"/>
  <c r="X37" i="70"/>
  <c r="T37" i="70"/>
  <c r="P37" i="70"/>
  <c r="H37" i="70"/>
  <c r="N37" i="70" s="1"/>
  <c r="D37" i="70"/>
  <c r="B37" i="70"/>
  <c r="T36" i="70"/>
  <c r="P36" i="70"/>
  <c r="X36" i="70" s="1"/>
  <c r="N36" i="70"/>
  <c r="H36" i="70"/>
  <c r="D36" i="70"/>
  <c r="L36" i="70" s="1"/>
  <c r="B36" i="70"/>
  <c r="T35" i="70"/>
  <c r="P35" i="70"/>
  <c r="H35" i="70"/>
  <c r="N35" i="70" s="1"/>
  <c r="D35" i="70"/>
  <c r="B35" i="70"/>
  <c r="T34" i="70"/>
  <c r="Z34" i="70" s="1"/>
  <c r="P34" i="70"/>
  <c r="X34" i="70" s="1"/>
  <c r="N34" i="70"/>
  <c r="L34" i="70"/>
  <c r="H34" i="70"/>
  <c r="D34" i="70"/>
  <c r="B34" i="70"/>
  <c r="Z33" i="70"/>
  <c r="X33" i="70"/>
  <c r="T33" i="70"/>
  <c r="P33" i="70"/>
  <c r="H33" i="70"/>
  <c r="D33" i="70"/>
  <c r="B33" i="70"/>
  <c r="T32" i="70"/>
  <c r="P32" i="70"/>
  <c r="X32" i="70" s="1"/>
  <c r="H32" i="70"/>
  <c r="D32" i="70"/>
  <c r="L32" i="70" s="1"/>
  <c r="N32" i="70" s="1"/>
  <c r="B32" i="70"/>
  <c r="T31" i="70"/>
  <c r="P31" i="70"/>
  <c r="H31" i="70"/>
  <c r="N31" i="70" s="1"/>
  <c r="D31" i="70"/>
  <c r="B31" i="70"/>
  <c r="T30" i="70"/>
  <c r="Z30" i="70" s="1"/>
  <c r="P30" i="70"/>
  <c r="X30" i="70" s="1"/>
  <c r="L30" i="70"/>
  <c r="N30" i="70" s="1"/>
  <c r="H30" i="70"/>
  <c r="D30" i="70"/>
  <c r="B30" i="70"/>
  <c r="Z29" i="70"/>
  <c r="X29" i="70"/>
  <c r="T29" i="70"/>
  <c r="P29" i="70"/>
  <c r="H29" i="70"/>
  <c r="D29" i="70"/>
  <c r="B29" i="70"/>
  <c r="T28" i="70"/>
  <c r="P28" i="70"/>
  <c r="X28" i="70" s="1"/>
  <c r="H28" i="70"/>
  <c r="D28" i="70"/>
  <c r="L28" i="70" s="1"/>
  <c r="N28" i="70" s="1"/>
  <c r="B28" i="70"/>
  <c r="T27" i="70"/>
  <c r="P27" i="70"/>
  <c r="L27" i="70"/>
  <c r="H27" i="70"/>
  <c r="N27" i="70" s="1"/>
  <c r="D27" i="70"/>
  <c r="B27" i="70"/>
  <c r="T26" i="70"/>
  <c r="Z26" i="70" s="1"/>
  <c r="P26" i="70"/>
  <c r="X26" i="70" s="1"/>
  <c r="L26" i="70"/>
  <c r="N26" i="70" s="1"/>
  <c r="H26" i="70"/>
  <c r="D26" i="70"/>
  <c r="B26" i="70"/>
  <c r="Z25" i="70"/>
  <c r="X25" i="70"/>
  <c r="T25" i="70"/>
  <c r="P25" i="70"/>
  <c r="H25" i="70"/>
  <c r="D25" i="70"/>
  <c r="B25" i="70"/>
  <c r="T24" i="70"/>
  <c r="P24" i="70"/>
  <c r="X24" i="70" s="1"/>
  <c r="N24" i="70"/>
  <c r="H24" i="70"/>
  <c r="D24" i="70"/>
  <c r="L24" i="70" s="1"/>
  <c r="B24" i="70"/>
  <c r="T23" i="70"/>
  <c r="P23" i="70"/>
  <c r="L23" i="70"/>
  <c r="H23" i="70"/>
  <c r="N23" i="70" s="1"/>
  <c r="D23" i="70"/>
  <c r="B23" i="70"/>
  <c r="T22" i="70"/>
  <c r="P22" i="70"/>
  <c r="X22" i="70" s="1"/>
  <c r="L22" i="70"/>
  <c r="N22" i="70" s="1"/>
  <c r="H22" i="70"/>
  <c r="D22" i="70"/>
  <c r="B22" i="70"/>
  <c r="Z21" i="70"/>
  <c r="X21" i="70"/>
  <c r="T21" i="70"/>
  <c r="P21" i="70"/>
  <c r="H21" i="70"/>
  <c r="D21" i="70"/>
  <c r="B21" i="70"/>
  <c r="T20" i="70"/>
  <c r="P20" i="70"/>
  <c r="X20" i="70" s="1"/>
  <c r="H20" i="70"/>
  <c r="D20" i="70"/>
  <c r="L20" i="70" s="1"/>
  <c r="N20" i="70" s="1"/>
  <c r="B20" i="70"/>
  <c r="T19" i="70"/>
  <c r="P19" i="70"/>
  <c r="L19" i="70"/>
  <c r="H19" i="70"/>
  <c r="N19" i="70" s="1"/>
  <c r="D19" i="70"/>
  <c r="B19" i="70"/>
  <c r="T18" i="70"/>
  <c r="P18" i="70"/>
  <c r="X18" i="70" s="1"/>
  <c r="N18" i="70"/>
  <c r="L18" i="70"/>
  <c r="H18" i="70"/>
  <c r="D18" i="70"/>
  <c r="B18" i="70"/>
  <c r="Z17" i="70"/>
  <c r="X17" i="70"/>
  <c r="T17" i="70"/>
  <c r="P17" i="70"/>
  <c r="H17" i="70"/>
  <c r="D17" i="70"/>
  <c r="B17" i="70"/>
  <c r="T16" i="70"/>
  <c r="P16" i="70"/>
  <c r="X16" i="70" s="1"/>
  <c r="N16" i="70"/>
  <c r="H16" i="70"/>
  <c r="D16" i="70"/>
  <c r="L16" i="70" s="1"/>
  <c r="B16" i="70"/>
  <c r="T15" i="70"/>
  <c r="P15" i="70"/>
  <c r="L15" i="70"/>
  <c r="H15" i="70"/>
  <c r="N15" i="70" s="1"/>
  <c r="D15" i="70"/>
  <c r="B15" i="70"/>
  <c r="T14" i="70"/>
  <c r="P14" i="70"/>
  <c r="P12" i="70" s="1"/>
  <c r="R66" i="70" s="1"/>
  <c r="L14" i="70"/>
  <c r="N14" i="70" s="1"/>
  <c r="H14" i="70"/>
  <c r="D14" i="70"/>
  <c r="D12" i="70" s="1"/>
  <c r="B14" i="70"/>
  <c r="Z13" i="70"/>
  <c r="X13" i="70"/>
  <c r="T13" i="70"/>
  <c r="P13" i="70"/>
  <c r="H13" i="70"/>
  <c r="H12" i="70" s="1"/>
  <c r="D13" i="70"/>
  <c r="B13" i="70"/>
  <c r="D6" i="70"/>
  <c r="D4" i="70"/>
  <c r="X66" i="69"/>
  <c r="Z66" i="69" s="1"/>
  <c r="N66" i="69"/>
  <c r="L66" i="69"/>
  <c r="T62" i="69"/>
  <c r="Z62" i="69" s="1"/>
  <c r="P62" i="69"/>
  <c r="X62" i="69" s="1"/>
  <c r="H62" i="69"/>
  <c r="L62" i="69" s="1"/>
  <c r="D62" i="69"/>
  <c r="X60" i="69"/>
  <c r="Z60" i="69" s="1"/>
  <c r="L60" i="69"/>
  <c r="N60" i="69" s="1"/>
  <c r="B60" i="69"/>
  <c r="T59" i="69"/>
  <c r="P59" i="69"/>
  <c r="X59" i="69" s="1"/>
  <c r="Z59" i="69" s="1"/>
  <c r="J59" i="69"/>
  <c r="H59" i="69"/>
  <c r="D59" i="69"/>
  <c r="L59" i="69" s="1"/>
  <c r="N59" i="69" s="1"/>
  <c r="B59" i="69"/>
  <c r="Z58" i="69"/>
  <c r="X58" i="69"/>
  <c r="L58" i="69"/>
  <c r="N58" i="69" s="1"/>
  <c r="B58" i="69"/>
  <c r="X57" i="69"/>
  <c r="Z57" i="69" s="1"/>
  <c r="N57" i="69"/>
  <c r="L57" i="69"/>
  <c r="B57" i="69"/>
  <c r="X56" i="69"/>
  <c r="Z56" i="69" s="1"/>
  <c r="N56" i="69"/>
  <c r="L56" i="69"/>
  <c r="B56" i="69"/>
  <c r="X55" i="69"/>
  <c r="Z55" i="69" s="1"/>
  <c r="T55" i="69"/>
  <c r="R55" i="69"/>
  <c r="P55" i="69"/>
  <c r="L55" i="69"/>
  <c r="H55" i="69"/>
  <c r="N55" i="69" s="1"/>
  <c r="D55" i="69"/>
  <c r="B55" i="69"/>
  <c r="X54" i="69"/>
  <c r="Z54" i="69" s="1"/>
  <c r="R54" i="69"/>
  <c r="L54" i="69"/>
  <c r="N54" i="69" s="1"/>
  <c r="B54" i="69"/>
  <c r="X53" i="69"/>
  <c r="Z53" i="69" s="1"/>
  <c r="N53" i="69"/>
  <c r="L53" i="69"/>
  <c r="J53" i="69"/>
  <c r="B53" i="69"/>
  <c r="Z52" i="69"/>
  <c r="X52" i="69"/>
  <c r="L52" i="69"/>
  <c r="N52" i="69" s="1"/>
  <c r="B52" i="69"/>
  <c r="Z51" i="69"/>
  <c r="T51" i="69"/>
  <c r="P51" i="69"/>
  <c r="X51" i="69" s="1"/>
  <c r="H51" i="69"/>
  <c r="D51" i="69"/>
  <c r="L51" i="69" s="1"/>
  <c r="B51" i="69"/>
  <c r="X50" i="69"/>
  <c r="Z50" i="69" s="1"/>
  <c r="N50" i="69"/>
  <c r="L50" i="69"/>
  <c r="B50" i="69"/>
  <c r="Z49" i="69"/>
  <c r="X49" i="69"/>
  <c r="V49" i="69"/>
  <c r="N49" i="69"/>
  <c r="L49" i="69"/>
  <c r="B49" i="69"/>
  <c r="T48" i="69"/>
  <c r="P48" i="69"/>
  <c r="X48" i="69" s="1"/>
  <c r="H48" i="69"/>
  <c r="L48" i="69" s="1"/>
  <c r="D48" i="69"/>
  <c r="B48" i="69"/>
  <c r="X47" i="69"/>
  <c r="Z47" i="69" s="1"/>
  <c r="N47" i="69"/>
  <c r="L47" i="69"/>
  <c r="B47" i="69"/>
  <c r="T46" i="69"/>
  <c r="P46" i="69"/>
  <c r="X46" i="69" s="1"/>
  <c r="Z46" i="69" s="1"/>
  <c r="L46" i="69"/>
  <c r="H46" i="69"/>
  <c r="N46" i="69" s="1"/>
  <c r="D46" i="69"/>
  <c r="B46" i="69"/>
  <c r="X45" i="69"/>
  <c r="Z45" i="69" s="1"/>
  <c r="N45" i="69"/>
  <c r="L45" i="69"/>
  <c r="J45" i="69"/>
  <c r="B45" i="69"/>
  <c r="Z44" i="69"/>
  <c r="X44" i="69"/>
  <c r="T44" i="69"/>
  <c r="P44" i="69"/>
  <c r="H44" i="69"/>
  <c r="D44" i="69"/>
  <c r="B44" i="69"/>
  <c r="Z43" i="69"/>
  <c r="X43" i="69"/>
  <c r="L43" i="69"/>
  <c r="N43" i="69" s="1"/>
  <c r="B43" i="69"/>
  <c r="T42" i="69"/>
  <c r="X42" i="69" s="1"/>
  <c r="P42" i="69"/>
  <c r="H42" i="69"/>
  <c r="N42" i="69" s="1"/>
  <c r="D42" i="69"/>
  <c r="L42" i="69" s="1"/>
  <c r="B42" i="69"/>
  <c r="X41" i="69"/>
  <c r="Z41" i="69" s="1"/>
  <c r="N41" i="69"/>
  <c r="L41" i="69"/>
  <c r="B41" i="69"/>
  <c r="X40" i="69"/>
  <c r="T40" i="69"/>
  <c r="P40" i="69"/>
  <c r="H40" i="69"/>
  <c r="D40" i="69"/>
  <c r="L40" i="69" s="1"/>
  <c r="N40" i="69" s="1"/>
  <c r="B40" i="69"/>
  <c r="Z39" i="69"/>
  <c r="X39" i="69"/>
  <c r="N39" i="69"/>
  <c r="L39" i="69"/>
  <c r="B39" i="69"/>
  <c r="T38" i="69"/>
  <c r="P38" i="69"/>
  <c r="N38" i="69"/>
  <c r="L38" i="69"/>
  <c r="H38" i="69"/>
  <c r="D38" i="69"/>
  <c r="B38" i="69"/>
  <c r="Z37" i="69"/>
  <c r="X37" i="69"/>
  <c r="V37" i="69"/>
  <c r="N37" i="69"/>
  <c r="L37" i="69"/>
  <c r="B37" i="69"/>
  <c r="X36" i="69"/>
  <c r="Z36" i="69" s="1"/>
  <c r="L36" i="69"/>
  <c r="N36" i="69" s="1"/>
  <c r="B36" i="69"/>
  <c r="Z35" i="69"/>
  <c r="X35" i="69"/>
  <c r="N35" i="69"/>
  <c r="L35" i="69"/>
  <c r="B35" i="69"/>
  <c r="X34" i="69"/>
  <c r="Z34" i="69" s="1"/>
  <c r="N34" i="69"/>
  <c r="L34" i="69"/>
  <c r="B34" i="69"/>
  <c r="Z33" i="69"/>
  <c r="X33" i="69"/>
  <c r="L33" i="69"/>
  <c r="N33" i="69" s="1"/>
  <c r="B33" i="69"/>
  <c r="T32" i="69"/>
  <c r="Z32" i="69" s="1"/>
  <c r="P32" i="69"/>
  <c r="X32" i="69" s="1"/>
  <c r="H32" i="69"/>
  <c r="L32" i="69" s="1"/>
  <c r="D32" i="69"/>
  <c r="B32" i="69"/>
  <c r="X31" i="69"/>
  <c r="Z31" i="69" s="1"/>
  <c r="N31" i="69"/>
  <c r="L31" i="69"/>
  <c r="B31" i="69"/>
  <c r="Z30" i="69"/>
  <c r="X30" i="69"/>
  <c r="L30" i="69"/>
  <c r="N30" i="69" s="1"/>
  <c r="F30" i="69"/>
  <c r="B30" i="69"/>
  <c r="X29" i="69"/>
  <c r="Z29" i="69" s="1"/>
  <c r="N29" i="69"/>
  <c r="L29" i="69"/>
  <c r="B29" i="69"/>
  <c r="X28" i="69"/>
  <c r="Z28" i="69" s="1"/>
  <c r="N28" i="69"/>
  <c r="L28" i="69"/>
  <c r="B28" i="69"/>
  <c r="X27" i="69"/>
  <c r="Z27" i="69" s="1"/>
  <c r="N27" i="69"/>
  <c r="L27" i="69"/>
  <c r="B27" i="69"/>
  <c r="Z26" i="69"/>
  <c r="X26" i="69"/>
  <c r="L26" i="69"/>
  <c r="N26" i="69" s="1"/>
  <c r="F26" i="69"/>
  <c r="B26" i="69"/>
  <c r="X25" i="69"/>
  <c r="Z25" i="69" s="1"/>
  <c r="N25" i="69"/>
  <c r="L25" i="69"/>
  <c r="B25" i="69"/>
  <c r="X24" i="69"/>
  <c r="Z24" i="69" s="1"/>
  <c r="N24" i="69"/>
  <c r="L24" i="69"/>
  <c r="B24" i="69"/>
  <c r="X23" i="69"/>
  <c r="Z23" i="69" s="1"/>
  <c r="T23" i="69"/>
  <c r="R23" i="69"/>
  <c r="P23" i="69"/>
  <c r="L23" i="69"/>
  <c r="H23" i="69"/>
  <c r="N23" i="69" s="1"/>
  <c r="D23" i="69"/>
  <c r="B23" i="69"/>
  <c r="T22" i="69"/>
  <c r="P22" i="69"/>
  <c r="H22" i="69"/>
  <c r="D22" i="69"/>
  <c r="L22" i="69" s="1"/>
  <c r="N22" i="69" s="1"/>
  <c r="T20" i="69"/>
  <c r="X18" i="69"/>
  <c r="Z18" i="69" s="1"/>
  <c r="R18" i="69"/>
  <c r="L18" i="69"/>
  <c r="N18" i="69" s="1"/>
  <c r="B18" i="69"/>
  <c r="Z17" i="69"/>
  <c r="X17" i="69"/>
  <c r="N17" i="69"/>
  <c r="L17" i="69"/>
  <c r="J17" i="69"/>
  <c r="B17" i="69"/>
  <c r="Z16" i="69"/>
  <c r="X16" i="69"/>
  <c r="T16" i="69"/>
  <c r="P16" i="69"/>
  <c r="H16" i="69"/>
  <c r="D16" i="69"/>
  <c r="Z14" i="69"/>
  <c r="X14" i="69"/>
  <c r="T14" i="69"/>
  <c r="P14" i="69"/>
  <c r="H14" i="69"/>
  <c r="D14" i="69"/>
  <c r="D12" i="69" s="1"/>
  <c r="F58" i="69" s="1"/>
  <c r="B14" i="69"/>
  <c r="T13" i="69"/>
  <c r="T12" i="69" s="1"/>
  <c r="P13" i="69"/>
  <c r="X13" i="69" s="1"/>
  <c r="Z13" i="69" s="1"/>
  <c r="N13" i="69"/>
  <c r="L13" i="69"/>
  <c r="H13" i="69"/>
  <c r="D13" i="69"/>
  <c r="B13" i="69"/>
  <c r="P12" i="69"/>
  <c r="H12" i="69"/>
  <c r="J47" i="69" s="1"/>
  <c r="D6" i="69"/>
  <c r="D4" i="69"/>
  <c r="X112" i="68"/>
  <c r="Z112" i="68" s="1"/>
  <c r="L112" i="68"/>
  <c r="N112" i="68" s="1"/>
  <c r="Z108" i="68"/>
  <c r="X108" i="68"/>
  <c r="T108" i="68"/>
  <c r="P108" i="68"/>
  <c r="H108" i="68"/>
  <c r="D108" i="68"/>
  <c r="Z106" i="68"/>
  <c r="X106" i="68"/>
  <c r="N106" i="68"/>
  <c r="L106" i="68"/>
  <c r="B106" i="68"/>
  <c r="T105" i="68"/>
  <c r="P105" i="68"/>
  <c r="X105" i="68" s="1"/>
  <c r="Z105" i="68" s="1"/>
  <c r="H105" i="68"/>
  <c r="N105" i="68" s="1"/>
  <c r="D105" i="68"/>
  <c r="L105" i="68" s="1"/>
  <c r="B105" i="68"/>
  <c r="X104" i="68"/>
  <c r="Z104" i="68" s="1"/>
  <c r="N104" i="68"/>
  <c r="L104" i="68"/>
  <c r="B104" i="68"/>
  <c r="T103" i="68"/>
  <c r="P103" i="68"/>
  <c r="X103" i="68" s="1"/>
  <c r="Z103" i="68" s="1"/>
  <c r="N103" i="68"/>
  <c r="L103" i="68"/>
  <c r="H103" i="68"/>
  <c r="D103" i="68"/>
  <c r="B103" i="68"/>
  <c r="X102" i="68"/>
  <c r="Z102" i="68" s="1"/>
  <c r="N102" i="68"/>
  <c r="L102" i="68"/>
  <c r="B102" i="68"/>
  <c r="X101" i="68"/>
  <c r="Z101" i="68" s="1"/>
  <c r="N101" i="68"/>
  <c r="L101" i="68"/>
  <c r="B101" i="68"/>
  <c r="Z100" i="68"/>
  <c r="X100" i="68"/>
  <c r="N100" i="68"/>
  <c r="L100" i="68"/>
  <c r="B100" i="68"/>
  <c r="X99" i="68"/>
  <c r="Z99" i="68" s="1"/>
  <c r="T99" i="68"/>
  <c r="P99" i="68"/>
  <c r="L99" i="68"/>
  <c r="N99" i="68" s="1"/>
  <c r="H99" i="68"/>
  <c r="D99" i="68"/>
  <c r="B99" i="68"/>
  <c r="X98" i="68"/>
  <c r="Z98" i="68" s="1"/>
  <c r="L98" i="68"/>
  <c r="N98" i="68" s="1"/>
  <c r="B98" i="68"/>
  <c r="Z97" i="68"/>
  <c r="X97" i="68"/>
  <c r="N97" i="68"/>
  <c r="L97" i="68"/>
  <c r="B97" i="68"/>
  <c r="T96" i="68"/>
  <c r="P96" i="68"/>
  <c r="L96" i="68"/>
  <c r="N96" i="68" s="1"/>
  <c r="H96" i="68"/>
  <c r="D96" i="68"/>
  <c r="B96" i="68"/>
  <c r="Z95" i="68"/>
  <c r="X95" i="68"/>
  <c r="N95" i="68"/>
  <c r="L95" i="68"/>
  <c r="B95" i="68"/>
  <c r="X94" i="68"/>
  <c r="Z94" i="68" s="1"/>
  <c r="N94" i="68"/>
  <c r="L94" i="68"/>
  <c r="B94" i="68"/>
  <c r="T93" i="68"/>
  <c r="P93" i="68"/>
  <c r="X93" i="68" s="1"/>
  <c r="Z93" i="68" s="1"/>
  <c r="N93" i="68"/>
  <c r="H93" i="68"/>
  <c r="D93" i="68"/>
  <c r="L93" i="68" s="1"/>
  <c r="B93" i="68"/>
  <c r="Z92" i="68"/>
  <c r="X92" i="68"/>
  <c r="N92" i="68"/>
  <c r="L92" i="68"/>
  <c r="B92" i="68"/>
  <c r="X91" i="68"/>
  <c r="Z91" i="68" s="1"/>
  <c r="T91" i="68"/>
  <c r="P91" i="68"/>
  <c r="N91" i="68"/>
  <c r="L91" i="68"/>
  <c r="H91" i="68"/>
  <c r="D91" i="68"/>
  <c r="B91" i="68"/>
  <c r="X90" i="68"/>
  <c r="Z90" i="68" s="1"/>
  <c r="N90" i="68"/>
  <c r="L90" i="68"/>
  <c r="B90" i="68"/>
  <c r="Z89" i="68"/>
  <c r="T89" i="68"/>
  <c r="P89" i="68"/>
  <c r="X89" i="68" s="1"/>
  <c r="H89" i="68"/>
  <c r="N89" i="68" s="1"/>
  <c r="D89" i="68"/>
  <c r="L89" i="68" s="1"/>
  <c r="B89" i="68"/>
  <c r="Z88" i="68"/>
  <c r="X88" i="68"/>
  <c r="N88" i="68"/>
  <c r="L88" i="68"/>
  <c r="B88" i="68"/>
  <c r="Z87" i="68"/>
  <c r="X87" i="68"/>
  <c r="L87" i="68"/>
  <c r="N87" i="68" s="1"/>
  <c r="B87" i="68"/>
  <c r="T86" i="68"/>
  <c r="P86" i="68"/>
  <c r="X86" i="68" s="1"/>
  <c r="H86" i="68"/>
  <c r="D86" i="68"/>
  <c r="B86" i="68"/>
  <c r="X85" i="68"/>
  <c r="Z85" i="68" s="1"/>
  <c r="N85" i="68"/>
  <c r="L85" i="68"/>
  <c r="B85" i="68"/>
  <c r="T84" i="68"/>
  <c r="P84" i="68"/>
  <c r="X84" i="68" s="1"/>
  <c r="Z84" i="68" s="1"/>
  <c r="H84" i="68"/>
  <c r="D84" i="68"/>
  <c r="L84" i="68" s="1"/>
  <c r="B84" i="68"/>
  <c r="Z83" i="68"/>
  <c r="X83" i="68"/>
  <c r="N83" i="68"/>
  <c r="L83" i="68"/>
  <c r="B83" i="68"/>
  <c r="X82" i="68"/>
  <c r="Z82" i="68" s="1"/>
  <c r="T82" i="68"/>
  <c r="P82" i="68"/>
  <c r="L82" i="68"/>
  <c r="H82" i="68"/>
  <c r="D82" i="68"/>
  <c r="B82" i="68"/>
  <c r="Z81" i="68"/>
  <c r="X81" i="68"/>
  <c r="L81" i="68"/>
  <c r="N81" i="68" s="1"/>
  <c r="B81" i="68"/>
  <c r="X80" i="68"/>
  <c r="Z80" i="68" s="1"/>
  <c r="N80" i="68"/>
  <c r="L80" i="68"/>
  <c r="B80" i="68"/>
  <c r="Z79" i="68"/>
  <c r="X79" i="68"/>
  <c r="L79" i="68"/>
  <c r="N79" i="68" s="1"/>
  <c r="B79" i="68"/>
  <c r="X78" i="68"/>
  <c r="Z78" i="68" s="1"/>
  <c r="L78" i="68"/>
  <c r="N78" i="68" s="1"/>
  <c r="B78" i="68"/>
  <c r="Z77" i="68"/>
  <c r="T77" i="68"/>
  <c r="P77" i="68"/>
  <c r="X77" i="68" s="1"/>
  <c r="H77" i="68"/>
  <c r="D77" i="68"/>
  <c r="L77" i="68" s="1"/>
  <c r="N77" i="68" s="1"/>
  <c r="B77" i="68"/>
  <c r="Z76" i="68"/>
  <c r="X76" i="68"/>
  <c r="L76" i="68"/>
  <c r="N76" i="68" s="1"/>
  <c r="B76" i="68"/>
  <c r="X75" i="68"/>
  <c r="Z75" i="68" s="1"/>
  <c r="N75" i="68"/>
  <c r="L75" i="68"/>
  <c r="B75" i="68"/>
  <c r="X74" i="68"/>
  <c r="Z74" i="68" s="1"/>
  <c r="L74" i="68"/>
  <c r="N74" i="68" s="1"/>
  <c r="B74" i="68"/>
  <c r="X73" i="68"/>
  <c r="Z73" i="68" s="1"/>
  <c r="N73" i="68"/>
  <c r="L73" i="68"/>
  <c r="B73" i="68"/>
  <c r="Z72" i="68"/>
  <c r="X72" i="68"/>
  <c r="L72" i="68"/>
  <c r="N72" i="68" s="1"/>
  <c r="B72" i="68"/>
  <c r="X71" i="68"/>
  <c r="Z71" i="68" s="1"/>
  <c r="N71" i="68"/>
  <c r="L71" i="68"/>
  <c r="B71" i="68"/>
  <c r="X70" i="68"/>
  <c r="Z70" i="68" s="1"/>
  <c r="L70" i="68"/>
  <c r="N70" i="68" s="1"/>
  <c r="B70" i="68"/>
  <c r="X69" i="68"/>
  <c r="Z69" i="68" s="1"/>
  <c r="N69" i="68"/>
  <c r="L69" i="68"/>
  <c r="B69" i="68"/>
  <c r="T68" i="68"/>
  <c r="P68" i="68"/>
  <c r="X68" i="68" s="1"/>
  <c r="Z68" i="68" s="1"/>
  <c r="H68" i="68"/>
  <c r="D68" i="68"/>
  <c r="L68" i="68" s="1"/>
  <c r="B68" i="68"/>
  <c r="T67" i="68"/>
  <c r="Z67" i="68" s="1"/>
  <c r="P67" i="68"/>
  <c r="X67" i="68" s="1"/>
  <c r="H67" i="68"/>
  <c r="D67" i="68"/>
  <c r="L67" i="68" s="1"/>
  <c r="Z63" i="68"/>
  <c r="X63" i="68"/>
  <c r="N63" i="68"/>
  <c r="L63" i="68"/>
  <c r="B63" i="68"/>
  <c r="X62" i="68"/>
  <c r="Z62" i="68" s="1"/>
  <c r="N62" i="68"/>
  <c r="L62" i="68"/>
  <c r="B62" i="68"/>
  <c r="Z61" i="68"/>
  <c r="X61" i="68"/>
  <c r="L61" i="68"/>
  <c r="N61" i="68" s="1"/>
  <c r="B61" i="68"/>
  <c r="Z60" i="68"/>
  <c r="X60" i="68"/>
  <c r="L60" i="68"/>
  <c r="N60" i="68" s="1"/>
  <c r="B60" i="68"/>
  <c r="Z59" i="68"/>
  <c r="X59" i="68"/>
  <c r="L59" i="68"/>
  <c r="N59" i="68" s="1"/>
  <c r="B59" i="68"/>
  <c r="X58" i="68"/>
  <c r="Z58" i="68" s="1"/>
  <c r="N58" i="68"/>
  <c r="L58" i="68"/>
  <c r="B58" i="68"/>
  <c r="Z57" i="68"/>
  <c r="X57" i="68"/>
  <c r="L57" i="68"/>
  <c r="N57" i="68" s="1"/>
  <c r="B57" i="68"/>
  <c r="Z56" i="68"/>
  <c r="X56" i="68"/>
  <c r="L56" i="68"/>
  <c r="N56" i="68" s="1"/>
  <c r="B56" i="68"/>
  <c r="Z55" i="68"/>
  <c r="X55" i="68"/>
  <c r="L55" i="68"/>
  <c r="N55" i="68" s="1"/>
  <c r="B55" i="68"/>
  <c r="X54" i="68"/>
  <c r="Z54" i="68" s="1"/>
  <c r="L54" i="68"/>
  <c r="N54" i="68" s="1"/>
  <c r="B54" i="68"/>
  <c r="Z53" i="68"/>
  <c r="X53" i="68"/>
  <c r="L53" i="68"/>
  <c r="N53" i="68" s="1"/>
  <c r="B53" i="68"/>
  <c r="X52" i="68"/>
  <c r="Z52" i="68" s="1"/>
  <c r="L52" i="68"/>
  <c r="N52" i="68" s="1"/>
  <c r="B52" i="68"/>
  <c r="Z51" i="68"/>
  <c r="X51" i="68"/>
  <c r="L51" i="68"/>
  <c r="N51" i="68" s="1"/>
  <c r="B51" i="68"/>
  <c r="Z50" i="68"/>
  <c r="X50" i="68"/>
  <c r="L50" i="68"/>
  <c r="N50" i="68" s="1"/>
  <c r="B50" i="68"/>
  <c r="Z49" i="68"/>
  <c r="X49" i="68"/>
  <c r="L49" i="68"/>
  <c r="N49" i="68" s="1"/>
  <c r="B49" i="68"/>
  <c r="X48" i="68"/>
  <c r="Z48" i="68" s="1"/>
  <c r="L48" i="68"/>
  <c r="N48" i="68" s="1"/>
  <c r="B48" i="68"/>
  <c r="Z47" i="68"/>
  <c r="X47" i="68"/>
  <c r="L47" i="68"/>
  <c r="N47" i="68" s="1"/>
  <c r="B47" i="68"/>
  <c r="Z46" i="68"/>
  <c r="X46" i="68"/>
  <c r="L46" i="68"/>
  <c r="N46" i="68" s="1"/>
  <c r="B46" i="68"/>
  <c r="Z45" i="68"/>
  <c r="X45" i="68"/>
  <c r="N45" i="68"/>
  <c r="L45" i="68"/>
  <c r="B45" i="68"/>
  <c r="T44" i="68"/>
  <c r="P44" i="68"/>
  <c r="X44" i="68" s="1"/>
  <c r="N44" i="68"/>
  <c r="L44" i="68"/>
  <c r="H44" i="68"/>
  <c r="D44" i="68"/>
  <c r="T42" i="68"/>
  <c r="P42" i="68"/>
  <c r="X42" i="68" s="1"/>
  <c r="Z42" i="68" s="1"/>
  <c r="H42" i="68"/>
  <c r="N42" i="68" s="1"/>
  <c r="D42" i="68"/>
  <c r="B42" i="68"/>
  <c r="T41" i="68"/>
  <c r="P41" i="68"/>
  <c r="X41" i="68" s="1"/>
  <c r="L41" i="68"/>
  <c r="H41" i="68"/>
  <c r="N41" i="68" s="1"/>
  <c r="D41" i="68"/>
  <c r="B41" i="68"/>
  <c r="T40" i="68"/>
  <c r="P40" i="68"/>
  <c r="H40" i="68"/>
  <c r="D40" i="68"/>
  <c r="B40" i="68"/>
  <c r="T39" i="68"/>
  <c r="P39" i="68"/>
  <c r="L39" i="68"/>
  <c r="N39" i="68" s="1"/>
  <c r="H39" i="68"/>
  <c r="D39" i="68"/>
  <c r="B39" i="68"/>
  <c r="X38" i="68"/>
  <c r="Z38" i="68" s="1"/>
  <c r="T38" i="68"/>
  <c r="P38" i="68"/>
  <c r="H38" i="68"/>
  <c r="D38" i="68"/>
  <c r="L38" i="68" s="1"/>
  <c r="B38" i="68"/>
  <c r="T37" i="68"/>
  <c r="P37" i="68"/>
  <c r="X37" i="68" s="1"/>
  <c r="N37" i="68"/>
  <c r="L37" i="68"/>
  <c r="H37" i="68"/>
  <c r="D37" i="68"/>
  <c r="B37" i="68"/>
  <c r="T36" i="68"/>
  <c r="P36" i="68"/>
  <c r="H36" i="68"/>
  <c r="N36" i="68" s="1"/>
  <c r="D36" i="68"/>
  <c r="L36" i="68" s="1"/>
  <c r="B36" i="68"/>
  <c r="T35" i="68"/>
  <c r="P35" i="68"/>
  <c r="N35" i="68"/>
  <c r="L35" i="68"/>
  <c r="H35" i="68"/>
  <c r="D35" i="68"/>
  <c r="B35" i="68"/>
  <c r="T34" i="68"/>
  <c r="P34" i="68"/>
  <c r="X34" i="68" s="1"/>
  <c r="Z34" i="68" s="1"/>
  <c r="H34" i="68"/>
  <c r="D34" i="68"/>
  <c r="B34" i="68"/>
  <c r="T33" i="68"/>
  <c r="P33" i="68"/>
  <c r="X33" i="68" s="1"/>
  <c r="L33" i="68"/>
  <c r="H33" i="68"/>
  <c r="N33" i="68" s="1"/>
  <c r="D33" i="68"/>
  <c r="B33" i="68"/>
  <c r="T32" i="68"/>
  <c r="P32" i="68"/>
  <c r="H32" i="68"/>
  <c r="D32" i="68"/>
  <c r="B32" i="68"/>
  <c r="T31" i="68"/>
  <c r="P31" i="68"/>
  <c r="L31" i="68"/>
  <c r="N31" i="68" s="1"/>
  <c r="H31" i="68"/>
  <c r="D31" i="68"/>
  <c r="B31" i="68"/>
  <c r="X30" i="68"/>
  <c r="Z30" i="68" s="1"/>
  <c r="T30" i="68"/>
  <c r="P30" i="68"/>
  <c r="H30" i="68"/>
  <c r="N30" i="68" s="1"/>
  <c r="D30" i="68"/>
  <c r="L30" i="68" s="1"/>
  <c r="B30" i="68"/>
  <c r="T29" i="68"/>
  <c r="P29" i="68"/>
  <c r="X29" i="68" s="1"/>
  <c r="N29" i="68"/>
  <c r="L29" i="68"/>
  <c r="H29" i="68"/>
  <c r="D29" i="68"/>
  <c r="B29" i="68"/>
  <c r="T28" i="68"/>
  <c r="P28" i="68"/>
  <c r="H28" i="68"/>
  <c r="D28" i="68"/>
  <c r="L28" i="68" s="1"/>
  <c r="B28" i="68"/>
  <c r="T27" i="68"/>
  <c r="P27" i="68"/>
  <c r="N27" i="68"/>
  <c r="L27" i="68"/>
  <c r="H27" i="68"/>
  <c r="D27" i="68"/>
  <c r="B27" i="68"/>
  <c r="T26" i="68"/>
  <c r="P26" i="68"/>
  <c r="X26" i="68" s="1"/>
  <c r="Z26" i="68" s="1"/>
  <c r="H26" i="68"/>
  <c r="N26" i="68" s="1"/>
  <c r="D26" i="68"/>
  <c r="B26" i="68"/>
  <c r="T25" i="68"/>
  <c r="P25" i="68"/>
  <c r="X25" i="68" s="1"/>
  <c r="L25" i="68"/>
  <c r="H25" i="68"/>
  <c r="N25" i="68" s="1"/>
  <c r="D25" i="68"/>
  <c r="B25" i="68"/>
  <c r="T24" i="68"/>
  <c r="P24" i="68"/>
  <c r="L24" i="68"/>
  <c r="H24" i="68"/>
  <c r="D24" i="68"/>
  <c r="B24" i="68"/>
  <c r="T23" i="68"/>
  <c r="P23" i="68"/>
  <c r="L23" i="68"/>
  <c r="N23" i="68" s="1"/>
  <c r="H23" i="68"/>
  <c r="D23" i="68"/>
  <c r="B23" i="68"/>
  <c r="Z22" i="68"/>
  <c r="T22" i="68"/>
  <c r="P22" i="68"/>
  <c r="X22" i="68" s="1"/>
  <c r="L22" i="68"/>
  <c r="H22" i="68"/>
  <c r="D22" i="68"/>
  <c r="B22" i="68"/>
  <c r="T21" i="68"/>
  <c r="P21" i="68"/>
  <c r="X21" i="68" s="1"/>
  <c r="H21" i="68"/>
  <c r="D21" i="68"/>
  <c r="B21" i="68"/>
  <c r="X20" i="68"/>
  <c r="Z20" i="68" s="1"/>
  <c r="T20" i="68"/>
  <c r="P20" i="68"/>
  <c r="H20" i="68"/>
  <c r="D20" i="68"/>
  <c r="L20" i="68" s="1"/>
  <c r="B20" i="68"/>
  <c r="T19" i="68"/>
  <c r="P19" i="68"/>
  <c r="L19" i="68"/>
  <c r="N19" i="68" s="1"/>
  <c r="H19" i="68"/>
  <c r="D19" i="68"/>
  <c r="B19" i="68"/>
  <c r="T18" i="68"/>
  <c r="P18" i="68"/>
  <c r="X18" i="68" s="1"/>
  <c r="H18" i="68"/>
  <c r="D18" i="68"/>
  <c r="B18" i="68"/>
  <c r="T17" i="68"/>
  <c r="P17" i="68"/>
  <c r="X17" i="68" s="1"/>
  <c r="H17" i="68"/>
  <c r="L17" i="68" s="1"/>
  <c r="N17" i="68" s="1"/>
  <c r="D17" i="68"/>
  <c r="B17" i="68"/>
  <c r="T16" i="68"/>
  <c r="P16" i="68"/>
  <c r="H16" i="68"/>
  <c r="D16" i="68"/>
  <c r="L16" i="68" s="1"/>
  <c r="B16" i="68"/>
  <c r="T15" i="68"/>
  <c r="Z15" i="68" s="1"/>
  <c r="P15" i="68"/>
  <c r="X15" i="68" s="1"/>
  <c r="N15" i="68"/>
  <c r="L15" i="68"/>
  <c r="H15" i="68"/>
  <c r="D15" i="68"/>
  <c r="B15" i="68"/>
  <c r="T14" i="68"/>
  <c r="P14" i="68"/>
  <c r="H14" i="68"/>
  <c r="D14" i="68"/>
  <c r="L14" i="68" s="1"/>
  <c r="B14" i="68"/>
  <c r="T13" i="68"/>
  <c r="Z13" i="68" s="1"/>
  <c r="P13" i="68"/>
  <c r="N13" i="68"/>
  <c r="H13" i="68"/>
  <c r="L13" i="68" s="1"/>
  <c r="D13" i="68"/>
  <c r="B13" i="68"/>
  <c r="D6" i="68"/>
  <c r="D4" i="68"/>
  <c r="Z60" i="67"/>
  <c r="X60" i="67"/>
  <c r="N60" i="67"/>
  <c r="L60" i="67"/>
  <c r="Z56" i="67"/>
  <c r="X56" i="67"/>
  <c r="T56" i="67"/>
  <c r="P56" i="67"/>
  <c r="N56" i="67"/>
  <c r="L56" i="67"/>
  <c r="H56" i="67"/>
  <c r="D56" i="67"/>
  <c r="Z54" i="67"/>
  <c r="X54" i="67"/>
  <c r="R54" i="67"/>
  <c r="N54" i="67"/>
  <c r="L54" i="67"/>
  <c r="B54" i="67"/>
  <c r="T53" i="67"/>
  <c r="P53" i="67"/>
  <c r="X53" i="67" s="1"/>
  <c r="H53" i="67"/>
  <c r="N53" i="67" s="1"/>
  <c r="D53" i="67"/>
  <c r="B53" i="67"/>
  <c r="X52" i="67"/>
  <c r="Z52" i="67" s="1"/>
  <c r="L52" i="67"/>
  <c r="N52" i="67" s="1"/>
  <c r="B52" i="67"/>
  <c r="X51" i="67"/>
  <c r="Z51" i="67" s="1"/>
  <c r="T51" i="67"/>
  <c r="P51" i="67"/>
  <c r="H51" i="67"/>
  <c r="D51" i="67"/>
  <c r="L51" i="67" s="1"/>
  <c r="N51" i="67" s="1"/>
  <c r="B51" i="67"/>
  <c r="Z50" i="67"/>
  <c r="X50" i="67"/>
  <c r="N50" i="67"/>
  <c r="L50" i="67"/>
  <c r="B50" i="67"/>
  <c r="X49" i="67"/>
  <c r="Z49" i="67" s="1"/>
  <c r="N49" i="67"/>
  <c r="L49" i="67"/>
  <c r="B49" i="67"/>
  <c r="Z48" i="67"/>
  <c r="X48" i="67"/>
  <c r="L48" i="67"/>
  <c r="N48" i="67" s="1"/>
  <c r="B48" i="67"/>
  <c r="T47" i="67"/>
  <c r="X47" i="67" s="1"/>
  <c r="P47" i="67"/>
  <c r="H47" i="67"/>
  <c r="D47" i="67"/>
  <c r="B47" i="67"/>
  <c r="X46" i="67"/>
  <c r="Z46" i="67" s="1"/>
  <c r="N46" i="67"/>
  <c r="L46" i="67"/>
  <c r="B46" i="67"/>
  <c r="Z45" i="67"/>
  <c r="X45" i="67"/>
  <c r="L45" i="67"/>
  <c r="N45" i="67" s="1"/>
  <c r="B45" i="67"/>
  <c r="T44" i="67"/>
  <c r="Z44" i="67" s="1"/>
  <c r="P44" i="67"/>
  <c r="X44" i="67" s="1"/>
  <c r="N44" i="67"/>
  <c r="H44" i="67"/>
  <c r="D44" i="67"/>
  <c r="L44" i="67" s="1"/>
  <c r="B44" i="67"/>
  <c r="X43" i="67"/>
  <c r="Z43" i="67" s="1"/>
  <c r="N43" i="67"/>
  <c r="L43" i="67"/>
  <c r="F43" i="67"/>
  <c r="B43" i="67"/>
  <c r="T42" i="67"/>
  <c r="P42" i="67"/>
  <c r="H42" i="67"/>
  <c r="N42" i="67" s="1"/>
  <c r="D42" i="67"/>
  <c r="L42" i="67" s="1"/>
  <c r="B42" i="67"/>
  <c r="X41" i="67"/>
  <c r="Z41" i="67" s="1"/>
  <c r="N41" i="67"/>
  <c r="L41" i="67"/>
  <c r="B41" i="67"/>
  <c r="T40" i="67"/>
  <c r="P40" i="67"/>
  <c r="L40" i="67"/>
  <c r="H40" i="67"/>
  <c r="N40" i="67" s="1"/>
  <c r="D40" i="67"/>
  <c r="B40" i="67"/>
  <c r="Z39" i="67"/>
  <c r="X39" i="67"/>
  <c r="R39" i="67"/>
  <c r="L39" i="67"/>
  <c r="N39" i="67" s="1"/>
  <c r="B39" i="67"/>
  <c r="T38" i="67"/>
  <c r="P38" i="67"/>
  <c r="X38" i="67" s="1"/>
  <c r="Z38" i="67" s="1"/>
  <c r="N38" i="67"/>
  <c r="L38" i="67"/>
  <c r="J38" i="67"/>
  <c r="H38" i="67"/>
  <c r="D38" i="67"/>
  <c r="B38" i="67"/>
  <c r="Z37" i="67"/>
  <c r="X37" i="67"/>
  <c r="N37" i="67"/>
  <c r="L37" i="67"/>
  <c r="B37" i="67"/>
  <c r="X36" i="67"/>
  <c r="T36" i="67"/>
  <c r="P36" i="67"/>
  <c r="L36" i="67"/>
  <c r="H36" i="67"/>
  <c r="N36" i="67" s="1"/>
  <c r="D36" i="67"/>
  <c r="B36" i="67"/>
  <c r="X35" i="67"/>
  <c r="Z35" i="67" s="1"/>
  <c r="N35" i="67"/>
  <c r="L35" i="67"/>
  <c r="J35" i="67"/>
  <c r="B35" i="67"/>
  <c r="X34" i="67"/>
  <c r="Z34" i="67" s="1"/>
  <c r="L34" i="67"/>
  <c r="N34" i="67" s="1"/>
  <c r="B34" i="67"/>
  <c r="Z33" i="67"/>
  <c r="X33" i="67"/>
  <c r="L33" i="67"/>
  <c r="N33" i="67" s="1"/>
  <c r="B33" i="67"/>
  <c r="X32" i="67"/>
  <c r="Z32" i="67" s="1"/>
  <c r="N32" i="67"/>
  <c r="L32" i="67"/>
  <c r="B32" i="67"/>
  <c r="Z31" i="67"/>
  <c r="X31" i="67"/>
  <c r="R31" i="67"/>
  <c r="N31" i="67"/>
  <c r="L31" i="67"/>
  <c r="J31" i="67"/>
  <c r="B31" i="67"/>
  <c r="X30" i="67"/>
  <c r="Z30" i="67" s="1"/>
  <c r="N30" i="67"/>
  <c r="L30" i="67"/>
  <c r="J30" i="67"/>
  <c r="B30" i="67"/>
  <c r="X29" i="67"/>
  <c r="Z29" i="67" s="1"/>
  <c r="T29" i="67"/>
  <c r="P29" i="67"/>
  <c r="H29" i="67"/>
  <c r="D29" i="67"/>
  <c r="B29" i="67"/>
  <c r="Z28" i="67"/>
  <c r="X28" i="67"/>
  <c r="L28" i="67"/>
  <c r="N28" i="67" s="1"/>
  <c r="B28" i="67"/>
  <c r="X27" i="67"/>
  <c r="Z27" i="67" s="1"/>
  <c r="N27" i="67"/>
  <c r="L27" i="67"/>
  <c r="B27" i="67"/>
  <c r="Z26" i="67"/>
  <c r="X26" i="67"/>
  <c r="V26" i="67"/>
  <c r="L26" i="67"/>
  <c r="N26" i="67" s="1"/>
  <c r="J26" i="67"/>
  <c r="B26" i="67"/>
  <c r="Z25" i="67"/>
  <c r="X25" i="67"/>
  <c r="N25" i="67"/>
  <c r="L25" i="67"/>
  <c r="B25" i="67"/>
  <c r="Z24" i="67"/>
  <c r="X24" i="67"/>
  <c r="L24" i="67"/>
  <c r="N24" i="67" s="1"/>
  <c r="B24" i="67"/>
  <c r="X23" i="67"/>
  <c r="Z23" i="67" s="1"/>
  <c r="N23" i="67"/>
  <c r="L23" i="67"/>
  <c r="B23" i="67"/>
  <c r="Z22" i="67"/>
  <c r="X22" i="67"/>
  <c r="V22" i="67"/>
  <c r="L22" i="67"/>
  <c r="N22" i="67" s="1"/>
  <c r="J22" i="67"/>
  <c r="B22" i="67"/>
  <c r="X21" i="67"/>
  <c r="Z21" i="67" s="1"/>
  <c r="L21" i="67"/>
  <c r="N21" i="67" s="1"/>
  <c r="B21" i="67"/>
  <c r="Z20" i="67"/>
  <c r="X20" i="67"/>
  <c r="L20" i="67"/>
  <c r="N20" i="67" s="1"/>
  <c r="B20" i="67"/>
  <c r="T19" i="67"/>
  <c r="X19" i="67" s="1"/>
  <c r="P19" i="67"/>
  <c r="J19" i="67"/>
  <c r="H19" i="67"/>
  <c r="N19" i="67" s="1"/>
  <c r="D19" i="67"/>
  <c r="L19" i="67" s="1"/>
  <c r="B19" i="67"/>
  <c r="T18" i="67"/>
  <c r="P18" i="67"/>
  <c r="J18" i="67"/>
  <c r="H18" i="67"/>
  <c r="F18" i="67"/>
  <c r="D18" i="67"/>
  <c r="L18" i="67" s="1"/>
  <c r="J16" i="67"/>
  <c r="F16" i="67"/>
  <c r="T14" i="67"/>
  <c r="Z14" i="67" s="1"/>
  <c r="P14" i="67"/>
  <c r="L14" i="67"/>
  <c r="J14" i="67"/>
  <c r="H14" i="67"/>
  <c r="N14" i="67" s="1"/>
  <c r="F14" i="67"/>
  <c r="D14" i="67"/>
  <c r="T12" i="67"/>
  <c r="V52" i="67" s="1"/>
  <c r="P12" i="67"/>
  <c r="R52" i="67" s="1"/>
  <c r="H12" i="67"/>
  <c r="J58" i="67" s="1"/>
  <c r="D12" i="67"/>
  <c r="F42" i="67" s="1"/>
  <c r="D6" i="67"/>
  <c r="D4" i="67"/>
  <c r="Z102" i="63"/>
  <c r="X102" i="63"/>
  <c r="N102" i="63"/>
  <c r="L102" i="63"/>
  <c r="J102" i="63"/>
  <c r="F100" i="63"/>
  <c r="T98" i="63"/>
  <c r="P98" i="63"/>
  <c r="H98" i="63"/>
  <c r="F98" i="63"/>
  <c r="D98" i="63"/>
  <c r="B98" i="63"/>
  <c r="X97" i="63"/>
  <c r="Z97" i="63" s="1"/>
  <c r="V97" i="63"/>
  <c r="T97" i="63"/>
  <c r="P97" i="63"/>
  <c r="H97" i="63"/>
  <c r="D97" i="63"/>
  <c r="B97" i="63"/>
  <c r="X96" i="63"/>
  <c r="Z96" i="63" s="1"/>
  <c r="T96" i="63"/>
  <c r="P96" i="63"/>
  <c r="P95" i="63" s="1"/>
  <c r="J96" i="63"/>
  <c r="H96" i="63"/>
  <c r="D96" i="63"/>
  <c r="L96" i="63" s="1"/>
  <c r="N96" i="63" s="1"/>
  <c r="B96" i="63"/>
  <c r="D95" i="63"/>
  <c r="Z93" i="63"/>
  <c r="X93" i="63"/>
  <c r="N93" i="63"/>
  <c r="L93" i="63"/>
  <c r="F93" i="63"/>
  <c r="B93" i="63"/>
  <c r="V92" i="63"/>
  <c r="T92" i="63"/>
  <c r="P92" i="63"/>
  <c r="H92" i="63"/>
  <c r="F92" i="63"/>
  <c r="D92" i="63"/>
  <c r="B92" i="63"/>
  <c r="X91" i="63"/>
  <c r="Z91" i="63" s="1"/>
  <c r="V91" i="63"/>
  <c r="L91" i="63"/>
  <c r="N91" i="63" s="1"/>
  <c r="B91" i="63"/>
  <c r="Z90" i="63"/>
  <c r="X90" i="63"/>
  <c r="L90" i="63"/>
  <c r="N90" i="63" s="1"/>
  <c r="B90" i="63"/>
  <c r="Z89" i="63"/>
  <c r="X89" i="63"/>
  <c r="R89" i="63"/>
  <c r="L89" i="63"/>
  <c r="N89" i="63" s="1"/>
  <c r="B89" i="63"/>
  <c r="T88" i="63"/>
  <c r="Z88" i="63" s="1"/>
  <c r="P88" i="63"/>
  <c r="X88" i="63" s="1"/>
  <c r="N88" i="63"/>
  <c r="H88" i="63"/>
  <c r="D88" i="63"/>
  <c r="L88" i="63" s="1"/>
  <c r="B88" i="63"/>
  <c r="X87" i="63"/>
  <c r="Z87" i="63" s="1"/>
  <c r="L87" i="63"/>
  <c r="N87" i="63" s="1"/>
  <c r="B87" i="63"/>
  <c r="X86" i="63"/>
  <c r="Z86" i="63" s="1"/>
  <c r="T86" i="63"/>
  <c r="P86" i="63"/>
  <c r="J86" i="63"/>
  <c r="H86" i="63"/>
  <c r="D86" i="63"/>
  <c r="L86" i="63" s="1"/>
  <c r="N86" i="63" s="1"/>
  <c r="B86" i="63"/>
  <c r="Z85" i="63"/>
  <c r="X85" i="63"/>
  <c r="N85" i="63"/>
  <c r="L85" i="63"/>
  <c r="F85" i="63"/>
  <c r="B85" i="63"/>
  <c r="V84" i="63"/>
  <c r="T84" i="63"/>
  <c r="P84" i="63"/>
  <c r="H84" i="63"/>
  <c r="F84" i="63"/>
  <c r="D84" i="63"/>
  <c r="B84" i="63"/>
  <c r="X83" i="63"/>
  <c r="Z83" i="63" s="1"/>
  <c r="V83" i="63"/>
  <c r="L83" i="63"/>
  <c r="N83" i="63" s="1"/>
  <c r="B83" i="63"/>
  <c r="Z82" i="63"/>
  <c r="X82" i="63"/>
  <c r="N82" i="63"/>
  <c r="L82" i="63"/>
  <c r="B82" i="63"/>
  <c r="Z81" i="63"/>
  <c r="X81" i="63"/>
  <c r="V81" i="63"/>
  <c r="R81" i="63"/>
  <c r="L81" i="63"/>
  <c r="N81" i="63" s="1"/>
  <c r="B81" i="63"/>
  <c r="X80" i="63"/>
  <c r="Z80" i="63" s="1"/>
  <c r="L80" i="63"/>
  <c r="N80" i="63" s="1"/>
  <c r="J80" i="63"/>
  <c r="B80" i="63"/>
  <c r="Z79" i="63"/>
  <c r="X79" i="63"/>
  <c r="V79" i="63"/>
  <c r="N79" i="63"/>
  <c r="L79" i="63"/>
  <c r="B79" i="63"/>
  <c r="Z78" i="63"/>
  <c r="X78" i="63"/>
  <c r="L78" i="63"/>
  <c r="N78" i="63" s="1"/>
  <c r="B78" i="63"/>
  <c r="V77" i="63"/>
  <c r="T77" i="63"/>
  <c r="P77" i="63"/>
  <c r="L77" i="63"/>
  <c r="N77" i="63" s="1"/>
  <c r="H77" i="63"/>
  <c r="D77" i="63"/>
  <c r="B77" i="63"/>
  <c r="X76" i="63"/>
  <c r="Z76" i="63" s="1"/>
  <c r="V76" i="63"/>
  <c r="L76" i="63"/>
  <c r="N76" i="63" s="1"/>
  <c r="B76" i="63"/>
  <c r="T75" i="63"/>
  <c r="P75" i="63"/>
  <c r="X75" i="63" s="1"/>
  <c r="H75" i="63"/>
  <c r="L75" i="63" s="1"/>
  <c r="D75" i="63"/>
  <c r="B75" i="63"/>
  <c r="X74" i="63"/>
  <c r="Z74" i="63" s="1"/>
  <c r="N74" i="63"/>
  <c r="L74" i="63"/>
  <c r="B74" i="63"/>
  <c r="Z73" i="63"/>
  <c r="X73" i="63"/>
  <c r="N73" i="63"/>
  <c r="L73" i="63"/>
  <c r="F73" i="63"/>
  <c r="B73" i="63"/>
  <c r="X72" i="63"/>
  <c r="Z72" i="63" s="1"/>
  <c r="V72" i="63"/>
  <c r="L72" i="63"/>
  <c r="N72" i="63" s="1"/>
  <c r="B72" i="63"/>
  <c r="X71" i="63"/>
  <c r="Z71" i="63" s="1"/>
  <c r="T71" i="63"/>
  <c r="P71" i="63"/>
  <c r="H71" i="63"/>
  <c r="D71" i="63"/>
  <c r="L71" i="63" s="1"/>
  <c r="N71" i="63" s="1"/>
  <c r="B71" i="63"/>
  <c r="Z70" i="63"/>
  <c r="X70" i="63"/>
  <c r="L70" i="63"/>
  <c r="N70" i="63" s="1"/>
  <c r="B70" i="63"/>
  <c r="Z69" i="63"/>
  <c r="X69" i="63"/>
  <c r="V69" i="63"/>
  <c r="R69" i="63"/>
  <c r="N69" i="63"/>
  <c r="L69" i="63"/>
  <c r="B69" i="63"/>
  <c r="Z68" i="63"/>
  <c r="X68" i="63"/>
  <c r="N68" i="63"/>
  <c r="L68" i="63"/>
  <c r="J68" i="63"/>
  <c r="B68" i="63"/>
  <c r="X67" i="63"/>
  <c r="Z67" i="63" s="1"/>
  <c r="V67" i="63"/>
  <c r="L67" i="63"/>
  <c r="N67" i="63" s="1"/>
  <c r="B67" i="63"/>
  <c r="Z66" i="63"/>
  <c r="T66" i="63"/>
  <c r="P66" i="63"/>
  <c r="X66" i="63" s="1"/>
  <c r="H66" i="63"/>
  <c r="D66" i="63"/>
  <c r="L66" i="63" s="1"/>
  <c r="B66" i="63"/>
  <c r="X65" i="63"/>
  <c r="Z65" i="63" s="1"/>
  <c r="V65" i="63"/>
  <c r="N65" i="63"/>
  <c r="L65" i="63"/>
  <c r="B65" i="63"/>
  <c r="X64" i="63"/>
  <c r="Z64" i="63" s="1"/>
  <c r="V64" i="63"/>
  <c r="T64" i="63"/>
  <c r="P64" i="63"/>
  <c r="L64" i="63"/>
  <c r="N64" i="63" s="1"/>
  <c r="H64" i="63"/>
  <c r="D64" i="63"/>
  <c r="B64" i="63"/>
  <c r="X63" i="63"/>
  <c r="Z63" i="63" s="1"/>
  <c r="N63" i="63"/>
  <c r="L63" i="63"/>
  <c r="J63" i="63"/>
  <c r="B63" i="63"/>
  <c r="T62" i="63"/>
  <c r="R62" i="63"/>
  <c r="P62" i="63"/>
  <c r="H62" i="63"/>
  <c r="N62" i="63" s="1"/>
  <c r="D62" i="63"/>
  <c r="B62" i="63"/>
  <c r="Z61" i="63"/>
  <c r="X61" i="63"/>
  <c r="V61" i="63"/>
  <c r="R61" i="63"/>
  <c r="L61" i="63"/>
  <c r="N61" i="63" s="1"/>
  <c r="B61" i="63"/>
  <c r="T60" i="63"/>
  <c r="Z60" i="63" s="1"/>
  <c r="P60" i="63"/>
  <c r="X60" i="63" s="1"/>
  <c r="H60" i="63"/>
  <c r="D60" i="63"/>
  <c r="L60" i="63" s="1"/>
  <c r="N60" i="63" s="1"/>
  <c r="B60" i="63"/>
  <c r="X59" i="63"/>
  <c r="Z59" i="63" s="1"/>
  <c r="V59" i="63"/>
  <c r="L59" i="63"/>
  <c r="N59" i="63" s="1"/>
  <c r="B59" i="63"/>
  <c r="X58" i="63"/>
  <c r="Z58" i="63" s="1"/>
  <c r="T58" i="63"/>
  <c r="P58" i="63"/>
  <c r="L58" i="63"/>
  <c r="N58" i="63" s="1"/>
  <c r="J58" i="63"/>
  <c r="H58" i="63"/>
  <c r="D58" i="63"/>
  <c r="B58" i="63"/>
  <c r="Z57" i="63"/>
  <c r="X57" i="63"/>
  <c r="N57" i="63"/>
  <c r="L57" i="63"/>
  <c r="F57" i="63"/>
  <c r="B57" i="63"/>
  <c r="V56" i="63"/>
  <c r="T56" i="63"/>
  <c r="P56" i="63"/>
  <c r="H56" i="63"/>
  <c r="N56" i="63" s="1"/>
  <c r="F56" i="63"/>
  <c r="D56" i="63"/>
  <c r="B56" i="63"/>
  <c r="Z55" i="63"/>
  <c r="X55" i="63"/>
  <c r="V55" i="63"/>
  <c r="N55" i="63"/>
  <c r="L55" i="63"/>
  <c r="B55" i="63"/>
  <c r="Z54" i="63"/>
  <c r="V54" i="63"/>
  <c r="T54" i="63"/>
  <c r="P54" i="63"/>
  <c r="X54" i="63" s="1"/>
  <c r="H54" i="63"/>
  <c r="N54" i="63" s="1"/>
  <c r="D54" i="63"/>
  <c r="L54" i="63" s="1"/>
  <c r="B54" i="63"/>
  <c r="X53" i="63"/>
  <c r="Z53" i="63" s="1"/>
  <c r="V53" i="63"/>
  <c r="N53" i="63"/>
  <c r="L53" i="63"/>
  <c r="B53" i="63"/>
  <c r="X52" i="63"/>
  <c r="Z52" i="63" s="1"/>
  <c r="V52" i="63"/>
  <c r="T52" i="63"/>
  <c r="P52" i="63"/>
  <c r="L52" i="63"/>
  <c r="N52" i="63" s="1"/>
  <c r="H52" i="63"/>
  <c r="D52" i="63"/>
  <c r="B52" i="63"/>
  <c r="X51" i="63"/>
  <c r="Z51" i="63" s="1"/>
  <c r="L51" i="63"/>
  <c r="N51" i="63" s="1"/>
  <c r="J51" i="63"/>
  <c r="B51" i="63"/>
  <c r="V50" i="63"/>
  <c r="T50" i="63"/>
  <c r="R50" i="63"/>
  <c r="P50" i="63"/>
  <c r="H50" i="63"/>
  <c r="D50" i="63"/>
  <c r="B50" i="63"/>
  <c r="Z49" i="63"/>
  <c r="X49" i="63"/>
  <c r="V49" i="63"/>
  <c r="R49" i="63"/>
  <c r="L49" i="63"/>
  <c r="N49" i="63" s="1"/>
  <c r="B49" i="63"/>
  <c r="X48" i="63"/>
  <c r="Z48" i="63" s="1"/>
  <c r="V48" i="63"/>
  <c r="L48" i="63"/>
  <c r="N48" i="63" s="1"/>
  <c r="J48" i="63"/>
  <c r="B48" i="63"/>
  <c r="X47" i="63"/>
  <c r="Z47" i="63" s="1"/>
  <c r="V47" i="63"/>
  <c r="T47" i="63"/>
  <c r="P47" i="63"/>
  <c r="H47" i="63"/>
  <c r="D47" i="63"/>
  <c r="L47" i="63" s="1"/>
  <c r="B47" i="63"/>
  <c r="X46" i="63"/>
  <c r="Z46" i="63" s="1"/>
  <c r="L46" i="63"/>
  <c r="N46" i="63" s="1"/>
  <c r="B46" i="63"/>
  <c r="X45" i="63"/>
  <c r="Z45" i="63" s="1"/>
  <c r="V45" i="63"/>
  <c r="N45" i="63"/>
  <c r="L45" i="63"/>
  <c r="B45" i="63"/>
  <c r="X44" i="63"/>
  <c r="Z44" i="63" s="1"/>
  <c r="V44" i="63"/>
  <c r="T44" i="63"/>
  <c r="P44" i="63"/>
  <c r="L44" i="63"/>
  <c r="N44" i="63" s="1"/>
  <c r="H44" i="63"/>
  <c r="D44" i="63"/>
  <c r="B44" i="63"/>
  <c r="X43" i="63"/>
  <c r="Z43" i="63" s="1"/>
  <c r="L43" i="63"/>
  <c r="N43" i="63" s="1"/>
  <c r="J43" i="63"/>
  <c r="B43" i="63"/>
  <c r="V42" i="63"/>
  <c r="T42" i="63"/>
  <c r="R42" i="63"/>
  <c r="P42" i="63"/>
  <c r="H42" i="63"/>
  <c r="D42" i="63"/>
  <c r="B42" i="63"/>
  <c r="Z41" i="63"/>
  <c r="X41" i="63"/>
  <c r="V41" i="63"/>
  <c r="R41" i="63"/>
  <c r="N41" i="63"/>
  <c r="L41" i="63"/>
  <c r="B41" i="63"/>
  <c r="X40" i="63"/>
  <c r="Z40" i="63" s="1"/>
  <c r="V40" i="63"/>
  <c r="L40" i="63"/>
  <c r="N40" i="63" s="1"/>
  <c r="J40" i="63"/>
  <c r="B40" i="63"/>
  <c r="X39" i="63"/>
  <c r="Z39" i="63" s="1"/>
  <c r="V39" i="63"/>
  <c r="T39" i="63"/>
  <c r="P39" i="63"/>
  <c r="J39" i="63"/>
  <c r="H39" i="63"/>
  <c r="D39" i="63"/>
  <c r="L39" i="63" s="1"/>
  <c r="B39" i="63"/>
  <c r="X38" i="63"/>
  <c r="Z38" i="63" s="1"/>
  <c r="L38" i="63"/>
  <c r="N38" i="63" s="1"/>
  <c r="B38" i="63"/>
  <c r="V37" i="63"/>
  <c r="T37" i="63"/>
  <c r="X37" i="63" s="1"/>
  <c r="R37" i="63"/>
  <c r="P37" i="63"/>
  <c r="H37" i="63"/>
  <c r="D37" i="63"/>
  <c r="L37" i="63" s="1"/>
  <c r="B37" i="63"/>
  <c r="X36" i="63"/>
  <c r="Z36" i="63" s="1"/>
  <c r="V36" i="63"/>
  <c r="R36" i="63"/>
  <c r="N36" i="63"/>
  <c r="L36" i="63"/>
  <c r="B36" i="63"/>
  <c r="X35" i="63"/>
  <c r="Z35" i="63" s="1"/>
  <c r="L35" i="63"/>
  <c r="N35" i="63" s="1"/>
  <c r="J35" i="63"/>
  <c r="B35" i="63"/>
  <c r="X34" i="63"/>
  <c r="Z34" i="63" s="1"/>
  <c r="V34" i="63"/>
  <c r="N34" i="63"/>
  <c r="L34" i="63"/>
  <c r="B34" i="63"/>
  <c r="Z33" i="63"/>
  <c r="X33" i="63"/>
  <c r="V33" i="63"/>
  <c r="N33" i="63"/>
  <c r="L33" i="63"/>
  <c r="J33" i="63"/>
  <c r="F33" i="63"/>
  <c r="B33" i="63"/>
  <c r="X32" i="63"/>
  <c r="Z32" i="63" s="1"/>
  <c r="V32" i="63"/>
  <c r="R32" i="63"/>
  <c r="N32" i="63"/>
  <c r="L32" i="63"/>
  <c r="B32" i="63"/>
  <c r="X31" i="63"/>
  <c r="Z31" i="63" s="1"/>
  <c r="L31" i="63"/>
  <c r="N31" i="63" s="1"/>
  <c r="J31" i="63"/>
  <c r="B31" i="63"/>
  <c r="X30" i="63"/>
  <c r="Z30" i="63" s="1"/>
  <c r="V30" i="63"/>
  <c r="N30" i="63"/>
  <c r="L30" i="63"/>
  <c r="B30" i="63"/>
  <c r="V29" i="63"/>
  <c r="T29" i="63"/>
  <c r="P29" i="63"/>
  <c r="X29" i="63" s="1"/>
  <c r="Z29" i="63" s="1"/>
  <c r="L29" i="63"/>
  <c r="N29" i="63" s="1"/>
  <c r="H29" i="63"/>
  <c r="D29" i="63"/>
  <c r="B29" i="63"/>
  <c r="X28" i="63"/>
  <c r="Z28" i="63" s="1"/>
  <c r="V28" i="63"/>
  <c r="L28" i="63"/>
  <c r="N28" i="63" s="1"/>
  <c r="J28" i="63"/>
  <c r="B28" i="63"/>
  <c r="X27" i="63"/>
  <c r="Z27" i="63" s="1"/>
  <c r="V27" i="63"/>
  <c r="L27" i="63"/>
  <c r="N27" i="63" s="1"/>
  <c r="B27" i="63"/>
  <c r="Z26" i="63"/>
  <c r="X26" i="63"/>
  <c r="V26" i="63"/>
  <c r="L26" i="63"/>
  <c r="N26" i="63" s="1"/>
  <c r="B26" i="63"/>
  <c r="Z25" i="63"/>
  <c r="X25" i="63"/>
  <c r="V25" i="63"/>
  <c r="R25" i="63"/>
  <c r="N25" i="63"/>
  <c r="L25" i="63"/>
  <c r="J25" i="63"/>
  <c r="B25" i="63"/>
  <c r="X24" i="63"/>
  <c r="Z24" i="63" s="1"/>
  <c r="V24" i="63"/>
  <c r="L24" i="63"/>
  <c r="N24" i="63" s="1"/>
  <c r="J24" i="63"/>
  <c r="B24" i="63"/>
  <c r="X23" i="63"/>
  <c r="Z23" i="63" s="1"/>
  <c r="V23" i="63"/>
  <c r="L23" i="63"/>
  <c r="N23" i="63" s="1"/>
  <c r="B23" i="63"/>
  <c r="Z22" i="63"/>
  <c r="X22" i="63"/>
  <c r="V22" i="63"/>
  <c r="R22" i="63"/>
  <c r="L22" i="63"/>
  <c r="N22" i="63" s="1"/>
  <c r="B22" i="63"/>
  <c r="Z21" i="63"/>
  <c r="X21" i="63"/>
  <c r="V21" i="63"/>
  <c r="R21" i="63"/>
  <c r="L21" i="63"/>
  <c r="N21" i="63" s="1"/>
  <c r="J21" i="63"/>
  <c r="B21" i="63"/>
  <c r="X20" i="63"/>
  <c r="Z20" i="63" s="1"/>
  <c r="V20" i="63"/>
  <c r="L20" i="63"/>
  <c r="N20" i="63" s="1"/>
  <c r="J20" i="63"/>
  <c r="B20" i="63"/>
  <c r="X19" i="63"/>
  <c r="Z19" i="63" s="1"/>
  <c r="V19" i="63"/>
  <c r="T19" i="63"/>
  <c r="P19" i="63"/>
  <c r="J19" i="63"/>
  <c r="H19" i="63"/>
  <c r="D19" i="63"/>
  <c r="B19" i="63"/>
  <c r="T18" i="63"/>
  <c r="P18" i="63"/>
  <c r="X18" i="63" s="1"/>
  <c r="Z18" i="63" s="1"/>
  <c r="J18" i="63"/>
  <c r="H18" i="63"/>
  <c r="D18" i="63"/>
  <c r="L18" i="63" s="1"/>
  <c r="N18" i="63" s="1"/>
  <c r="J16" i="63"/>
  <c r="Z14" i="63"/>
  <c r="X14" i="63"/>
  <c r="T14" i="63"/>
  <c r="T16" i="63" s="1"/>
  <c r="P14" i="63"/>
  <c r="P16" i="63" s="1"/>
  <c r="P100" i="63" s="1"/>
  <c r="N14" i="63"/>
  <c r="J14" i="63"/>
  <c r="H14" i="63"/>
  <c r="D14" i="63"/>
  <c r="L14" i="63" s="1"/>
  <c r="Z12" i="63"/>
  <c r="X12" i="63"/>
  <c r="T12" i="63"/>
  <c r="V90" i="63" s="1"/>
  <c r="P12" i="63"/>
  <c r="R64" i="63" s="1"/>
  <c r="L12" i="63"/>
  <c r="H12" i="63"/>
  <c r="J107" i="63" s="1"/>
  <c r="D12" i="63"/>
  <c r="F96" i="63" s="1"/>
  <c r="D6" i="63"/>
  <c r="D4" i="63"/>
  <c r="R52" i="61"/>
  <c r="Z50" i="61"/>
  <c r="X50" i="61"/>
  <c r="N50" i="61"/>
  <c r="L50" i="61"/>
  <c r="F50" i="61"/>
  <c r="Z46" i="61"/>
  <c r="T46" i="61"/>
  <c r="P46" i="61"/>
  <c r="X46" i="61" s="1"/>
  <c r="N46" i="61"/>
  <c r="L46" i="61"/>
  <c r="H46" i="61"/>
  <c r="D46" i="61"/>
  <c r="X44" i="61"/>
  <c r="Z44" i="61" s="1"/>
  <c r="N44" i="61"/>
  <c r="L44" i="61"/>
  <c r="F44" i="61"/>
  <c r="B44" i="61"/>
  <c r="T43" i="61"/>
  <c r="R43" i="61"/>
  <c r="P43" i="61"/>
  <c r="N43" i="61"/>
  <c r="H43" i="61"/>
  <c r="F43" i="61"/>
  <c r="D43" i="61"/>
  <c r="L43" i="61" s="1"/>
  <c r="B43" i="61"/>
  <c r="X42" i="61"/>
  <c r="Z42" i="61" s="1"/>
  <c r="L42" i="61"/>
  <c r="N42" i="61" s="1"/>
  <c r="F42" i="61"/>
  <c r="B42" i="61"/>
  <c r="T41" i="61"/>
  <c r="P41" i="61"/>
  <c r="X41" i="61" s="1"/>
  <c r="Z41" i="61" s="1"/>
  <c r="H41" i="61"/>
  <c r="F41" i="61"/>
  <c r="D41" i="61"/>
  <c r="L41" i="61" s="1"/>
  <c r="N41" i="61" s="1"/>
  <c r="B41" i="61"/>
  <c r="Z40" i="61"/>
  <c r="X40" i="61"/>
  <c r="N40" i="61"/>
  <c r="L40" i="61"/>
  <c r="F40" i="61"/>
  <c r="B40" i="61"/>
  <c r="Z39" i="61"/>
  <c r="X39" i="61"/>
  <c r="V39" i="61"/>
  <c r="R39" i="61"/>
  <c r="L39" i="61"/>
  <c r="N39" i="61" s="1"/>
  <c r="F39" i="61"/>
  <c r="B39" i="61"/>
  <c r="T38" i="61"/>
  <c r="P38" i="61"/>
  <c r="H38" i="61"/>
  <c r="N38" i="61" s="1"/>
  <c r="F38" i="61"/>
  <c r="D38" i="61"/>
  <c r="L38" i="61" s="1"/>
  <c r="B38" i="61"/>
  <c r="Z37" i="61"/>
  <c r="X37" i="61"/>
  <c r="L37" i="61"/>
  <c r="N37" i="61" s="1"/>
  <c r="F37" i="61"/>
  <c r="B37" i="61"/>
  <c r="T36" i="61"/>
  <c r="Z36" i="61" s="1"/>
  <c r="P36" i="61"/>
  <c r="X36" i="61" s="1"/>
  <c r="L36" i="61"/>
  <c r="N36" i="61" s="1"/>
  <c r="H36" i="61"/>
  <c r="F36" i="61"/>
  <c r="D36" i="61"/>
  <c r="B36" i="61"/>
  <c r="Z35" i="61"/>
  <c r="X35" i="61"/>
  <c r="N35" i="61"/>
  <c r="L35" i="61"/>
  <c r="F35" i="61"/>
  <c r="B35" i="61"/>
  <c r="T34" i="61"/>
  <c r="P34" i="61"/>
  <c r="H34" i="61"/>
  <c r="F34" i="61"/>
  <c r="D34" i="61"/>
  <c r="B34" i="61"/>
  <c r="Z33" i="61"/>
  <c r="X33" i="61"/>
  <c r="N33" i="61"/>
  <c r="L33" i="61"/>
  <c r="B33" i="61"/>
  <c r="T32" i="61"/>
  <c r="Z32" i="61" s="1"/>
  <c r="R32" i="61"/>
  <c r="P32" i="61"/>
  <c r="X32" i="61" s="1"/>
  <c r="L32" i="61"/>
  <c r="H32" i="61"/>
  <c r="F32" i="61"/>
  <c r="D32" i="61"/>
  <c r="B32" i="61"/>
  <c r="X31" i="61"/>
  <c r="Z31" i="61" s="1"/>
  <c r="N31" i="61"/>
  <c r="L31" i="61"/>
  <c r="B31" i="61"/>
  <c r="X30" i="61"/>
  <c r="Z30" i="61" s="1"/>
  <c r="L30" i="61"/>
  <c r="N30" i="61" s="1"/>
  <c r="F30" i="61"/>
  <c r="B30" i="61"/>
  <c r="Z29" i="61"/>
  <c r="X29" i="61"/>
  <c r="N29" i="61"/>
  <c r="L29" i="61"/>
  <c r="F29" i="61"/>
  <c r="B29" i="61"/>
  <c r="X28" i="61"/>
  <c r="Z28" i="61" s="1"/>
  <c r="L28" i="61"/>
  <c r="N28" i="61" s="1"/>
  <c r="F28" i="61"/>
  <c r="B28" i="61"/>
  <c r="T27" i="61"/>
  <c r="R27" i="61"/>
  <c r="P27" i="61"/>
  <c r="H27" i="61"/>
  <c r="N27" i="61" s="1"/>
  <c r="F27" i="61"/>
  <c r="D27" i="61"/>
  <c r="L27" i="61" s="1"/>
  <c r="B27" i="61"/>
  <c r="X26" i="61"/>
  <c r="Z26" i="61" s="1"/>
  <c r="R26" i="61"/>
  <c r="L26" i="61"/>
  <c r="N26" i="61" s="1"/>
  <c r="F26" i="61"/>
  <c r="B26" i="61"/>
  <c r="X25" i="61"/>
  <c r="Z25" i="61" s="1"/>
  <c r="N25" i="61"/>
  <c r="L25" i="61"/>
  <c r="B25" i="61"/>
  <c r="X24" i="61"/>
  <c r="Z24" i="61" s="1"/>
  <c r="V24" i="61"/>
  <c r="R24" i="61"/>
  <c r="N24" i="61"/>
  <c r="L24" i="61"/>
  <c r="F24" i="61"/>
  <c r="B24" i="61"/>
  <c r="Z23" i="61"/>
  <c r="X23" i="61"/>
  <c r="N23" i="61"/>
  <c r="L23" i="61"/>
  <c r="F23" i="61"/>
  <c r="B23" i="61"/>
  <c r="X22" i="61"/>
  <c r="Z22" i="61" s="1"/>
  <c r="L22" i="61"/>
  <c r="N22" i="61" s="1"/>
  <c r="F22" i="61"/>
  <c r="B22" i="61"/>
  <c r="Z21" i="61"/>
  <c r="X21" i="61"/>
  <c r="R21" i="61"/>
  <c r="L21" i="61"/>
  <c r="N21" i="61" s="1"/>
  <c r="B21" i="61"/>
  <c r="Z20" i="61"/>
  <c r="X20" i="61"/>
  <c r="V20" i="61"/>
  <c r="N20" i="61"/>
  <c r="L20" i="61"/>
  <c r="F20" i="61"/>
  <c r="B20" i="61"/>
  <c r="Z19" i="61"/>
  <c r="T19" i="61"/>
  <c r="R19" i="61"/>
  <c r="P19" i="61"/>
  <c r="X19" i="61" s="1"/>
  <c r="H19" i="61"/>
  <c r="F19" i="61"/>
  <c r="D19" i="61"/>
  <c r="L19" i="61" s="1"/>
  <c r="N19" i="61" s="1"/>
  <c r="B19" i="61"/>
  <c r="V18" i="61"/>
  <c r="T18" i="61"/>
  <c r="T48" i="61" s="1"/>
  <c r="P18" i="61"/>
  <c r="J18" i="61"/>
  <c r="H18" i="61"/>
  <c r="F18" i="61"/>
  <c r="D18" i="61"/>
  <c r="V16" i="61"/>
  <c r="T16" i="61"/>
  <c r="Z16" i="61" s="1"/>
  <c r="R16" i="61"/>
  <c r="F16" i="61"/>
  <c r="V14" i="61"/>
  <c r="T14" i="61"/>
  <c r="Z14" i="61" s="1"/>
  <c r="R14" i="61"/>
  <c r="P14" i="61"/>
  <c r="X14" i="61" s="1"/>
  <c r="N14" i="61"/>
  <c r="H14" i="61"/>
  <c r="F14" i="61"/>
  <c r="D14" i="61"/>
  <c r="L14" i="61" s="1"/>
  <c r="X12" i="61"/>
  <c r="T12" i="61"/>
  <c r="V23" i="61" s="1"/>
  <c r="P12" i="61"/>
  <c r="R42" i="61" s="1"/>
  <c r="H12" i="61"/>
  <c r="J46" i="61" s="1"/>
  <c r="D12" i="61"/>
  <c r="F48" i="61" s="1"/>
  <c r="D6" i="61"/>
  <c r="D4" i="61"/>
  <c r="Z52" i="60"/>
  <c r="X52" i="60"/>
  <c r="R52" i="60"/>
  <c r="N52" i="60"/>
  <c r="L52" i="60"/>
  <c r="T48" i="60"/>
  <c r="Z48" i="60" s="1"/>
  <c r="P48" i="60"/>
  <c r="H48" i="60"/>
  <c r="N48" i="60" s="1"/>
  <c r="F48" i="60"/>
  <c r="D48" i="60"/>
  <c r="L48" i="60" s="1"/>
  <c r="Z46" i="60"/>
  <c r="X46" i="60"/>
  <c r="N46" i="60"/>
  <c r="L46" i="60"/>
  <c r="B46" i="60"/>
  <c r="V45" i="60"/>
  <c r="T45" i="60"/>
  <c r="P45" i="60"/>
  <c r="N45" i="60"/>
  <c r="H45" i="60"/>
  <c r="D45" i="60"/>
  <c r="L45" i="60" s="1"/>
  <c r="B45" i="60"/>
  <c r="X44" i="60"/>
  <c r="Z44" i="60" s="1"/>
  <c r="V44" i="60"/>
  <c r="L44" i="60"/>
  <c r="N44" i="60" s="1"/>
  <c r="F44" i="60"/>
  <c r="B44" i="60"/>
  <c r="T43" i="60"/>
  <c r="Z43" i="60" s="1"/>
  <c r="P43" i="60"/>
  <c r="X43" i="60" s="1"/>
  <c r="H43" i="60"/>
  <c r="L43" i="60" s="1"/>
  <c r="F43" i="60"/>
  <c r="D43" i="60"/>
  <c r="B43" i="60"/>
  <c r="Z42" i="60"/>
  <c r="X42" i="60"/>
  <c r="V42" i="60"/>
  <c r="N42" i="60"/>
  <c r="L42" i="60"/>
  <c r="B42" i="60"/>
  <c r="Z41" i="60"/>
  <c r="X41" i="60"/>
  <c r="N41" i="60"/>
  <c r="L41" i="60"/>
  <c r="F41" i="60"/>
  <c r="B41" i="60"/>
  <c r="X40" i="60"/>
  <c r="Z40" i="60" s="1"/>
  <c r="N40" i="60"/>
  <c r="L40" i="60"/>
  <c r="B40" i="60"/>
  <c r="X39" i="60"/>
  <c r="Z39" i="60" s="1"/>
  <c r="T39" i="60"/>
  <c r="P39" i="60"/>
  <c r="N39" i="60"/>
  <c r="H39" i="60"/>
  <c r="D39" i="60"/>
  <c r="B39" i="60"/>
  <c r="X38" i="60"/>
  <c r="Z38" i="60" s="1"/>
  <c r="N38" i="60"/>
  <c r="L38" i="60"/>
  <c r="B38" i="60"/>
  <c r="V37" i="60"/>
  <c r="T37" i="60"/>
  <c r="R37" i="60"/>
  <c r="P37" i="60"/>
  <c r="X37" i="60" s="1"/>
  <c r="H37" i="60"/>
  <c r="N37" i="60" s="1"/>
  <c r="D37" i="60"/>
  <c r="B37" i="60"/>
  <c r="X36" i="60"/>
  <c r="Z36" i="60" s="1"/>
  <c r="V36" i="60"/>
  <c r="R36" i="60"/>
  <c r="N36" i="60"/>
  <c r="L36" i="60"/>
  <c r="B36" i="60"/>
  <c r="X35" i="60"/>
  <c r="Z35" i="60" s="1"/>
  <c r="V35" i="60"/>
  <c r="L35" i="60"/>
  <c r="N35" i="60" s="1"/>
  <c r="J35" i="60"/>
  <c r="B35" i="60"/>
  <c r="V34" i="60"/>
  <c r="T34" i="60"/>
  <c r="P34" i="60"/>
  <c r="X34" i="60" s="1"/>
  <c r="Z34" i="60" s="1"/>
  <c r="H34" i="60"/>
  <c r="D34" i="60"/>
  <c r="B34" i="60"/>
  <c r="X33" i="60"/>
  <c r="Z33" i="60" s="1"/>
  <c r="N33" i="60"/>
  <c r="L33" i="60"/>
  <c r="F33" i="60"/>
  <c r="B33" i="60"/>
  <c r="X32" i="60"/>
  <c r="V32" i="60"/>
  <c r="T32" i="60"/>
  <c r="Z32" i="60" s="1"/>
  <c r="R32" i="60"/>
  <c r="P32" i="60"/>
  <c r="H32" i="60"/>
  <c r="F32" i="60"/>
  <c r="D32" i="60"/>
  <c r="L32" i="60" s="1"/>
  <c r="B32" i="60"/>
  <c r="X31" i="60"/>
  <c r="Z31" i="60" s="1"/>
  <c r="R31" i="60"/>
  <c r="L31" i="60"/>
  <c r="N31" i="60" s="1"/>
  <c r="B31" i="60"/>
  <c r="X30" i="60"/>
  <c r="Z30" i="60" s="1"/>
  <c r="T30" i="60"/>
  <c r="P30" i="60"/>
  <c r="H30" i="60"/>
  <c r="D30" i="60"/>
  <c r="L30" i="60" s="1"/>
  <c r="N30" i="60" s="1"/>
  <c r="B30" i="60"/>
  <c r="Z29" i="60"/>
  <c r="X29" i="60"/>
  <c r="L29" i="60"/>
  <c r="N29" i="60" s="1"/>
  <c r="B29" i="60"/>
  <c r="V28" i="60"/>
  <c r="T28" i="60"/>
  <c r="P28" i="60"/>
  <c r="H28" i="60"/>
  <c r="D28" i="60"/>
  <c r="L28" i="60" s="1"/>
  <c r="N28" i="60" s="1"/>
  <c r="B28" i="60"/>
  <c r="X27" i="60"/>
  <c r="Z27" i="60" s="1"/>
  <c r="V27" i="60"/>
  <c r="L27" i="60"/>
  <c r="N27" i="60" s="1"/>
  <c r="F27" i="60"/>
  <c r="B27" i="60"/>
  <c r="X26" i="60"/>
  <c r="Z26" i="60" s="1"/>
  <c r="R26" i="60"/>
  <c r="L26" i="60"/>
  <c r="N26" i="60" s="1"/>
  <c r="B26" i="60"/>
  <c r="X25" i="60"/>
  <c r="Z25" i="60" s="1"/>
  <c r="N25" i="60"/>
  <c r="L25" i="60"/>
  <c r="F25" i="60"/>
  <c r="B25" i="60"/>
  <c r="X24" i="60"/>
  <c r="Z24" i="60" s="1"/>
  <c r="V24" i="60"/>
  <c r="N24" i="60"/>
  <c r="L24" i="60"/>
  <c r="F24" i="60"/>
  <c r="B24" i="60"/>
  <c r="X23" i="60"/>
  <c r="Z23" i="60" s="1"/>
  <c r="V23" i="60"/>
  <c r="L23" i="60"/>
  <c r="N23" i="60" s="1"/>
  <c r="F23" i="60"/>
  <c r="B23" i="60"/>
  <c r="X22" i="60"/>
  <c r="Z22" i="60" s="1"/>
  <c r="R22" i="60"/>
  <c r="L22" i="60"/>
  <c r="N22" i="60" s="1"/>
  <c r="B22" i="60"/>
  <c r="X21" i="60"/>
  <c r="Z21" i="60" s="1"/>
  <c r="N21" i="60"/>
  <c r="L21" i="60"/>
  <c r="F21" i="60"/>
  <c r="B21" i="60"/>
  <c r="X20" i="60"/>
  <c r="Z20" i="60" s="1"/>
  <c r="V20" i="60"/>
  <c r="N20" i="60"/>
  <c r="L20" i="60"/>
  <c r="F20" i="60"/>
  <c r="B20" i="60"/>
  <c r="X19" i="60"/>
  <c r="Z19" i="60" s="1"/>
  <c r="V19" i="60"/>
  <c r="T19" i="60"/>
  <c r="P19" i="60"/>
  <c r="L19" i="60"/>
  <c r="H19" i="60"/>
  <c r="N19" i="60" s="1"/>
  <c r="F19" i="60"/>
  <c r="D19" i="60"/>
  <c r="B19" i="60"/>
  <c r="X18" i="60"/>
  <c r="Z18" i="60" s="1"/>
  <c r="T18" i="60"/>
  <c r="R18" i="60"/>
  <c r="P18" i="60"/>
  <c r="H18" i="60"/>
  <c r="D18" i="60"/>
  <c r="R16" i="60"/>
  <c r="Z14" i="60"/>
  <c r="X14" i="60"/>
  <c r="T14" i="60"/>
  <c r="T16" i="60" s="1"/>
  <c r="R14" i="60"/>
  <c r="P14" i="60"/>
  <c r="H14" i="60"/>
  <c r="N14" i="60" s="1"/>
  <c r="F14" i="60"/>
  <c r="D14" i="60"/>
  <c r="L14" i="60" s="1"/>
  <c r="Z12" i="60"/>
  <c r="X12" i="60"/>
  <c r="T12" i="60"/>
  <c r="P12" i="60"/>
  <c r="R38" i="60" s="1"/>
  <c r="H12" i="60"/>
  <c r="J46" i="60" s="1"/>
  <c r="D12" i="60"/>
  <c r="F26" i="60" s="1"/>
  <c r="D6" i="60"/>
  <c r="D4" i="60"/>
  <c r="Z62" i="59"/>
  <c r="X62" i="59"/>
  <c r="R62" i="59"/>
  <c r="N62" i="59"/>
  <c r="L62" i="59"/>
  <c r="T58" i="59"/>
  <c r="Z58" i="59" s="1"/>
  <c r="P58" i="59"/>
  <c r="X58" i="59" s="1"/>
  <c r="N58" i="59"/>
  <c r="L58" i="59"/>
  <c r="H58" i="59"/>
  <c r="D58" i="59"/>
  <c r="Z56" i="59"/>
  <c r="X56" i="59"/>
  <c r="N56" i="59"/>
  <c r="L56" i="59"/>
  <c r="F56" i="59"/>
  <c r="B56" i="59"/>
  <c r="X55" i="59"/>
  <c r="Z55" i="59" s="1"/>
  <c r="L55" i="59"/>
  <c r="N55" i="59" s="1"/>
  <c r="B55" i="59"/>
  <c r="X54" i="59"/>
  <c r="Z54" i="59" s="1"/>
  <c r="T54" i="59"/>
  <c r="P54" i="59"/>
  <c r="H54" i="59"/>
  <c r="D54" i="59"/>
  <c r="L54" i="59" s="1"/>
  <c r="B54" i="59"/>
  <c r="Z53" i="59"/>
  <c r="X53" i="59"/>
  <c r="L53" i="59"/>
  <c r="N53" i="59" s="1"/>
  <c r="B53" i="59"/>
  <c r="T52" i="59"/>
  <c r="P52" i="59"/>
  <c r="H52" i="59"/>
  <c r="D52" i="59"/>
  <c r="L52" i="59" s="1"/>
  <c r="N52" i="59" s="1"/>
  <c r="B52" i="59"/>
  <c r="Z51" i="59"/>
  <c r="X51" i="59"/>
  <c r="V51" i="59"/>
  <c r="L51" i="59"/>
  <c r="N51" i="59" s="1"/>
  <c r="B51" i="59"/>
  <c r="X50" i="59"/>
  <c r="Z50" i="59" s="1"/>
  <c r="L50" i="59"/>
  <c r="N50" i="59" s="1"/>
  <c r="B50" i="59"/>
  <c r="X49" i="59"/>
  <c r="Z49" i="59" s="1"/>
  <c r="T49" i="59"/>
  <c r="P49" i="59"/>
  <c r="N49" i="59"/>
  <c r="L49" i="59"/>
  <c r="J49" i="59"/>
  <c r="H49" i="59"/>
  <c r="D49" i="59"/>
  <c r="B49" i="59"/>
  <c r="Z48" i="59"/>
  <c r="X48" i="59"/>
  <c r="L48" i="59"/>
  <c r="N48" i="59" s="1"/>
  <c r="F48" i="59"/>
  <c r="B48" i="59"/>
  <c r="T47" i="59"/>
  <c r="P47" i="59"/>
  <c r="J47" i="59"/>
  <c r="H47" i="59"/>
  <c r="F47" i="59"/>
  <c r="D47" i="59"/>
  <c r="L47" i="59" s="1"/>
  <c r="N47" i="59" s="1"/>
  <c r="B47" i="59"/>
  <c r="Z46" i="59"/>
  <c r="X46" i="59"/>
  <c r="N46" i="59"/>
  <c r="L46" i="59"/>
  <c r="F46" i="59"/>
  <c r="B46" i="59"/>
  <c r="Z45" i="59"/>
  <c r="X45" i="59"/>
  <c r="L45" i="59"/>
  <c r="N45" i="59" s="1"/>
  <c r="B45" i="59"/>
  <c r="X44" i="59"/>
  <c r="Z44" i="59" s="1"/>
  <c r="V44" i="59"/>
  <c r="R44" i="59"/>
  <c r="L44" i="59"/>
  <c r="N44" i="59" s="1"/>
  <c r="B44" i="59"/>
  <c r="V43" i="59"/>
  <c r="T43" i="59"/>
  <c r="P43" i="59"/>
  <c r="X43" i="59" s="1"/>
  <c r="N43" i="59"/>
  <c r="H43" i="59"/>
  <c r="D43" i="59"/>
  <c r="L43" i="59" s="1"/>
  <c r="B43" i="59"/>
  <c r="X42" i="59"/>
  <c r="Z42" i="59" s="1"/>
  <c r="L42" i="59"/>
  <c r="N42" i="59" s="1"/>
  <c r="B42" i="59"/>
  <c r="X41" i="59"/>
  <c r="Z41" i="59" s="1"/>
  <c r="T41" i="59"/>
  <c r="P41" i="59"/>
  <c r="N41" i="59"/>
  <c r="L41" i="59"/>
  <c r="J41" i="59"/>
  <c r="H41" i="59"/>
  <c r="D41" i="59"/>
  <c r="B41" i="59"/>
  <c r="Z40" i="59"/>
  <c r="X40" i="59"/>
  <c r="N40" i="59"/>
  <c r="L40" i="59"/>
  <c r="J40" i="59"/>
  <c r="F40" i="59"/>
  <c r="B40" i="59"/>
  <c r="T39" i="59"/>
  <c r="Z39" i="59" s="1"/>
  <c r="P39" i="59"/>
  <c r="N39" i="59"/>
  <c r="J39" i="59"/>
  <c r="H39" i="59"/>
  <c r="F39" i="59"/>
  <c r="D39" i="59"/>
  <c r="L39" i="59" s="1"/>
  <c r="B39" i="59"/>
  <c r="Z38" i="59"/>
  <c r="X38" i="59"/>
  <c r="V38" i="59"/>
  <c r="L38" i="59"/>
  <c r="N38" i="59" s="1"/>
  <c r="F38" i="59"/>
  <c r="B38" i="59"/>
  <c r="T37" i="59"/>
  <c r="P37" i="59"/>
  <c r="X37" i="59" s="1"/>
  <c r="Z37" i="59" s="1"/>
  <c r="J37" i="59"/>
  <c r="H37" i="59"/>
  <c r="F37" i="59"/>
  <c r="D37" i="59"/>
  <c r="L37" i="59" s="1"/>
  <c r="B37" i="59"/>
  <c r="X36" i="59"/>
  <c r="Z36" i="59" s="1"/>
  <c r="N36" i="59"/>
  <c r="L36" i="59"/>
  <c r="F36" i="59"/>
  <c r="B36" i="59"/>
  <c r="Z35" i="59"/>
  <c r="X35" i="59"/>
  <c r="V35" i="59"/>
  <c r="T35" i="59"/>
  <c r="P35" i="59"/>
  <c r="N35" i="59"/>
  <c r="L35" i="59"/>
  <c r="H35" i="59"/>
  <c r="F35" i="59"/>
  <c r="D35" i="59"/>
  <c r="B35" i="59"/>
  <c r="X34" i="59"/>
  <c r="Z34" i="59" s="1"/>
  <c r="N34" i="59"/>
  <c r="L34" i="59"/>
  <c r="J34" i="59"/>
  <c r="B34" i="59"/>
  <c r="Z33" i="59"/>
  <c r="X33" i="59"/>
  <c r="V33" i="59"/>
  <c r="N33" i="59"/>
  <c r="L33" i="59"/>
  <c r="B33" i="59"/>
  <c r="Z32" i="59"/>
  <c r="X32" i="59"/>
  <c r="L32" i="59"/>
  <c r="N32" i="59" s="1"/>
  <c r="J32" i="59"/>
  <c r="F32" i="59"/>
  <c r="B32" i="59"/>
  <c r="X31" i="59"/>
  <c r="Z31" i="59" s="1"/>
  <c r="L31" i="59"/>
  <c r="N31" i="59" s="1"/>
  <c r="J31" i="59"/>
  <c r="B31" i="59"/>
  <c r="X30" i="59"/>
  <c r="Z30" i="59" s="1"/>
  <c r="N30" i="59"/>
  <c r="L30" i="59"/>
  <c r="J30" i="59"/>
  <c r="B30" i="59"/>
  <c r="V29" i="59"/>
  <c r="T29" i="59"/>
  <c r="R29" i="59"/>
  <c r="P29" i="59"/>
  <c r="X29" i="59" s="1"/>
  <c r="Z29" i="59" s="1"/>
  <c r="H29" i="59"/>
  <c r="D29" i="59"/>
  <c r="B29" i="59"/>
  <c r="X28" i="59"/>
  <c r="Z28" i="59" s="1"/>
  <c r="V28" i="59"/>
  <c r="R28" i="59"/>
  <c r="L28" i="59"/>
  <c r="N28" i="59" s="1"/>
  <c r="J28" i="59"/>
  <c r="B28" i="59"/>
  <c r="X27" i="59"/>
  <c r="Z27" i="59" s="1"/>
  <c r="V27" i="59"/>
  <c r="N27" i="59"/>
  <c r="L27" i="59"/>
  <c r="J27" i="59"/>
  <c r="B27" i="59"/>
  <c r="Z26" i="59"/>
  <c r="X26" i="59"/>
  <c r="V26" i="59"/>
  <c r="L26" i="59"/>
  <c r="N26" i="59" s="1"/>
  <c r="F26" i="59"/>
  <c r="B26" i="59"/>
  <c r="Z25" i="59"/>
  <c r="X25" i="59"/>
  <c r="L25" i="59"/>
  <c r="N25" i="59" s="1"/>
  <c r="B25" i="59"/>
  <c r="X24" i="59"/>
  <c r="Z24" i="59" s="1"/>
  <c r="V24" i="59"/>
  <c r="R24" i="59"/>
  <c r="L24" i="59"/>
  <c r="N24" i="59" s="1"/>
  <c r="J24" i="59"/>
  <c r="B24" i="59"/>
  <c r="X23" i="59"/>
  <c r="Z23" i="59" s="1"/>
  <c r="V23" i="59"/>
  <c r="N23" i="59"/>
  <c r="L23" i="59"/>
  <c r="J23" i="59"/>
  <c r="B23" i="59"/>
  <c r="Z22" i="59"/>
  <c r="X22" i="59"/>
  <c r="V22" i="59"/>
  <c r="L22" i="59"/>
  <c r="N22" i="59" s="1"/>
  <c r="F22" i="59"/>
  <c r="B22" i="59"/>
  <c r="Z21" i="59"/>
  <c r="X21" i="59"/>
  <c r="V21" i="59"/>
  <c r="L21" i="59"/>
  <c r="N21" i="59" s="1"/>
  <c r="B21" i="59"/>
  <c r="X20" i="59"/>
  <c r="Z20" i="59" s="1"/>
  <c r="V20" i="59"/>
  <c r="R20" i="59"/>
  <c r="L20" i="59"/>
  <c r="N20" i="59" s="1"/>
  <c r="J20" i="59"/>
  <c r="B20" i="59"/>
  <c r="V19" i="59"/>
  <c r="T19" i="59"/>
  <c r="P19" i="59"/>
  <c r="X19" i="59" s="1"/>
  <c r="J19" i="59"/>
  <c r="H19" i="59"/>
  <c r="D19" i="59"/>
  <c r="L19" i="59" s="1"/>
  <c r="N19" i="59" s="1"/>
  <c r="B19" i="59"/>
  <c r="T18" i="59"/>
  <c r="P18" i="59"/>
  <c r="J18" i="59"/>
  <c r="H18" i="59"/>
  <c r="F18" i="59"/>
  <c r="D18" i="59"/>
  <c r="J16" i="59"/>
  <c r="F16" i="59"/>
  <c r="T14" i="59"/>
  <c r="Z14" i="59" s="1"/>
  <c r="P14" i="59"/>
  <c r="X14" i="59" s="1"/>
  <c r="J14" i="59"/>
  <c r="H14" i="59"/>
  <c r="H16" i="59" s="1"/>
  <c r="F14" i="59"/>
  <c r="D14" i="59"/>
  <c r="L14" i="59" s="1"/>
  <c r="T12" i="59"/>
  <c r="V53" i="59" s="1"/>
  <c r="P12" i="59"/>
  <c r="R35" i="59" s="1"/>
  <c r="N12" i="59"/>
  <c r="L12" i="59"/>
  <c r="H12" i="59"/>
  <c r="J43" i="59" s="1"/>
  <c r="D12" i="59"/>
  <c r="F50" i="59" s="1"/>
  <c r="D6" i="59"/>
  <c r="D4" i="59"/>
  <c r="Z73" i="58"/>
  <c r="X73" i="58"/>
  <c r="N73" i="58"/>
  <c r="L73" i="58"/>
  <c r="F73" i="58"/>
  <c r="T69" i="58"/>
  <c r="Z69" i="58" s="1"/>
  <c r="P69" i="58"/>
  <c r="X69" i="58" s="1"/>
  <c r="H69" i="58"/>
  <c r="N69" i="58" s="1"/>
  <c r="D69" i="58"/>
  <c r="L69" i="58" s="1"/>
  <c r="X67" i="58"/>
  <c r="Z67" i="58" s="1"/>
  <c r="N67" i="58"/>
  <c r="L67" i="58"/>
  <c r="B67" i="58"/>
  <c r="Z66" i="58"/>
  <c r="X66" i="58"/>
  <c r="V66" i="58"/>
  <c r="T66" i="58"/>
  <c r="P66" i="58"/>
  <c r="L66" i="58"/>
  <c r="N66" i="58" s="1"/>
  <c r="H66" i="58"/>
  <c r="D66" i="58"/>
  <c r="B66" i="58"/>
  <c r="X65" i="58"/>
  <c r="Z65" i="58" s="1"/>
  <c r="N65" i="58"/>
  <c r="L65" i="58"/>
  <c r="B65" i="58"/>
  <c r="T64" i="58"/>
  <c r="X64" i="58" s="1"/>
  <c r="Z64" i="58" s="1"/>
  <c r="R64" i="58"/>
  <c r="P64" i="58"/>
  <c r="H64" i="58"/>
  <c r="N64" i="58" s="1"/>
  <c r="D64" i="58"/>
  <c r="B64" i="58"/>
  <c r="X63" i="58"/>
  <c r="Z63" i="58" s="1"/>
  <c r="R63" i="58"/>
  <c r="L63" i="58"/>
  <c r="N63" i="58" s="1"/>
  <c r="B63" i="58"/>
  <c r="T62" i="58"/>
  <c r="P62" i="58"/>
  <c r="X62" i="58" s="1"/>
  <c r="Z62" i="58" s="1"/>
  <c r="H62" i="58"/>
  <c r="D62" i="58"/>
  <c r="L62" i="58" s="1"/>
  <c r="N62" i="58" s="1"/>
  <c r="B62" i="58"/>
  <c r="X61" i="58"/>
  <c r="Z61" i="58" s="1"/>
  <c r="L61" i="58"/>
  <c r="N61" i="58" s="1"/>
  <c r="B61" i="58"/>
  <c r="X60" i="58"/>
  <c r="Z60" i="58" s="1"/>
  <c r="N60" i="58"/>
  <c r="L60" i="58"/>
  <c r="B60" i="58"/>
  <c r="X59" i="58"/>
  <c r="Z59" i="58" s="1"/>
  <c r="N59" i="58"/>
  <c r="L59" i="58"/>
  <c r="B59" i="58"/>
  <c r="Z58" i="58"/>
  <c r="X58" i="58"/>
  <c r="V58" i="58"/>
  <c r="N58" i="58"/>
  <c r="L58" i="58"/>
  <c r="B58" i="58"/>
  <c r="T57" i="58"/>
  <c r="Z57" i="58" s="1"/>
  <c r="P57" i="58"/>
  <c r="X57" i="58" s="1"/>
  <c r="H57" i="58"/>
  <c r="N57" i="58" s="1"/>
  <c r="D57" i="58"/>
  <c r="L57" i="58" s="1"/>
  <c r="B57" i="58"/>
  <c r="Z56" i="58"/>
  <c r="X56" i="58"/>
  <c r="N56" i="58"/>
  <c r="L56" i="58"/>
  <c r="B56" i="58"/>
  <c r="T55" i="58"/>
  <c r="P55" i="58"/>
  <c r="X55" i="58" s="1"/>
  <c r="Z55" i="58" s="1"/>
  <c r="N55" i="58"/>
  <c r="L55" i="58"/>
  <c r="H55" i="58"/>
  <c r="D55" i="58"/>
  <c r="B55" i="58"/>
  <c r="Z54" i="58"/>
  <c r="X54" i="58"/>
  <c r="N54" i="58"/>
  <c r="L54" i="58"/>
  <c r="J54" i="58"/>
  <c r="B54" i="58"/>
  <c r="X53" i="58"/>
  <c r="Z53" i="58" s="1"/>
  <c r="L53" i="58"/>
  <c r="N53" i="58" s="1"/>
  <c r="F53" i="58"/>
  <c r="B53" i="58"/>
  <c r="T52" i="58"/>
  <c r="P52" i="58"/>
  <c r="X52" i="58" s="1"/>
  <c r="Z52" i="58" s="1"/>
  <c r="H52" i="58"/>
  <c r="F52" i="58"/>
  <c r="D52" i="58"/>
  <c r="L52" i="58" s="1"/>
  <c r="N52" i="58" s="1"/>
  <c r="B52" i="58"/>
  <c r="X51" i="58"/>
  <c r="Z51" i="58" s="1"/>
  <c r="N51" i="58"/>
  <c r="L51" i="58"/>
  <c r="B51" i="58"/>
  <c r="Z50" i="58"/>
  <c r="X50" i="58"/>
  <c r="V50" i="58"/>
  <c r="L50" i="58"/>
  <c r="N50" i="58" s="1"/>
  <c r="F50" i="58"/>
  <c r="B50" i="58"/>
  <c r="T49" i="58"/>
  <c r="P49" i="58"/>
  <c r="X49" i="58" s="1"/>
  <c r="H49" i="58"/>
  <c r="F49" i="58"/>
  <c r="D49" i="58"/>
  <c r="L49" i="58" s="1"/>
  <c r="B49" i="58"/>
  <c r="Z48" i="58"/>
  <c r="X48" i="58"/>
  <c r="N48" i="58"/>
  <c r="L48" i="58"/>
  <c r="B48" i="58"/>
  <c r="T47" i="58"/>
  <c r="P47" i="58"/>
  <c r="X47" i="58" s="1"/>
  <c r="Z47" i="58" s="1"/>
  <c r="L47" i="58"/>
  <c r="N47" i="58" s="1"/>
  <c r="H47" i="58"/>
  <c r="D47" i="58"/>
  <c r="B47" i="58"/>
  <c r="Z46" i="58"/>
  <c r="X46" i="58"/>
  <c r="N46" i="58"/>
  <c r="L46" i="58"/>
  <c r="J46" i="58"/>
  <c r="B46" i="58"/>
  <c r="T45" i="58"/>
  <c r="P45" i="58"/>
  <c r="X45" i="58" s="1"/>
  <c r="Z45" i="58" s="1"/>
  <c r="H45" i="58"/>
  <c r="D45" i="58"/>
  <c r="B45" i="58"/>
  <c r="X44" i="58"/>
  <c r="Z44" i="58" s="1"/>
  <c r="N44" i="58"/>
  <c r="L44" i="58"/>
  <c r="B44" i="58"/>
  <c r="T43" i="58"/>
  <c r="P43" i="58"/>
  <c r="X43" i="58" s="1"/>
  <c r="H43" i="58"/>
  <c r="D43" i="58"/>
  <c r="L43" i="58" s="1"/>
  <c r="B43" i="58"/>
  <c r="X42" i="58"/>
  <c r="Z42" i="58" s="1"/>
  <c r="N42" i="58"/>
  <c r="L42" i="58"/>
  <c r="B42" i="58"/>
  <c r="X41" i="58"/>
  <c r="Z41" i="58" s="1"/>
  <c r="T41" i="58"/>
  <c r="P41" i="58"/>
  <c r="N41" i="58"/>
  <c r="H41" i="58"/>
  <c r="D41" i="58"/>
  <c r="L41" i="58" s="1"/>
  <c r="B41" i="58"/>
  <c r="Z40" i="58"/>
  <c r="X40" i="58"/>
  <c r="L40" i="58"/>
  <c r="N40" i="58" s="1"/>
  <c r="B40" i="58"/>
  <c r="T39" i="58"/>
  <c r="P39" i="58"/>
  <c r="H39" i="58"/>
  <c r="D39" i="58"/>
  <c r="L39" i="58" s="1"/>
  <c r="N39" i="58" s="1"/>
  <c r="B39" i="58"/>
  <c r="Z38" i="58"/>
  <c r="X38" i="58"/>
  <c r="V38" i="58"/>
  <c r="L38" i="58"/>
  <c r="N38" i="58" s="1"/>
  <c r="F38" i="58"/>
  <c r="B38" i="58"/>
  <c r="T37" i="58"/>
  <c r="P37" i="58"/>
  <c r="X37" i="58" s="1"/>
  <c r="H37" i="58"/>
  <c r="N37" i="58" s="1"/>
  <c r="F37" i="58"/>
  <c r="D37" i="58"/>
  <c r="L37" i="58" s="1"/>
  <c r="B37" i="58"/>
  <c r="Z36" i="58"/>
  <c r="X36" i="58"/>
  <c r="V36" i="58"/>
  <c r="N36" i="58"/>
  <c r="L36" i="58"/>
  <c r="B36" i="58"/>
  <c r="T35" i="58"/>
  <c r="P35" i="58"/>
  <c r="X35" i="58" s="1"/>
  <c r="Z35" i="58" s="1"/>
  <c r="L35" i="58"/>
  <c r="N35" i="58" s="1"/>
  <c r="H35" i="58"/>
  <c r="D35" i="58"/>
  <c r="B35" i="58"/>
  <c r="Z34" i="58"/>
  <c r="X34" i="58"/>
  <c r="N34" i="58"/>
  <c r="L34" i="58"/>
  <c r="J34" i="58"/>
  <c r="B34" i="58"/>
  <c r="X33" i="58"/>
  <c r="Z33" i="58" s="1"/>
  <c r="V33" i="58"/>
  <c r="L33" i="58"/>
  <c r="N33" i="58" s="1"/>
  <c r="F33" i="58"/>
  <c r="B33" i="58"/>
  <c r="Z32" i="58"/>
  <c r="X32" i="58"/>
  <c r="L32" i="58"/>
  <c r="N32" i="58" s="1"/>
  <c r="B32" i="58"/>
  <c r="X31" i="58"/>
  <c r="Z31" i="58" s="1"/>
  <c r="R31" i="58"/>
  <c r="L31" i="58"/>
  <c r="N31" i="58" s="1"/>
  <c r="F31" i="58"/>
  <c r="B31" i="58"/>
  <c r="V30" i="58"/>
  <c r="T30" i="58"/>
  <c r="P30" i="58"/>
  <c r="X30" i="58" s="1"/>
  <c r="Z30" i="58" s="1"/>
  <c r="H30" i="58"/>
  <c r="F30" i="58"/>
  <c r="D30" i="58"/>
  <c r="L30" i="58" s="1"/>
  <c r="N30" i="58" s="1"/>
  <c r="B30" i="58"/>
  <c r="X29" i="58"/>
  <c r="Z29" i="58" s="1"/>
  <c r="L29" i="58"/>
  <c r="N29" i="58" s="1"/>
  <c r="F29" i="58"/>
  <c r="B29" i="58"/>
  <c r="X28" i="58"/>
  <c r="Z28" i="58" s="1"/>
  <c r="N28" i="58"/>
  <c r="L28" i="58"/>
  <c r="J28" i="58"/>
  <c r="F28" i="58"/>
  <c r="B28" i="58"/>
  <c r="X27" i="58"/>
  <c r="Z27" i="58" s="1"/>
  <c r="N27" i="58"/>
  <c r="L27" i="58"/>
  <c r="F27" i="58"/>
  <c r="B27" i="58"/>
  <c r="Z26" i="58"/>
  <c r="X26" i="58"/>
  <c r="V26" i="58"/>
  <c r="N26" i="58"/>
  <c r="L26" i="58"/>
  <c r="F26" i="58"/>
  <c r="B26" i="58"/>
  <c r="X25" i="58"/>
  <c r="Z25" i="58" s="1"/>
  <c r="N25" i="58"/>
  <c r="L25" i="58"/>
  <c r="F25" i="58"/>
  <c r="B25" i="58"/>
  <c r="X24" i="58"/>
  <c r="Z24" i="58" s="1"/>
  <c r="N24" i="58"/>
  <c r="L24" i="58"/>
  <c r="J24" i="58"/>
  <c r="F24" i="58"/>
  <c r="B24" i="58"/>
  <c r="X23" i="58"/>
  <c r="Z23" i="58" s="1"/>
  <c r="N23" i="58"/>
  <c r="L23" i="58"/>
  <c r="F23" i="58"/>
  <c r="B23" i="58"/>
  <c r="Z22" i="58"/>
  <c r="X22" i="58"/>
  <c r="V22" i="58"/>
  <c r="L22" i="58"/>
  <c r="N22" i="58" s="1"/>
  <c r="F22" i="58"/>
  <c r="B22" i="58"/>
  <c r="X21" i="58"/>
  <c r="Z21" i="58" s="1"/>
  <c r="L21" i="58"/>
  <c r="N21" i="58" s="1"/>
  <c r="F21" i="58"/>
  <c r="B21" i="58"/>
  <c r="X20" i="58"/>
  <c r="Z20" i="58" s="1"/>
  <c r="N20" i="58"/>
  <c r="L20" i="58"/>
  <c r="J20" i="58"/>
  <c r="F20" i="58"/>
  <c r="B20" i="58"/>
  <c r="V19" i="58"/>
  <c r="T19" i="58"/>
  <c r="P19" i="58"/>
  <c r="X19" i="58" s="1"/>
  <c r="H19" i="58"/>
  <c r="N19" i="58" s="1"/>
  <c r="F19" i="58"/>
  <c r="D19" i="58"/>
  <c r="L19" i="58" s="1"/>
  <c r="B19" i="58"/>
  <c r="T18" i="58"/>
  <c r="P18" i="58"/>
  <c r="J18" i="58"/>
  <c r="H18" i="58"/>
  <c r="F18" i="58"/>
  <c r="D18" i="58"/>
  <c r="J16" i="58"/>
  <c r="F16" i="58"/>
  <c r="T14" i="58"/>
  <c r="Z14" i="58" s="1"/>
  <c r="P14" i="58"/>
  <c r="J14" i="58"/>
  <c r="H14" i="58"/>
  <c r="N14" i="58" s="1"/>
  <c r="F14" i="58"/>
  <c r="D14" i="58"/>
  <c r="L14" i="58" s="1"/>
  <c r="Z12" i="58"/>
  <c r="T12" i="58"/>
  <c r="V52" i="58" s="1"/>
  <c r="P12" i="58"/>
  <c r="R66" i="58" s="1"/>
  <c r="H12" i="58"/>
  <c r="J62" i="58" s="1"/>
  <c r="D12" i="58"/>
  <c r="F61" i="58" s="1"/>
  <c r="D6" i="58"/>
  <c r="D4" i="58"/>
  <c r="Z67" i="57"/>
  <c r="X67" i="57"/>
  <c r="N67" i="57"/>
  <c r="L67" i="57"/>
  <c r="V65" i="57"/>
  <c r="R65" i="57"/>
  <c r="V63" i="57"/>
  <c r="T63" i="57"/>
  <c r="Z63" i="57" s="1"/>
  <c r="R63" i="57"/>
  <c r="P63" i="57"/>
  <c r="X63" i="57" s="1"/>
  <c r="H63" i="57"/>
  <c r="N63" i="57" s="1"/>
  <c r="D63" i="57"/>
  <c r="Z61" i="57"/>
  <c r="X61" i="57"/>
  <c r="V61" i="57"/>
  <c r="N61" i="57"/>
  <c r="L61" i="57"/>
  <c r="B61" i="57"/>
  <c r="Z60" i="57"/>
  <c r="T60" i="57"/>
  <c r="P60" i="57"/>
  <c r="X60" i="57" s="1"/>
  <c r="N60" i="57"/>
  <c r="L60" i="57"/>
  <c r="H60" i="57"/>
  <c r="D60" i="57"/>
  <c r="B60" i="57"/>
  <c r="Z59" i="57"/>
  <c r="X59" i="57"/>
  <c r="L59" i="57"/>
  <c r="N59" i="57" s="1"/>
  <c r="J59" i="57"/>
  <c r="B59" i="57"/>
  <c r="V58" i="57"/>
  <c r="T58" i="57"/>
  <c r="P58" i="57"/>
  <c r="X58" i="57" s="1"/>
  <c r="Z58" i="57" s="1"/>
  <c r="J58" i="57"/>
  <c r="H58" i="57"/>
  <c r="D58" i="57"/>
  <c r="B58" i="57"/>
  <c r="X57" i="57"/>
  <c r="Z57" i="57" s="1"/>
  <c r="N57" i="57"/>
  <c r="L57" i="57"/>
  <c r="J57" i="57"/>
  <c r="B57" i="57"/>
  <c r="X56" i="57"/>
  <c r="T56" i="57"/>
  <c r="Z56" i="57" s="1"/>
  <c r="P56" i="57"/>
  <c r="H56" i="57"/>
  <c r="N56" i="57" s="1"/>
  <c r="D56" i="57"/>
  <c r="L56" i="57" s="1"/>
  <c r="B56" i="57"/>
  <c r="X55" i="57"/>
  <c r="Z55" i="57" s="1"/>
  <c r="N55" i="57"/>
  <c r="L55" i="57"/>
  <c r="B55" i="57"/>
  <c r="X54" i="57"/>
  <c r="Z54" i="57" s="1"/>
  <c r="N54" i="57"/>
  <c r="L54" i="57"/>
  <c r="J54" i="57"/>
  <c r="B54" i="57"/>
  <c r="Z53" i="57"/>
  <c r="X53" i="57"/>
  <c r="V53" i="57"/>
  <c r="N53" i="57"/>
  <c r="L53" i="57"/>
  <c r="B53" i="57"/>
  <c r="T52" i="57"/>
  <c r="P52" i="57"/>
  <c r="X52" i="57" s="1"/>
  <c r="Z52" i="57" s="1"/>
  <c r="L52" i="57"/>
  <c r="N52" i="57" s="1"/>
  <c r="H52" i="57"/>
  <c r="D52" i="57"/>
  <c r="B52" i="57"/>
  <c r="Z51" i="57"/>
  <c r="X51" i="57"/>
  <c r="N51" i="57"/>
  <c r="L51" i="57"/>
  <c r="J51" i="57"/>
  <c r="B51" i="57"/>
  <c r="V50" i="57"/>
  <c r="T50" i="57"/>
  <c r="P50" i="57"/>
  <c r="X50" i="57" s="1"/>
  <c r="Z50" i="57" s="1"/>
  <c r="J50" i="57"/>
  <c r="H50" i="57"/>
  <c r="D50" i="57"/>
  <c r="B50" i="57"/>
  <c r="X49" i="57"/>
  <c r="Z49" i="57" s="1"/>
  <c r="N49" i="57"/>
  <c r="L49" i="57"/>
  <c r="J49" i="57"/>
  <c r="B49" i="57"/>
  <c r="X48" i="57"/>
  <c r="T48" i="57"/>
  <c r="Z48" i="57" s="1"/>
  <c r="P48" i="57"/>
  <c r="H48" i="57"/>
  <c r="D48" i="57"/>
  <c r="L48" i="57" s="1"/>
  <c r="B48" i="57"/>
  <c r="Z47" i="57"/>
  <c r="X47" i="57"/>
  <c r="N47" i="57"/>
  <c r="L47" i="57"/>
  <c r="B47" i="57"/>
  <c r="X46" i="57"/>
  <c r="Z46" i="57" s="1"/>
  <c r="N46" i="57"/>
  <c r="L46" i="57"/>
  <c r="J46" i="57"/>
  <c r="B46" i="57"/>
  <c r="Z45" i="57"/>
  <c r="X45" i="57"/>
  <c r="V45" i="57"/>
  <c r="N45" i="57"/>
  <c r="L45" i="57"/>
  <c r="B45" i="57"/>
  <c r="T44" i="57"/>
  <c r="P44" i="57"/>
  <c r="X44" i="57" s="1"/>
  <c r="Z44" i="57" s="1"/>
  <c r="L44" i="57"/>
  <c r="N44" i="57" s="1"/>
  <c r="H44" i="57"/>
  <c r="D44" i="57"/>
  <c r="B44" i="57"/>
  <c r="Z43" i="57"/>
  <c r="X43" i="57"/>
  <c r="N43" i="57"/>
  <c r="L43" i="57"/>
  <c r="J43" i="57"/>
  <c r="B43" i="57"/>
  <c r="V42" i="57"/>
  <c r="T42" i="57"/>
  <c r="P42" i="57"/>
  <c r="X42" i="57" s="1"/>
  <c r="Z42" i="57" s="1"/>
  <c r="J42" i="57"/>
  <c r="H42" i="57"/>
  <c r="D42" i="57"/>
  <c r="B42" i="57"/>
  <c r="X41" i="57"/>
  <c r="Z41" i="57" s="1"/>
  <c r="N41" i="57"/>
  <c r="L41" i="57"/>
  <c r="J41" i="57"/>
  <c r="B41" i="57"/>
  <c r="X40" i="57"/>
  <c r="T40" i="57"/>
  <c r="Z40" i="57" s="1"/>
  <c r="P40" i="57"/>
  <c r="H40" i="57"/>
  <c r="N40" i="57" s="1"/>
  <c r="D40" i="57"/>
  <c r="L40" i="57" s="1"/>
  <c r="B40" i="57"/>
  <c r="Z39" i="57"/>
  <c r="X39" i="57"/>
  <c r="N39" i="57"/>
  <c r="L39" i="57"/>
  <c r="B39" i="57"/>
  <c r="Z38" i="57"/>
  <c r="X38" i="57"/>
  <c r="N38" i="57"/>
  <c r="L38" i="57"/>
  <c r="J38" i="57"/>
  <c r="B38" i="57"/>
  <c r="V37" i="57"/>
  <c r="T37" i="57"/>
  <c r="R37" i="57"/>
  <c r="P37" i="57"/>
  <c r="X37" i="57" s="1"/>
  <c r="H37" i="57"/>
  <c r="D37" i="57"/>
  <c r="B37" i="57"/>
  <c r="X36" i="57"/>
  <c r="Z36" i="57" s="1"/>
  <c r="V36" i="57"/>
  <c r="R36" i="57"/>
  <c r="L36" i="57"/>
  <c r="N36" i="57" s="1"/>
  <c r="B36" i="57"/>
  <c r="V35" i="57"/>
  <c r="T35" i="57"/>
  <c r="P35" i="57"/>
  <c r="X35" i="57" s="1"/>
  <c r="Z35" i="57" s="1"/>
  <c r="N35" i="57"/>
  <c r="J35" i="57"/>
  <c r="H35" i="57"/>
  <c r="D35" i="57"/>
  <c r="L35" i="57" s="1"/>
  <c r="B35" i="57"/>
  <c r="X34" i="57"/>
  <c r="Z34" i="57" s="1"/>
  <c r="L34" i="57"/>
  <c r="N34" i="57" s="1"/>
  <c r="B34" i="57"/>
  <c r="X33" i="57"/>
  <c r="Z33" i="57" s="1"/>
  <c r="V33" i="57"/>
  <c r="T33" i="57"/>
  <c r="P33" i="57"/>
  <c r="N33" i="57"/>
  <c r="L33" i="57"/>
  <c r="J33" i="57"/>
  <c r="H33" i="57"/>
  <c r="D33" i="57"/>
  <c r="B33" i="57"/>
  <c r="Z32" i="57"/>
  <c r="X32" i="57"/>
  <c r="L32" i="57"/>
  <c r="N32" i="57" s="1"/>
  <c r="J32" i="57"/>
  <c r="F32" i="57"/>
  <c r="B32" i="57"/>
  <c r="Z31" i="57"/>
  <c r="X31" i="57"/>
  <c r="V31" i="57"/>
  <c r="N31" i="57"/>
  <c r="L31" i="57"/>
  <c r="B31" i="57"/>
  <c r="X30" i="57"/>
  <c r="Z30" i="57" s="1"/>
  <c r="N30" i="57"/>
  <c r="L30" i="57"/>
  <c r="J30" i="57"/>
  <c r="B30" i="57"/>
  <c r="Z29" i="57"/>
  <c r="X29" i="57"/>
  <c r="V29" i="57"/>
  <c r="N29" i="57"/>
  <c r="L29" i="57"/>
  <c r="J29" i="57"/>
  <c r="B29" i="57"/>
  <c r="T28" i="57"/>
  <c r="P28" i="57"/>
  <c r="X28" i="57" s="1"/>
  <c r="Z28" i="57" s="1"/>
  <c r="L28" i="57"/>
  <c r="N28" i="57" s="1"/>
  <c r="H28" i="57"/>
  <c r="D28" i="57"/>
  <c r="B28" i="57"/>
  <c r="Z27" i="57"/>
  <c r="X27" i="57"/>
  <c r="V27" i="57"/>
  <c r="N27" i="57"/>
  <c r="L27" i="57"/>
  <c r="J27" i="57"/>
  <c r="B27" i="57"/>
  <c r="X26" i="57"/>
  <c r="Z26" i="57" s="1"/>
  <c r="V26" i="57"/>
  <c r="L26" i="57"/>
  <c r="N26" i="57" s="1"/>
  <c r="F26" i="57"/>
  <c r="B26" i="57"/>
  <c r="Z25" i="57"/>
  <c r="X25" i="57"/>
  <c r="V25" i="57"/>
  <c r="L25" i="57"/>
  <c r="N25" i="57" s="1"/>
  <c r="J25" i="57"/>
  <c r="B25" i="57"/>
  <c r="X24" i="57"/>
  <c r="Z24" i="57" s="1"/>
  <c r="V24" i="57"/>
  <c r="R24" i="57"/>
  <c r="L24" i="57"/>
  <c r="N24" i="57" s="1"/>
  <c r="J24" i="57"/>
  <c r="B24" i="57"/>
  <c r="Z23" i="57"/>
  <c r="X23" i="57"/>
  <c r="V23" i="57"/>
  <c r="N23" i="57"/>
  <c r="L23" i="57"/>
  <c r="J23" i="57"/>
  <c r="B23" i="57"/>
  <c r="X22" i="57"/>
  <c r="Z22" i="57" s="1"/>
  <c r="V22" i="57"/>
  <c r="L22" i="57"/>
  <c r="N22" i="57" s="1"/>
  <c r="F22" i="57"/>
  <c r="B22" i="57"/>
  <c r="Z21" i="57"/>
  <c r="X21" i="57"/>
  <c r="V21" i="57"/>
  <c r="L21" i="57"/>
  <c r="N21" i="57" s="1"/>
  <c r="J21" i="57"/>
  <c r="B21" i="57"/>
  <c r="X20" i="57"/>
  <c r="Z20" i="57" s="1"/>
  <c r="V20" i="57"/>
  <c r="R20" i="57"/>
  <c r="L20" i="57"/>
  <c r="N20" i="57" s="1"/>
  <c r="J20" i="57"/>
  <c r="B20" i="57"/>
  <c r="V19" i="57"/>
  <c r="T19" i="57"/>
  <c r="P19" i="57"/>
  <c r="X19" i="57" s="1"/>
  <c r="Z19" i="57" s="1"/>
  <c r="J19" i="57"/>
  <c r="H19" i="57"/>
  <c r="D19" i="57"/>
  <c r="L19" i="57" s="1"/>
  <c r="N19" i="57" s="1"/>
  <c r="B19" i="57"/>
  <c r="T18" i="57"/>
  <c r="P18" i="57"/>
  <c r="X18" i="57" s="1"/>
  <c r="J18" i="57"/>
  <c r="H18" i="57"/>
  <c r="F18" i="57"/>
  <c r="D18" i="57"/>
  <c r="L18" i="57" s="1"/>
  <c r="P16" i="57"/>
  <c r="J16" i="57"/>
  <c r="F16" i="57"/>
  <c r="T14" i="57"/>
  <c r="Z14" i="57" s="1"/>
  <c r="P14" i="57"/>
  <c r="X14" i="57" s="1"/>
  <c r="J14" i="57"/>
  <c r="H14" i="57"/>
  <c r="H16" i="57" s="1"/>
  <c r="F14" i="57"/>
  <c r="D14" i="57"/>
  <c r="L14" i="57" s="1"/>
  <c r="Z12" i="57"/>
  <c r="T12" i="57"/>
  <c r="V72" i="57" s="1"/>
  <c r="P12" i="57"/>
  <c r="R54" i="57" s="1"/>
  <c r="N12" i="57"/>
  <c r="L12" i="57"/>
  <c r="H12" i="57"/>
  <c r="J61" i="57" s="1"/>
  <c r="D12" i="57"/>
  <c r="F34" i="57" s="1"/>
  <c r="D6" i="57"/>
  <c r="D4" i="57"/>
  <c r="Z72" i="56"/>
  <c r="X72" i="56"/>
  <c r="N72" i="56"/>
  <c r="L72" i="56"/>
  <c r="T68" i="56"/>
  <c r="Z68" i="56" s="1"/>
  <c r="P68" i="56"/>
  <c r="X68" i="56" s="1"/>
  <c r="H68" i="56"/>
  <c r="N68" i="56" s="1"/>
  <c r="D68" i="56"/>
  <c r="L68" i="56" s="1"/>
  <c r="X66" i="56"/>
  <c r="Z66" i="56" s="1"/>
  <c r="N66" i="56"/>
  <c r="L66" i="56"/>
  <c r="B66" i="56"/>
  <c r="Z65" i="56"/>
  <c r="X65" i="56"/>
  <c r="V65" i="56"/>
  <c r="T65" i="56"/>
  <c r="P65" i="56"/>
  <c r="L65" i="56"/>
  <c r="N65" i="56" s="1"/>
  <c r="H65" i="56"/>
  <c r="D65" i="56"/>
  <c r="B65" i="56"/>
  <c r="X64" i="56"/>
  <c r="Z64" i="56" s="1"/>
  <c r="L64" i="56"/>
  <c r="N64" i="56" s="1"/>
  <c r="B64" i="56"/>
  <c r="V63" i="56"/>
  <c r="T63" i="56"/>
  <c r="P63" i="56"/>
  <c r="X63" i="56" s="1"/>
  <c r="H63" i="56"/>
  <c r="D63" i="56"/>
  <c r="B63" i="56"/>
  <c r="X62" i="56"/>
  <c r="Z62" i="56" s="1"/>
  <c r="L62" i="56"/>
  <c r="N62" i="56" s="1"/>
  <c r="B62" i="56"/>
  <c r="T61" i="56"/>
  <c r="P61" i="56"/>
  <c r="X61" i="56" s="1"/>
  <c r="Z61" i="56" s="1"/>
  <c r="N61" i="56"/>
  <c r="H61" i="56"/>
  <c r="D61" i="56"/>
  <c r="L61" i="56" s="1"/>
  <c r="B61" i="56"/>
  <c r="X60" i="56"/>
  <c r="Z60" i="56" s="1"/>
  <c r="R60" i="56"/>
  <c r="N60" i="56"/>
  <c r="L60" i="56"/>
  <c r="B60" i="56"/>
  <c r="X59" i="56"/>
  <c r="Z59" i="56" s="1"/>
  <c r="N59" i="56"/>
  <c r="L59" i="56"/>
  <c r="J59" i="56"/>
  <c r="B59" i="56"/>
  <c r="Z58" i="56"/>
  <c r="X58" i="56"/>
  <c r="N58" i="56"/>
  <c r="L58" i="56"/>
  <c r="B58" i="56"/>
  <c r="Z57" i="56"/>
  <c r="X57" i="56"/>
  <c r="V57" i="56"/>
  <c r="N57" i="56"/>
  <c r="L57" i="56"/>
  <c r="B57" i="56"/>
  <c r="T56" i="56"/>
  <c r="P56" i="56"/>
  <c r="X56" i="56" s="1"/>
  <c r="H56" i="56"/>
  <c r="N56" i="56" s="1"/>
  <c r="F56" i="56"/>
  <c r="D56" i="56"/>
  <c r="L56" i="56" s="1"/>
  <c r="B56" i="56"/>
  <c r="Z55" i="56"/>
  <c r="X55" i="56"/>
  <c r="V55" i="56"/>
  <c r="N55" i="56"/>
  <c r="L55" i="56"/>
  <c r="B55" i="56"/>
  <c r="T54" i="56"/>
  <c r="P54" i="56"/>
  <c r="X54" i="56" s="1"/>
  <c r="Z54" i="56" s="1"/>
  <c r="N54" i="56"/>
  <c r="L54" i="56"/>
  <c r="H54" i="56"/>
  <c r="D54" i="56"/>
  <c r="B54" i="56"/>
  <c r="Z53" i="56"/>
  <c r="X53" i="56"/>
  <c r="N53" i="56"/>
  <c r="L53" i="56"/>
  <c r="B53" i="56"/>
  <c r="X52" i="56"/>
  <c r="Z52" i="56" s="1"/>
  <c r="V52" i="56"/>
  <c r="L52" i="56"/>
  <c r="N52" i="56" s="1"/>
  <c r="B52" i="56"/>
  <c r="Z51" i="56"/>
  <c r="X51" i="56"/>
  <c r="N51" i="56"/>
  <c r="L51" i="56"/>
  <c r="B51" i="56"/>
  <c r="V50" i="56"/>
  <c r="T50" i="56"/>
  <c r="P50" i="56"/>
  <c r="H50" i="56"/>
  <c r="D50" i="56"/>
  <c r="B50" i="56"/>
  <c r="Z49" i="56"/>
  <c r="X49" i="56"/>
  <c r="V49" i="56"/>
  <c r="N49" i="56"/>
  <c r="L49" i="56"/>
  <c r="B49" i="56"/>
  <c r="X48" i="56"/>
  <c r="Z48" i="56" s="1"/>
  <c r="L48" i="56"/>
  <c r="N48" i="56" s="1"/>
  <c r="B48" i="56"/>
  <c r="X47" i="56"/>
  <c r="Z47" i="56" s="1"/>
  <c r="V47" i="56"/>
  <c r="N47" i="56"/>
  <c r="L47" i="56"/>
  <c r="B47" i="56"/>
  <c r="T46" i="56"/>
  <c r="P46" i="56"/>
  <c r="X46" i="56" s="1"/>
  <c r="H46" i="56"/>
  <c r="D46" i="56"/>
  <c r="L46" i="56" s="1"/>
  <c r="B46" i="56"/>
  <c r="Z45" i="56"/>
  <c r="X45" i="56"/>
  <c r="V45" i="56"/>
  <c r="N45" i="56"/>
  <c r="L45" i="56"/>
  <c r="B45" i="56"/>
  <c r="X44" i="56"/>
  <c r="Z44" i="56" s="1"/>
  <c r="T44" i="56"/>
  <c r="P44" i="56"/>
  <c r="H44" i="56"/>
  <c r="D44" i="56"/>
  <c r="L44" i="56" s="1"/>
  <c r="N44" i="56" s="1"/>
  <c r="B44" i="56"/>
  <c r="Z43" i="56"/>
  <c r="X43" i="56"/>
  <c r="N43" i="56"/>
  <c r="L43" i="56"/>
  <c r="B43" i="56"/>
  <c r="X42" i="56"/>
  <c r="V42" i="56"/>
  <c r="T42" i="56"/>
  <c r="P42" i="56"/>
  <c r="J42" i="56"/>
  <c r="H42" i="56"/>
  <c r="N42" i="56" s="1"/>
  <c r="D42" i="56"/>
  <c r="B42" i="56"/>
  <c r="Z41" i="56"/>
  <c r="X41" i="56"/>
  <c r="V41" i="56"/>
  <c r="N41" i="56"/>
  <c r="L41" i="56"/>
  <c r="F41" i="56"/>
  <c r="B41" i="56"/>
  <c r="T40" i="56"/>
  <c r="P40" i="56"/>
  <c r="X40" i="56" s="1"/>
  <c r="H40" i="56"/>
  <c r="N40" i="56" s="1"/>
  <c r="D40" i="56"/>
  <c r="L40" i="56" s="1"/>
  <c r="B40" i="56"/>
  <c r="Z39" i="56"/>
  <c r="X39" i="56"/>
  <c r="V39" i="56"/>
  <c r="N39" i="56"/>
  <c r="L39" i="56"/>
  <c r="B39" i="56"/>
  <c r="T38" i="56"/>
  <c r="P38" i="56"/>
  <c r="X38" i="56" s="1"/>
  <c r="Z38" i="56" s="1"/>
  <c r="L38" i="56"/>
  <c r="N38" i="56" s="1"/>
  <c r="H38" i="56"/>
  <c r="D38" i="56"/>
  <c r="B38" i="56"/>
  <c r="Z37" i="56"/>
  <c r="X37" i="56"/>
  <c r="N37" i="56"/>
  <c r="L37" i="56"/>
  <c r="J37" i="56"/>
  <c r="B37" i="56"/>
  <c r="V36" i="56"/>
  <c r="T36" i="56"/>
  <c r="P36" i="56"/>
  <c r="L36" i="56"/>
  <c r="H36" i="56"/>
  <c r="D36" i="56"/>
  <c r="B36" i="56"/>
  <c r="X35" i="56"/>
  <c r="Z35" i="56" s="1"/>
  <c r="V35" i="56"/>
  <c r="N35" i="56"/>
  <c r="L35" i="56"/>
  <c r="J35" i="56"/>
  <c r="B35" i="56"/>
  <c r="V34" i="56"/>
  <c r="T34" i="56"/>
  <c r="P34" i="56"/>
  <c r="X34" i="56" s="1"/>
  <c r="H34" i="56"/>
  <c r="F34" i="56"/>
  <c r="D34" i="56"/>
  <c r="B34" i="56"/>
  <c r="Z33" i="56"/>
  <c r="X33" i="56"/>
  <c r="V33" i="56"/>
  <c r="N33" i="56"/>
  <c r="L33" i="56"/>
  <c r="B33" i="56"/>
  <c r="Z32" i="56"/>
  <c r="X32" i="56"/>
  <c r="T32" i="56"/>
  <c r="P32" i="56"/>
  <c r="H32" i="56"/>
  <c r="D32" i="56"/>
  <c r="L32" i="56" s="1"/>
  <c r="N32" i="56" s="1"/>
  <c r="B32" i="56"/>
  <c r="Z31" i="56"/>
  <c r="X31" i="56"/>
  <c r="V31" i="56"/>
  <c r="N31" i="56"/>
  <c r="L31" i="56"/>
  <c r="J31" i="56"/>
  <c r="B31" i="56"/>
  <c r="X30" i="56"/>
  <c r="Z30" i="56" s="1"/>
  <c r="V30" i="56"/>
  <c r="L30" i="56"/>
  <c r="N30" i="56" s="1"/>
  <c r="B30" i="56"/>
  <c r="Z29" i="56"/>
  <c r="X29" i="56"/>
  <c r="V29" i="56"/>
  <c r="L29" i="56"/>
  <c r="N29" i="56" s="1"/>
  <c r="B29" i="56"/>
  <c r="V28" i="56"/>
  <c r="T28" i="56"/>
  <c r="P28" i="56"/>
  <c r="L28" i="56"/>
  <c r="H28" i="56"/>
  <c r="D28" i="56"/>
  <c r="B28" i="56"/>
  <c r="Z27" i="56"/>
  <c r="X27" i="56"/>
  <c r="V27" i="56"/>
  <c r="N27" i="56"/>
  <c r="L27" i="56"/>
  <c r="J27" i="56"/>
  <c r="B27" i="56"/>
  <c r="X26" i="56"/>
  <c r="Z26" i="56" s="1"/>
  <c r="V26" i="56"/>
  <c r="L26" i="56"/>
  <c r="N26" i="56" s="1"/>
  <c r="B26" i="56"/>
  <c r="X25" i="56"/>
  <c r="Z25" i="56" s="1"/>
  <c r="V25" i="56"/>
  <c r="N25" i="56"/>
  <c r="L25" i="56"/>
  <c r="J25" i="56"/>
  <c r="B25" i="56"/>
  <c r="X24" i="56"/>
  <c r="Z24" i="56" s="1"/>
  <c r="N24" i="56"/>
  <c r="L24" i="56"/>
  <c r="B24" i="56"/>
  <c r="Z23" i="56"/>
  <c r="X23" i="56"/>
  <c r="V23" i="56"/>
  <c r="N23" i="56"/>
  <c r="L23" i="56"/>
  <c r="J23" i="56"/>
  <c r="B23" i="56"/>
  <c r="X22" i="56"/>
  <c r="Z22" i="56" s="1"/>
  <c r="V22" i="56"/>
  <c r="L22" i="56"/>
  <c r="N22" i="56" s="1"/>
  <c r="B22" i="56"/>
  <c r="X21" i="56"/>
  <c r="Z21" i="56" s="1"/>
  <c r="V21" i="56"/>
  <c r="N21" i="56"/>
  <c r="L21" i="56"/>
  <c r="J21" i="56"/>
  <c r="F21" i="56"/>
  <c r="B21" i="56"/>
  <c r="X20" i="56"/>
  <c r="Z20" i="56" s="1"/>
  <c r="V20" i="56"/>
  <c r="N20" i="56"/>
  <c r="L20" i="56"/>
  <c r="B20" i="56"/>
  <c r="X19" i="56"/>
  <c r="Z19" i="56" s="1"/>
  <c r="V19" i="56"/>
  <c r="T19" i="56"/>
  <c r="P19" i="56"/>
  <c r="L19" i="56"/>
  <c r="N19" i="56" s="1"/>
  <c r="J19" i="56"/>
  <c r="H19" i="56"/>
  <c r="D19" i="56"/>
  <c r="B19" i="56"/>
  <c r="T18" i="56"/>
  <c r="P18" i="56"/>
  <c r="H18" i="56"/>
  <c r="D18" i="56"/>
  <c r="Z16" i="56"/>
  <c r="T16" i="56"/>
  <c r="Z14" i="56"/>
  <c r="T14" i="56"/>
  <c r="P14" i="56"/>
  <c r="X14" i="56" s="1"/>
  <c r="H14" i="56"/>
  <c r="N14" i="56" s="1"/>
  <c r="D14" i="56"/>
  <c r="L14" i="56" s="1"/>
  <c r="Z12" i="56"/>
  <c r="T12" i="56"/>
  <c r="V51" i="56" s="1"/>
  <c r="P12" i="56"/>
  <c r="R61" i="56" s="1"/>
  <c r="H12" i="56"/>
  <c r="J47" i="56" s="1"/>
  <c r="D12" i="56"/>
  <c r="F25" i="56" s="1"/>
  <c r="D6" i="56"/>
  <c r="D4" i="56"/>
  <c r="V40" i="55"/>
  <c r="J40" i="55"/>
  <c r="Z35" i="55"/>
  <c r="X35" i="55"/>
  <c r="N35" i="55"/>
  <c r="L35" i="55"/>
  <c r="F35" i="55"/>
  <c r="T31" i="55"/>
  <c r="Z31" i="55" s="1"/>
  <c r="P31" i="55"/>
  <c r="X31" i="55" s="1"/>
  <c r="H31" i="55"/>
  <c r="N31" i="55" s="1"/>
  <c r="D31" i="55"/>
  <c r="L31" i="55" s="1"/>
  <c r="Z29" i="55"/>
  <c r="X29" i="55"/>
  <c r="N29" i="55"/>
  <c r="L29" i="55"/>
  <c r="J29" i="55"/>
  <c r="F29" i="55"/>
  <c r="B29" i="55"/>
  <c r="Z28" i="55"/>
  <c r="X28" i="55"/>
  <c r="N28" i="55"/>
  <c r="L28" i="55"/>
  <c r="J28" i="55"/>
  <c r="B28" i="55"/>
  <c r="T27" i="55"/>
  <c r="P27" i="55"/>
  <c r="H27" i="55"/>
  <c r="N27" i="55" s="1"/>
  <c r="F27" i="55"/>
  <c r="D27" i="55"/>
  <c r="B27" i="55"/>
  <c r="Z26" i="55"/>
  <c r="X26" i="55"/>
  <c r="L26" i="55"/>
  <c r="N26" i="55" s="1"/>
  <c r="B26" i="55"/>
  <c r="X25" i="55"/>
  <c r="Z25" i="55" s="1"/>
  <c r="T25" i="55"/>
  <c r="P25" i="55"/>
  <c r="J25" i="55"/>
  <c r="H25" i="55"/>
  <c r="D25" i="55"/>
  <c r="L25" i="55" s="1"/>
  <c r="B25" i="55"/>
  <c r="X24" i="55"/>
  <c r="Z24" i="55" s="1"/>
  <c r="N24" i="55"/>
  <c r="L24" i="55"/>
  <c r="F24" i="55"/>
  <c r="B24" i="55"/>
  <c r="T23" i="55"/>
  <c r="R23" i="55"/>
  <c r="P23" i="55"/>
  <c r="H23" i="55"/>
  <c r="F23" i="55"/>
  <c r="D23" i="55"/>
  <c r="L23" i="55" s="1"/>
  <c r="B23" i="55"/>
  <c r="Z22" i="55"/>
  <c r="X22" i="55"/>
  <c r="N22" i="55"/>
  <c r="L22" i="55"/>
  <c r="B22" i="55"/>
  <c r="X21" i="55"/>
  <c r="T21" i="55"/>
  <c r="Z21" i="55" s="1"/>
  <c r="P21" i="55"/>
  <c r="H21" i="55"/>
  <c r="N21" i="55" s="1"/>
  <c r="D21" i="55"/>
  <c r="L21" i="55" s="1"/>
  <c r="B21" i="55"/>
  <c r="Z20" i="55"/>
  <c r="X20" i="55"/>
  <c r="R20" i="55"/>
  <c r="N20" i="55"/>
  <c r="L20" i="55"/>
  <c r="J20" i="55"/>
  <c r="B20" i="55"/>
  <c r="T19" i="55"/>
  <c r="P19" i="55"/>
  <c r="J19" i="55"/>
  <c r="H19" i="55"/>
  <c r="D19" i="55"/>
  <c r="B19" i="55"/>
  <c r="T18" i="55"/>
  <c r="R18" i="55"/>
  <c r="P18" i="55"/>
  <c r="J18" i="55"/>
  <c r="H18" i="55"/>
  <c r="D18" i="55"/>
  <c r="L18" i="55" s="1"/>
  <c r="R16" i="55"/>
  <c r="J16" i="55"/>
  <c r="T14" i="55"/>
  <c r="Z14" i="55" s="1"/>
  <c r="R14" i="55"/>
  <c r="P14" i="55"/>
  <c r="J14" i="55"/>
  <c r="H14" i="55"/>
  <c r="N14" i="55" s="1"/>
  <c r="D14" i="55"/>
  <c r="L14" i="55" s="1"/>
  <c r="T12" i="55"/>
  <c r="V19" i="55" s="1"/>
  <c r="P12" i="55"/>
  <c r="P16" i="55" s="1"/>
  <c r="N12" i="55"/>
  <c r="H12" i="55"/>
  <c r="J24" i="55" s="1"/>
  <c r="D12" i="55"/>
  <c r="F18" i="55" s="1"/>
  <c r="D6" i="55"/>
  <c r="D4" i="55"/>
  <c r="J31" i="54"/>
  <c r="F31" i="54"/>
  <c r="X29" i="54"/>
  <c r="T29" i="54"/>
  <c r="Z29" i="54" s="1"/>
  <c r="P29" i="54"/>
  <c r="N29" i="54"/>
  <c r="J29" i="54"/>
  <c r="H29" i="54"/>
  <c r="F29" i="54"/>
  <c r="D29" i="54"/>
  <c r="L29" i="54" s="1"/>
  <c r="X28" i="54"/>
  <c r="T28" i="54"/>
  <c r="Z28" i="54" s="1"/>
  <c r="P28" i="54"/>
  <c r="N28" i="54"/>
  <c r="J28" i="54"/>
  <c r="H28" i="54"/>
  <c r="F28" i="54"/>
  <c r="D28" i="54"/>
  <c r="L28" i="54" s="1"/>
  <c r="J26" i="54"/>
  <c r="F26" i="54"/>
  <c r="Z24" i="54"/>
  <c r="X24" i="54"/>
  <c r="N24" i="54"/>
  <c r="L24" i="54"/>
  <c r="J24" i="54"/>
  <c r="J22" i="54"/>
  <c r="F22" i="54"/>
  <c r="T20" i="54"/>
  <c r="Z20" i="54" s="1"/>
  <c r="P20" i="54"/>
  <c r="X20" i="54" s="1"/>
  <c r="J20" i="54"/>
  <c r="H20" i="54"/>
  <c r="N20" i="54" s="1"/>
  <c r="F20" i="54"/>
  <c r="D20" i="54"/>
  <c r="T18" i="54"/>
  <c r="Z18" i="54" s="1"/>
  <c r="P18" i="54"/>
  <c r="X18" i="54" s="1"/>
  <c r="J18" i="54"/>
  <c r="H18" i="54"/>
  <c r="N18" i="54" s="1"/>
  <c r="F18" i="54"/>
  <c r="D18" i="54"/>
  <c r="J16" i="54"/>
  <c r="F16" i="54"/>
  <c r="T14" i="54"/>
  <c r="Z14" i="54" s="1"/>
  <c r="P14" i="54"/>
  <c r="X14" i="54" s="1"/>
  <c r="J14" i="54"/>
  <c r="H14" i="54"/>
  <c r="N14" i="54" s="1"/>
  <c r="F14" i="54"/>
  <c r="D14" i="54"/>
  <c r="T12" i="54"/>
  <c r="Z12" i="54" s="1"/>
  <c r="P12" i="54"/>
  <c r="X12" i="54" s="1"/>
  <c r="L12" i="54"/>
  <c r="H12" i="54"/>
  <c r="N12" i="54" s="1"/>
  <c r="D12" i="54"/>
  <c r="F24" i="54" s="1"/>
  <c r="D6" i="54"/>
  <c r="D4" i="54"/>
  <c r="X106" i="51"/>
  <c r="Z106" i="51" s="1"/>
  <c r="L106" i="51"/>
  <c r="N106" i="51" s="1"/>
  <c r="X102" i="51"/>
  <c r="Z102" i="51" s="1"/>
  <c r="T102" i="51"/>
  <c r="P102" i="51"/>
  <c r="H102" i="51"/>
  <c r="D102" i="51"/>
  <c r="B102" i="51"/>
  <c r="X101" i="51"/>
  <c r="Z101" i="51" s="1"/>
  <c r="T101" i="51"/>
  <c r="P101" i="51"/>
  <c r="H101" i="51"/>
  <c r="D101" i="51"/>
  <c r="L101" i="51" s="1"/>
  <c r="N101" i="51" s="1"/>
  <c r="B101" i="51"/>
  <c r="T100" i="51"/>
  <c r="P100" i="51"/>
  <c r="P99" i="51" s="1"/>
  <c r="X99" i="51" s="1"/>
  <c r="L100" i="51"/>
  <c r="H100" i="51"/>
  <c r="N100" i="51" s="1"/>
  <c r="D100" i="51"/>
  <c r="B100" i="51"/>
  <c r="T99" i="51"/>
  <c r="D99" i="51"/>
  <c r="X97" i="51"/>
  <c r="Z97" i="51" s="1"/>
  <c r="N97" i="51"/>
  <c r="L97" i="51"/>
  <c r="B97" i="51"/>
  <c r="X96" i="51"/>
  <c r="Z96" i="51" s="1"/>
  <c r="T96" i="51"/>
  <c r="P96" i="51"/>
  <c r="H96" i="51"/>
  <c r="D96" i="51"/>
  <c r="B96" i="51"/>
  <c r="X95" i="51"/>
  <c r="Z95" i="51" s="1"/>
  <c r="L95" i="51"/>
  <c r="N95" i="51" s="1"/>
  <c r="B95" i="51"/>
  <c r="T94" i="51"/>
  <c r="P94" i="51"/>
  <c r="H94" i="51"/>
  <c r="D94" i="51"/>
  <c r="L94" i="51" s="1"/>
  <c r="B94" i="51"/>
  <c r="X93" i="51"/>
  <c r="Z93" i="51" s="1"/>
  <c r="L93" i="51"/>
  <c r="N93" i="51" s="1"/>
  <c r="B93" i="51"/>
  <c r="X92" i="51"/>
  <c r="T92" i="51"/>
  <c r="Z92" i="51" s="1"/>
  <c r="P92" i="51"/>
  <c r="H92" i="51"/>
  <c r="D92" i="51"/>
  <c r="L92" i="51" s="1"/>
  <c r="N92" i="51" s="1"/>
  <c r="B92" i="51"/>
  <c r="Z91" i="51"/>
  <c r="X91" i="51"/>
  <c r="L91" i="51"/>
  <c r="N91" i="51" s="1"/>
  <c r="B91" i="51"/>
  <c r="X90" i="51"/>
  <c r="Z90" i="51" s="1"/>
  <c r="L90" i="51"/>
  <c r="N90" i="51" s="1"/>
  <c r="B90" i="51"/>
  <c r="Z89" i="51"/>
  <c r="X89" i="51"/>
  <c r="N89" i="51"/>
  <c r="L89" i="51"/>
  <c r="B89" i="51"/>
  <c r="X88" i="51"/>
  <c r="Z88" i="51" s="1"/>
  <c r="T88" i="51"/>
  <c r="P88" i="51"/>
  <c r="H88" i="51"/>
  <c r="D88" i="51"/>
  <c r="B88" i="51"/>
  <c r="X87" i="51"/>
  <c r="Z87" i="51" s="1"/>
  <c r="N87" i="51"/>
  <c r="L87" i="51"/>
  <c r="B87" i="51"/>
  <c r="T86" i="51"/>
  <c r="P86" i="51"/>
  <c r="H86" i="51"/>
  <c r="N86" i="51" s="1"/>
  <c r="D86" i="51"/>
  <c r="L86" i="51" s="1"/>
  <c r="B86" i="51"/>
  <c r="Z85" i="51"/>
  <c r="X85" i="51"/>
  <c r="N85" i="51"/>
  <c r="L85" i="51"/>
  <c r="B85" i="51"/>
  <c r="X84" i="51"/>
  <c r="T84" i="51"/>
  <c r="Z84" i="51" s="1"/>
  <c r="P84" i="51"/>
  <c r="N84" i="51"/>
  <c r="H84" i="51"/>
  <c r="D84" i="51"/>
  <c r="L84" i="51" s="1"/>
  <c r="B84" i="51"/>
  <c r="Z83" i="51"/>
  <c r="X83" i="51"/>
  <c r="N83" i="51"/>
  <c r="L83" i="51"/>
  <c r="B83" i="51"/>
  <c r="X82" i="51"/>
  <c r="T82" i="51"/>
  <c r="Z82" i="51" s="1"/>
  <c r="P82" i="51"/>
  <c r="N82" i="51"/>
  <c r="L82" i="51"/>
  <c r="H82" i="51"/>
  <c r="D82" i="51"/>
  <c r="B82" i="51"/>
  <c r="Z81" i="51"/>
  <c r="X81" i="51"/>
  <c r="N81" i="51"/>
  <c r="L81" i="51"/>
  <c r="B81" i="51"/>
  <c r="X80" i="51"/>
  <c r="Z80" i="51" s="1"/>
  <c r="L80" i="51"/>
  <c r="N80" i="51" s="1"/>
  <c r="B80" i="51"/>
  <c r="X79" i="51"/>
  <c r="Z79" i="51" s="1"/>
  <c r="T79" i="51"/>
  <c r="P79" i="51"/>
  <c r="H79" i="51"/>
  <c r="D79" i="51"/>
  <c r="L79" i="51" s="1"/>
  <c r="N79" i="51" s="1"/>
  <c r="B79" i="51"/>
  <c r="Z78" i="51"/>
  <c r="X78" i="51"/>
  <c r="L78" i="51"/>
  <c r="N78" i="51" s="1"/>
  <c r="B78" i="51"/>
  <c r="T77" i="51"/>
  <c r="P77" i="51"/>
  <c r="L77" i="51"/>
  <c r="N77" i="51" s="1"/>
  <c r="H77" i="51"/>
  <c r="D77" i="51"/>
  <c r="B77" i="51"/>
  <c r="X76" i="51"/>
  <c r="Z76" i="51" s="1"/>
  <c r="L76" i="51"/>
  <c r="N76" i="51" s="1"/>
  <c r="B76" i="51"/>
  <c r="T75" i="51"/>
  <c r="P75" i="51"/>
  <c r="X75" i="51" s="1"/>
  <c r="Z75" i="51" s="1"/>
  <c r="H75" i="51"/>
  <c r="D75" i="51"/>
  <c r="L75" i="51" s="1"/>
  <c r="B75" i="51"/>
  <c r="X74" i="51"/>
  <c r="Z74" i="51" s="1"/>
  <c r="N74" i="51"/>
  <c r="L74" i="51"/>
  <c r="B74" i="51"/>
  <c r="T73" i="51"/>
  <c r="P73" i="51"/>
  <c r="X73" i="51" s="1"/>
  <c r="Z73" i="51" s="1"/>
  <c r="L73" i="51"/>
  <c r="N73" i="51" s="1"/>
  <c r="H73" i="51"/>
  <c r="D73" i="51"/>
  <c r="B73" i="51"/>
  <c r="X72" i="51"/>
  <c r="Z72" i="51" s="1"/>
  <c r="L72" i="51"/>
  <c r="N72" i="51" s="1"/>
  <c r="B72" i="51"/>
  <c r="X71" i="51"/>
  <c r="Z71" i="51" s="1"/>
  <c r="N71" i="51"/>
  <c r="L71" i="51"/>
  <c r="B71" i="51"/>
  <c r="Z70" i="51"/>
  <c r="X70" i="51"/>
  <c r="L70" i="51"/>
  <c r="N70" i="51" s="1"/>
  <c r="B70" i="51"/>
  <c r="Z69" i="51"/>
  <c r="X69" i="51"/>
  <c r="N69" i="51"/>
  <c r="L69" i="51"/>
  <c r="B69" i="51"/>
  <c r="X68" i="51"/>
  <c r="Z68" i="51" s="1"/>
  <c r="L68" i="51"/>
  <c r="N68" i="51" s="1"/>
  <c r="B68" i="51"/>
  <c r="X67" i="51"/>
  <c r="Z67" i="51" s="1"/>
  <c r="T67" i="51"/>
  <c r="P67" i="51"/>
  <c r="H67" i="51"/>
  <c r="D67" i="51"/>
  <c r="B67" i="51"/>
  <c r="X66" i="51"/>
  <c r="Z66" i="51" s="1"/>
  <c r="L66" i="51"/>
  <c r="N66" i="51" s="1"/>
  <c r="B66" i="51"/>
  <c r="X65" i="51"/>
  <c r="Z65" i="51" s="1"/>
  <c r="N65" i="51"/>
  <c r="L65" i="51"/>
  <c r="B65" i="51"/>
  <c r="X64" i="51"/>
  <c r="Z64" i="51" s="1"/>
  <c r="L64" i="51"/>
  <c r="N64" i="51" s="1"/>
  <c r="B64" i="51"/>
  <c r="Z63" i="51"/>
  <c r="X63" i="51"/>
  <c r="L63" i="51"/>
  <c r="N63" i="51" s="1"/>
  <c r="B63" i="51"/>
  <c r="X62" i="51"/>
  <c r="Z62" i="51" s="1"/>
  <c r="L62" i="51"/>
  <c r="N62" i="51" s="1"/>
  <c r="B62" i="51"/>
  <c r="X61" i="51"/>
  <c r="Z61" i="51" s="1"/>
  <c r="N61" i="51"/>
  <c r="L61" i="51"/>
  <c r="B61" i="51"/>
  <c r="X60" i="51"/>
  <c r="Z60" i="51" s="1"/>
  <c r="L60" i="51"/>
  <c r="N60" i="51" s="1"/>
  <c r="B60" i="51"/>
  <c r="Z59" i="51"/>
  <c r="X59" i="51"/>
  <c r="L59" i="51"/>
  <c r="N59" i="51" s="1"/>
  <c r="B59" i="51"/>
  <c r="X58" i="51"/>
  <c r="Z58" i="51" s="1"/>
  <c r="L58" i="51"/>
  <c r="N58" i="51" s="1"/>
  <c r="B58" i="51"/>
  <c r="T57" i="51"/>
  <c r="P57" i="51"/>
  <c r="X57" i="51" s="1"/>
  <c r="H57" i="51"/>
  <c r="D57" i="51"/>
  <c r="L57" i="51" s="1"/>
  <c r="N57" i="51" s="1"/>
  <c r="B57" i="51"/>
  <c r="T56" i="51"/>
  <c r="P56" i="51"/>
  <c r="X56" i="51" s="1"/>
  <c r="H56" i="51"/>
  <c r="D56" i="51"/>
  <c r="X52" i="51"/>
  <c r="Z52" i="51" s="1"/>
  <c r="N52" i="51"/>
  <c r="L52" i="51"/>
  <c r="B52" i="51"/>
  <c r="X51" i="51"/>
  <c r="Z51" i="51" s="1"/>
  <c r="N51" i="51"/>
  <c r="L51" i="51"/>
  <c r="B51" i="51"/>
  <c r="X50" i="51"/>
  <c r="Z50" i="51" s="1"/>
  <c r="N50" i="51"/>
  <c r="L50" i="51"/>
  <c r="B50" i="51"/>
  <c r="Z49" i="51"/>
  <c r="X49" i="51"/>
  <c r="N49" i="51"/>
  <c r="L49" i="51"/>
  <c r="B49" i="51"/>
  <c r="X48" i="51"/>
  <c r="Z48" i="51" s="1"/>
  <c r="L48" i="51"/>
  <c r="N48" i="51" s="1"/>
  <c r="B48" i="51"/>
  <c r="X47" i="51"/>
  <c r="Z47" i="51" s="1"/>
  <c r="L47" i="51"/>
  <c r="N47" i="51" s="1"/>
  <c r="B47" i="51"/>
  <c r="X46" i="51"/>
  <c r="Z46" i="51" s="1"/>
  <c r="N46" i="51"/>
  <c r="L46" i="51"/>
  <c r="B46" i="51"/>
  <c r="Z45" i="51"/>
  <c r="X45" i="51"/>
  <c r="L45" i="51"/>
  <c r="N45" i="51" s="1"/>
  <c r="B45" i="51"/>
  <c r="X44" i="51"/>
  <c r="Z44" i="51" s="1"/>
  <c r="L44" i="51"/>
  <c r="N44" i="51" s="1"/>
  <c r="B44" i="51"/>
  <c r="X43" i="51"/>
  <c r="Z43" i="51" s="1"/>
  <c r="N43" i="51"/>
  <c r="L43" i="51"/>
  <c r="B43" i="51"/>
  <c r="X42" i="51"/>
  <c r="Z42" i="51" s="1"/>
  <c r="N42" i="51"/>
  <c r="L42" i="51"/>
  <c r="B42" i="51"/>
  <c r="Z41" i="51"/>
  <c r="X41" i="51"/>
  <c r="L41" i="51"/>
  <c r="N41" i="51" s="1"/>
  <c r="B41" i="51"/>
  <c r="X40" i="51"/>
  <c r="Z40" i="51" s="1"/>
  <c r="L40" i="51"/>
  <c r="N40" i="51" s="1"/>
  <c r="B40" i="51"/>
  <c r="X39" i="51"/>
  <c r="Z39" i="51" s="1"/>
  <c r="T39" i="51"/>
  <c r="P39" i="51"/>
  <c r="H39" i="51"/>
  <c r="D39" i="51"/>
  <c r="L39" i="51" s="1"/>
  <c r="N39" i="51" s="1"/>
  <c r="X37" i="51"/>
  <c r="Z37" i="51" s="1"/>
  <c r="T37" i="51"/>
  <c r="P37" i="51"/>
  <c r="H37" i="51"/>
  <c r="N37" i="51" s="1"/>
  <c r="D37" i="51"/>
  <c r="B37" i="51"/>
  <c r="T36" i="51"/>
  <c r="P36" i="51"/>
  <c r="X36" i="51" s="1"/>
  <c r="N36" i="51"/>
  <c r="H36" i="51"/>
  <c r="D36" i="51"/>
  <c r="L36" i="51" s="1"/>
  <c r="B36" i="51"/>
  <c r="T35" i="51"/>
  <c r="P35" i="51"/>
  <c r="H35" i="51"/>
  <c r="N35" i="51" s="1"/>
  <c r="D35" i="51"/>
  <c r="L35" i="51" s="1"/>
  <c r="B35" i="51"/>
  <c r="T34" i="51"/>
  <c r="Z34" i="51" s="1"/>
  <c r="P34" i="51"/>
  <c r="X34" i="51" s="1"/>
  <c r="N34" i="51"/>
  <c r="L34" i="51"/>
  <c r="H34" i="51"/>
  <c r="D34" i="51"/>
  <c r="B34" i="51"/>
  <c r="X33" i="51"/>
  <c r="Z33" i="51" s="1"/>
  <c r="T33" i="51"/>
  <c r="P33" i="51"/>
  <c r="H33" i="51"/>
  <c r="D33" i="51"/>
  <c r="B33" i="51"/>
  <c r="T32" i="51"/>
  <c r="P32" i="51"/>
  <c r="X32" i="51" s="1"/>
  <c r="N32" i="51"/>
  <c r="H32" i="51"/>
  <c r="D32" i="51"/>
  <c r="L32" i="51" s="1"/>
  <c r="B32" i="51"/>
  <c r="T31" i="51"/>
  <c r="P31" i="51"/>
  <c r="H31" i="51"/>
  <c r="N31" i="51" s="1"/>
  <c r="D31" i="51"/>
  <c r="L31" i="51" s="1"/>
  <c r="B31" i="51"/>
  <c r="T30" i="51"/>
  <c r="Z30" i="51" s="1"/>
  <c r="P30" i="51"/>
  <c r="X30" i="51" s="1"/>
  <c r="L30" i="51"/>
  <c r="N30" i="51" s="1"/>
  <c r="H30" i="51"/>
  <c r="D30" i="51"/>
  <c r="B30" i="51"/>
  <c r="X29" i="51"/>
  <c r="Z29" i="51" s="1"/>
  <c r="T29" i="51"/>
  <c r="P29" i="51"/>
  <c r="H29" i="51"/>
  <c r="D29" i="51"/>
  <c r="B29" i="51"/>
  <c r="T28" i="51"/>
  <c r="Z28" i="51" s="1"/>
  <c r="P28" i="51"/>
  <c r="X28" i="51" s="1"/>
  <c r="H28" i="51"/>
  <c r="D28" i="51"/>
  <c r="L28" i="51" s="1"/>
  <c r="N28" i="51" s="1"/>
  <c r="B28" i="51"/>
  <c r="T27" i="51"/>
  <c r="P27" i="51"/>
  <c r="H27" i="51"/>
  <c r="N27" i="51" s="1"/>
  <c r="D27" i="51"/>
  <c r="L27" i="51" s="1"/>
  <c r="B27" i="51"/>
  <c r="T26" i="51"/>
  <c r="P26" i="51"/>
  <c r="X26" i="51" s="1"/>
  <c r="L26" i="51"/>
  <c r="N26" i="51" s="1"/>
  <c r="H26" i="51"/>
  <c r="D26" i="51"/>
  <c r="B26" i="51"/>
  <c r="X25" i="51"/>
  <c r="Z25" i="51" s="1"/>
  <c r="T25" i="51"/>
  <c r="P25" i="51"/>
  <c r="H25" i="51"/>
  <c r="D25" i="51"/>
  <c r="B25" i="51"/>
  <c r="T24" i="51"/>
  <c r="P24" i="51"/>
  <c r="X24" i="51" s="1"/>
  <c r="H24" i="51"/>
  <c r="D24" i="51"/>
  <c r="L24" i="51" s="1"/>
  <c r="N24" i="51" s="1"/>
  <c r="B24" i="51"/>
  <c r="T23" i="51"/>
  <c r="P23" i="51"/>
  <c r="H23" i="51"/>
  <c r="D23" i="51"/>
  <c r="L23" i="51" s="1"/>
  <c r="B23" i="51"/>
  <c r="T22" i="51"/>
  <c r="Z22" i="51" s="1"/>
  <c r="P22" i="51"/>
  <c r="X22" i="51" s="1"/>
  <c r="L22" i="51"/>
  <c r="N22" i="51" s="1"/>
  <c r="H22" i="51"/>
  <c r="D22" i="51"/>
  <c r="B22" i="51"/>
  <c r="X21" i="51"/>
  <c r="Z21" i="51" s="1"/>
  <c r="T21" i="51"/>
  <c r="P21" i="51"/>
  <c r="H21" i="51"/>
  <c r="N21" i="51" s="1"/>
  <c r="D21" i="51"/>
  <c r="B21" i="51"/>
  <c r="T20" i="51"/>
  <c r="Z20" i="51" s="1"/>
  <c r="P20" i="51"/>
  <c r="X20" i="51" s="1"/>
  <c r="H20" i="51"/>
  <c r="D20" i="51"/>
  <c r="L20" i="51" s="1"/>
  <c r="N20" i="51" s="1"/>
  <c r="B20" i="51"/>
  <c r="T19" i="51"/>
  <c r="P19" i="51"/>
  <c r="H19" i="51"/>
  <c r="D19" i="51"/>
  <c r="L19" i="51" s="1"/>
  <c r="B19" i="51"/>
  <c r="T18" i="51"/>
  <c r="P18" i="51"/>
  <c r="X18" i="51" s="1"/>
  <c r="N18" i="51"/>
  <c r="L18" i="51"/>
  <c r="H18" i="51"/>
  <c r="D18" i="51"/>
  <c r="B18" i="51"/>
  <c r="X17" i="51"/>
  <c r="Z17" i="51" s="1"/>
  <c r="T17" i="51"/>
  <c r="P17" i="51"/>
  <c r="H17" i="51"/>
  <c r="N17" i="51" s="1"/>
  <c r="D17" i="51"/>
  <c r="B17" i="51"/>
  <c r="T16" i="51"/>
  <c r="Z16" i="51" s="1"/>
  <c r="P16" i="51"/>
  <c r="X16" i="51" s="1"/>
  <c r="H16" i="51"/>
  <c r="D16" i="51"/>
  <c r="L16" i="51" s="1"/>
  <c r="N16" i="51" s="1"/>
  <c r="B16" i="51"/>
  <c r="T15" i="51"/>
  <c r="P15" i="51"/>
  <c r="H15" i="51"/>
  <c r="D15" i="51"/>
  <c r="B15" i="51"/>
  <c r="T14" i="51"/>
  <c r="P14" i="51"/>
  <c r="X14" i="51" s="1"/>
  <c r="L14" i="51"/>
  <c r="N14" i="51" s="1"/>
  <c r="H14" i="51"/>
  <c r="D14" i="51"/>
  <c r="B14" i="51"/>
  <c r="Z13" i="51"/>
  <c r="X13" i="51"/>
  <c r="T13" i="51"/>
  <c r="P13" i="51"/>
  <c r="H13" i="51"/>
  <c r="H12" i="51" s="1"/>
  <c r="J82" i="51" s="1"/>
  <c r="D13" i="51"/>
  <c r="B13" i="51"/>
  <c r="D4" i="51"/>
  <c r="Z65" i="48"/>
  <c r="X65" i="48"/>
  <c r="L65" i="48"/>
  <c r="N65" i="48" s="1"/>
  <c r="X61" i="48"/>
  <c r="T61" i="48"/>
  <c r="Z61" i="48" s="1"/>
  <c r="P61" i="48"/>
  <c r="H61" i="48"/>
  <c r="D61" i="48"/>
  <c r="B61" i="48"/>
  <c r="T60" i="48"/>
  <c r="P60" i="48"/>
  <c r="D60" i="48"/>
  <c r="X58" i="48"/>
  <c r="Z58" i="48" s="1"/>
  <c r="L58" i="48"/>
  <c r="N58" i="48" s="1"/>
  <c r="B58" i="48"/>
  <c r="T57" i="48"/>
  <c r="Z57" i="48" s="1"/>
  <c r="P57" i="48"/>
  <c r="X57" i="48" s="1"/>
  <c r="H57" i="48"/>
  <c r="D57" i="48"/>
  <c r="L57" i="48" s="1"/>
  <c r="N57" i="48" s="1"/>
  <c r="B57" i="48"/>
  <c r="X56" i="48"/>
  <c r="Z56" i="48" s="1"/>
  <c r="N56" i="48"/>
  <c r="L56" i="48"/>
  <c r="B56" i="48"/>
  <c r="X55" i="48"/>
  <c r="Z55" i="48" s="1"/>
  <c r="L55" i="48"/>
  <c r="N55" i="48" s="1"/>
  <c r="B55" i="48"/>
  <c r="X54" i="48"/>
  <c r="Z54" i="48" s="1"/>
  <c r="N54" i="48"/>
  <c r="L54" i="48"/>
  <c r="B54" i="48"/>
  <c r="T53" i="48"/>
  <c r="P53" i="48"/>
  <c r="X53" i="48" s="1"/>
  <c r="Z53" i="48" s="1"/>
  <c r="L53" i="48"/>
  <c r="N53" i="48" s="1"/>
  <c r="H53" i="48"/>
  <c r="D53" i="48"/>
  <c r="B53" i="48"/>
  <c r="Z52" i="48"/>
  <c r="X52" i="48"/>
  <c r="N52" i="48"/>
  <c r="L52" i="48"/>
  <c r="B52" i="48"/>
  <c r="Z51" i="48"/>
  <c r="X51" i="48"/>
  <c r="N51" i="48"/>
  <c r="L51" i="48"/>
  <c r="B51" i="48"/>
  <c r="Z50" i="48"/>
  <c r="X50" i="48"/>
  <c r="N50" i="48"/>
  <c r="L50" i="48"/>
  <c r="B50" i="48"/>
  <c r="T49" i="48"/>
  <c r="P49" i="48"/>
  <c r="N49" i="48"/>
  <c r="L49" i="48"/>
  <c r="H49" i="48"/>
  <c r="D49" i="48"/>
  <c r="B49" i="48"/>
  <c r="X48" i="48"/>
  <c r="Z48" i="48" s="1"/>
  <c r="L48" i="48"/>
  <c r="N48" i="48" s="1"/>
  <c r="B48" i="48"/>
  <c r="T47" i="48"/>
  <c r="Z47" i="48" s="1"/>
  <c r="P47" i="48"/>
  <c r="X47" i="48" s="1"/>
  <c r="H47" i="48"/>
  <c r="D47" i="48"/>
  <c r="B47" i="48"/>
  <c r="X46" i="48"/>
  <c r="Z46" i="48" s="1"/>
  <c r="N46" i="48"/>
  <c r="L46" i="48"/>
  <c r="B46" i="48"/>
  <c r="Z45" i="48"/>
  <c r="T45" i="48"/>
  <c r="P45" i="48"/>
  <c r="X45" i="48" s="1"/>
  <c r="H45" i="48"/>
  <c r="D45" i="48"/>
  <c r="L45" i="48" s="1"/>
  <c r="N45" i="48" s="1"/>
  <c r="B45" i="48"/>
  <c r="Z44" i="48"/>
  <c r="X44" i="48"/>
  <c r="N44" i="48"/>
  <c r="L44" i="48"/>
  <c r="B44" i="48"/>
  <c r="Z43" i="48"/>
  <c r="X43" i="48"/>
  <c r="N43" i="48"/>
  <c r="L43" i="48"/>
  <c r="B43" i="48"/>
  <c r="Z42" i="48"/>
  <c r="T42" i="48"/>
  <c r="P42" i="48"/>
  <c r="X42" i="48" s="1"/>
  <c r="N42" i="48"/>
  <c r="H42" i="48"/>
  <c r="D42" i="48"/>
  <c r="L42" i="48" s="1"/>
  <c r="B42" i="48"/>
  <c r="X41" i="48"/>
  <c r="Z41" i="48" s="1"/>
  <c r="N41" i="48"/>
  <c r="L41" i="48"/>
  <c r="B41" i="48"/>
  <c r="Z40" i="48"/>
  <c r="X40" i="48"/>
  <c r="T40" i="48"/>
  <c r="P40" i="48"/>
  <c r="N40" i="48"/>
  <c r="H40" i="48"/>
  <c r="L40" i="48" s="1"/>
  <c r="D40" i="48"/>
  <c r="B40" i="48"/>
  <c r="X39" i="48"/>
  <c r="Z39" i="48" s="1"/>
  <c r="L39" i="48"/>
  <c r="N39" i="48" s="1"/>
  <c r="B39" i="48"/>
  <c r="T38" i="48"/>
  <c r="R38" i="48"/>
  <c r="P38" i="48"/>
  <c r="H38" i="48"/>
  <c r="D38" i="48"/>
  <c r="L38" i="48" s="1"/>
  <c r="B38" i="48"/>
  <c r="X37" i="48"/>
  <c r="Z37" i="48" s="1"/>
  <c r="N37" i="48"/>
  <c r="L37" i="48"/>
  <c r="B37" i="48"/>
  <c r="T36" i="48"/>
  <c r="P36" i="48"/>
  <c r="X36" i="48" s="1"/>
  <c r="Z36" i="48" s="1"/>
  <c r="N36" i="48"/>
  <c r="H36" i="48"/>
  <c r="D36" i="48"/>
  <c r="L36" i="48" s="1"/>
  <c r="B36" i="48"/>
  <c r="Z35" i="48"/>
  <c r="X35" i="48"/>
  <c r="R35" i="48"/>
  <c r="L35" i="48"/>
  <c r="N35" i="48" s="1"/>
  <c r="B35" i="48"/>
  <c r="Z34" i="48"/>
  <c r="X34" i="48"/>
  <c r="R34" i="48"/>
  <c r="L34" i="48"/>
  <c r="N34" i="48" s="1"/>
  <c r="B34" i="48"/>
  <c r="Z33" i="48"/>
  <c r="X33" i="48"/>
  <c r="N33" i="48"/>
  <c r="L33" i="48"/>
  <c r="B33" i="48"/>
  <c r="X32" i="48"/>
  <c r="Z32" i="48" s="1"/>
  <c r="L32" i="48"/>
  <c r="N32" i="48" s="1"/>
  <c r="B32" i="48"/>
  <c r="Z31" i="48"/>
  <c r="X31" i="48"/>
  <c r="N31" i="48"/>
  <c r="L31" i="48"/>
  <c r="B31" i="48"/>
  <c r="Z30" i="48"/>
  <c r="T30" i="48"/>
  <c r="X30" i="48" s="1"/>
  <c r="P30" i="48"/>
  <c r="L30" i="48"/>
  <c r="N30" i="48" s="1"/>
  <c r="H30" i="48"/>
  <c r="D30" i="48"/>
  <c r="B30" i="48"/>
  <c r="Z29" i="48"/>
  <c r="X29" i="48"/>
  <c r="L29" i="48"/>
  <c r="N29" i="48" s="1"/>
  <c r="B29" i="48"/>
  <c r="X28" i="48"/>
  <c r="Z28" i="48" s="1"/>
  <c r="L28" i="48"/>
  <c r="N28" i="48" s="1"/>
  <c r="B28" i="48"/>
  <c r="X27" i="48"/>
  <c r="Z27" i="48" s="1"/>
  <c r="L27" i="48"/>
  <c r="N27" i="48" s="1"/>
  <c r="B27" i="48"/>
  <c r="Z26" i="48"/>
  <c r="X26" i="48"/>
  <c r="N26" i="48"/>
  <c r="L26" i="48"/>
  <c r="B26" i="48"/>
  <c r="Z25" i="48"/>
  <c r="X25" i="48"/>
  <c r="L25" i="48"/>
  <c r="N25" i="48" s="1"/>
  <c r="B25" i="48"/>
  <c r="X24" i="48"/>
  <c r="Z24" i="48" s="1"/>
  <c r="L24" i="48"/>
  <c r="N24" i="48" s="1"/>
  <c r="B24" i="48"/>
  <c r="X23" i="48"/>
  <c r="Z23" i="48" s="1"/>
  <c r="L23" i="48"/>
  <c r="N23" i="48" s="1"/>
  <c r="B23" i="48"/>
  <c r="X22" i="48"/>
  <c r="Z22" i="48" s="1"/>
  <c r="R22" i="48"/>
  <c r="N22" i="48"/>
  <c r="L22" i="48"/>
  <c r="B22" i="48"/>
  <c r="Z21" i="48"/>
  <c r="X21" i="48"/>
  <c r="L21" i="48"/>
  <c r="N21" i="48" s="1"/>
  <c r="B21" i="48"/>
  <c r="T20" i="48"/>
  <c r="P20" i="48"/>
  <c r="H20" i="48"/>
  <c r="D20" i="48"/>
  <c r="B20" i="48"/>
  <c r="T19" i="48"/>
  <c r="P19" i="48"/>
  <c r="X19" i="48" s="1"/>
  <c r="H19" i="48"/>
  <c r="D19" i="48"/>
  <c r="L19" i="48" s="1"/>
  <c r="X15" i="48"/>
  <c r="T15" i="48"/>
  <c r="Z15" i="48" s="1"/>
  <c r="R15" i="48"/>
  <c r="P15" i="48"/>
  <c r="H15" i="48"/>
  <c r="N15" i="48" s="1"/>
  <c r="D15" i="48"/>
  <c r="T13" i="48"/>
  <c r="P13" i="48"/>
  <c r="P12" i="48" s="1"/>
  <c r="R57" i="48" s="1"/>
  <c r="N13" i="48"/>
  <c r="H13" i="48"/>
  <c r="D13" i="48"/>
  <c r="L13" i="48" s="1"/>
  <c r="B13" i="48"/>
  <c r="H12" i="48"/>
  <c r="J52" i="48" s="1"/>
  <c r="D12" i="48"/>
  <c r="F36" i="48" s="1"/>
  <c r="D4" i="48"/>
  <c r="X95" i="45"/>
  <c r="Z95" i="45" s="1"/>
  <c r="N95" i="45"/>
  <c r="L95" i="45"/>
  <c r="Z91" i="45"/>
  <c r="T91" i="45"/>
  <c r="P91" i="45"/>
  <c r="X91" i="45" s="1"/>
  <c r="H91" i="45"/>
  <c r="L91" i="45" s="1"/>
  <c r="D91" i="45"/>
  <c r="Z89" i="45"/>
  <c r="X89" i="45"/>
  <c r="L89" i="45"/>
  <c r="N89" i="45" s="1"/>
  <c r="B89" i="45"/>
  <c r="X88" i="45"/>
  <c r="T88" i="45"/>
  <c r="Z88" i="45" s="1"/>
  <c r="P88" i="45"/>
  <c r="L88" i="45"/>
  <c r="N88" i="45" s="1"/>
  <c r="H88" i="45"/>
  <c r="D88" i="45"/>
  <c r="B88" i="45"/>
  <c r="Z87" i="45"/>
  <c r="X87" i="45"/>
  <c r="N87" i="45"/>
  <c r="L87" i="45"/>
  <c r="B87" i="45"/>
  <c r="T86" i="45"/>
  <c r="P86" i="45"/>
  <c r="H86" i="45"/>
  <c r="D86" i="45"/>
  <c r="B86" i="45"/>
  <c r="Z85" i="45"/>
  <c r="X85" i="45"/>
  <c r="N85" i="45"/>
  <c r="L85" i="45"/>
  <c r="B85" i="45"/>
  <c r="Z84" i="45"/>
  <c r="T84" i="45"/>
  <c r="P84" i="45"/>
  <c r="X84" i="45" s="1"/>
  <c r="H84" i="45"/>
  <c r="D84" i="45"/>
  <c r="L84" i="45" s="1"/>
  <c r="B84" i="45"/>
  <c r="X83" i="45"/>
  <c r="Z83" i="45" s="1"/>
  <c r="N83" i="45"/>
  <c r="L83" i="45"/>
  <c r="B83" i="45"/>
  <c r="X82" i="45"/>
  <c r="Z82" i="45" s="1"/>
  <c r="V82" i="45"/>
  <c r="L82" i="45"/>
  <c r="N82" i="45" s="1"/>
  <c r="B82" i="45"/>
  <c r="Z81" i="45"/>
  <c r="X81" i="45"/>
  <c r="N81" i="45"/>
  <c r="L81" i="45"/>
  <c r="B81" i="45"/>
  <c r="X80" i="45"/>
  <c r="Z80" i="45" s="1"/>
  <c r="L80" i="45"/>
  <c r="N80" i="45" s="1"/>
  <c r="B80" i="45"/>
  <c r="X79" i="45"/>
  <c r="Z79" i="45" s="1"/>
  <c r="N79" i="45"/>
  <c r="L79" i="45"/>
  <c r="B79" i="45"/>
  <c r="X78" i="45"/>
  <c r="Z78" i="45" s="1"/>
  <c r="V78" i="45"/>
  <c r="L78" i="45"/>
  <c r="N78" i="45" s="1"/>
  <c r="B78" i="45"/>
  <c r="Z77" i="45"/>
  <c r="X77" i="45"/>
  <c r="L77" i="45"/>
  <c r="N77" i="45" s="1"/>
  <c r="B77" i="45"/>
  <c r="Z76" i="45"/>
  <c r="X76" i="45"/>
  <c r="N76" i="45"/>
  <c r="L76" i="45"/>
  <c r="B76" i="45"/>
  <c r="X75" i="45"/>
  <c r="Z75" i="45" s="1"/>
  <c r="N75" i="45"/>
  <c r="L75" i="45"/>
  <c r="B75" i="45"/>
  <c r="X74" i="45"/>
  <c r="Z74" i="45" s="1"/>
  <c r="V74" i="45"/>
  <c r="T74" i="45"/>
  <c r="P74" i="45"/>
  <c r="L74" i="45"/>
  <c r="N74" i="45" s="1"/>
  <c r="H74" i="45"/>
  <c r="D74" i="45"/>
  <c r="B74" i="45"/>
  <c r="Z73" i="45"/>
  <c r="X73" i="45"/>
  <c r="N73" i="45"/>
  <c r="L73" i="45"/>
  <c r="B73" i="45"/>
  <c r="T72" i="45"/>
  <c r="Z72" i="45" s="1"/>
  <c r="P72" i="45"/>
  <c r="H72" i="45"/>
  <c r="N72" i="45" s="1"/>
  <c r="D72" i="45"/>
  <c r="B72" i="45"/>
  <c r="Z71" i="45"/>
  <c r="X71" i="45"/>
  <c r="R71" i="45"/>
  <c r="L71" i="45"/>
  <c r="N71" i="45" s="1"/>
  <c r="B71" i="45"/>
  <c r="X70" i="45"/>
  <c r="Z70" i="45" s="1"/>
  <c r="L70" i="45"/>
  <c r="N70" i="45" s="1"/>
  <c r="B70" i="45"/>
  <c r="Z69" i="45"/>
  <c r="X69" i="45"/>
  <c r="N69" i="45"/>
  <c r="L69" i="45"/>
  <c r="B69" i="45"/>
  <c r="Z68" i="45"/>
  <c r="T68" i="45"/>
  <c r="P68" i="45"/>
  <c r="X68" i="45" s="1"/>
  <c r="H68" i="45"/>
  <c r="N68" i="45" s="1"/>
  <c r="D68" i="45"/>
  <c r="L68" i="45" s="1"/>
  <c r="B68" i="45"/>
  <c r="X67" i="45"/>
  <c r="Z67" i="45" s="1"/>
  <c r="N67" i="45"/>
  <c r="L67" i="45"/>
  <c r="B67" i="45"/>
  <c r="X66" i="45"/>
  <c r="Z66" i="45" s="1"/>
  <c r="V66" i="45"/>
  <c r="L66" i="45"/>
  <c r="N66" i="45" s="1"/>
  <c r="B66" i="45"/>
  <c r="Z65" i="45"/>
  <c r="X65" i="45"/>
  <c r="L65" i="45"/>
  <c r="N65" i="45" s="1"/>
  <c r="B65" i="45"/>
  <c r="X64" i="45"/>
  <c r="T64" i="45"/>
  <c r="Z64" i="45" s="1"/>
  <c r="P64" i="45"/>
  <c r="L64" i="45"/>
  <c r="N64" i="45" s="1"/>
  <c r="H64" i="45"/>
  <c r="D64" i="45"/>
  <c r="B64" i="45"/>
  <c r="Z63" i="45"/>
  <c r="X63" i="45"/>
  <c r="N63" i="45"/>
  <c r="L63" i="45"/>
  <c r="B63" i="45"/>
  <c r="T62" i="45"/>
  <c r="P62" i="45"/>
  <c r="H62" i="45"/>
  <c r="D62" i="45"/>
  <c r="B62" i="45"/>
  <c r="Z61" i="45"/>
  <c r="X61" i="45"/>
  <c r="N61" i="45"/>
  <c r="L61" i="45"/>
  <c r="B61" i="45"/>
  <c r="Z60" i="45"/>
  <c r="T60" i="45"/>
  <c r="P60" i="45"/>
  <c r="X60" i="45" s="1"/>
  <c r="H60" i="45"/>
  <c r="N60" i="45" s="1"/>
  <c r="D60" i="45"/>
  <c r="L60" i="45" s="1"/>
  <c r="B60" i="45"/>
  <c r="X59" i="45"/>
  <c r="Z59" i="45" s="1"/>
  <c r="N59" i="45"/>
  <c r="L59" i="45"/>
  <c r="B59" i="45"/>
  <c r="X58" i="45"/>
  <c r="Z58" i="45" s="1"/>
  <c r="V58" i="45"/>
  <c r="T58" i="45"/>
  <c r="P58" i="45"/>
  <c r="L58" i="45"/>
  <c r="H58" i="45"/>
  <c r="N58" i="45" s="1"/>
  <c r="D58" i="45"/>
  <c r="B58" i="45"/>
  <c r="X57" i="45"/>
  <c r="Z57" i="45" s="1"/>
  <c r="N57" i="45"/>
  <c r="L57" i="45"/>
  <c r="B57" i="45"/>
  <c r="T56" i="45"/>
  <c r="P56" i="45"/>
  <c r="H56" i="45"/>
  <c r="D56" i="45"/>
  <c r="B56" i="45"/>
  <c r="Z55" i="45"/>
  <c r="X55" i="45"/>
  <c r="R55" i="45"/>
  <c r="L55" i="45"/>
  <c r="N55" i="45" s="1"/>
  <c r="B55" i="45"/>
  <c r="T54" i="45"/>
  <c r="P54" i="45"/>
  <c r="X54" i="45" s="1"/>
  <c r="H54" i="45"/>
  <c r="D54" i="45"/>
  <c r="L54" i="45" s="1"/>
  <c r="N54" i="45" s="1"/>
  <c r="B54" i="45"/>
  <c r="Z53" i="45"/>
  <c r="X53" i="45"/>
  <c r="L53" i="45"/>
  <c r="N53" i="45" s="1"/>
  <c r="B53" i="45"/>
  <c r="X52" i="45"/>
  <c r="T52" i="45"/>
  <c r="Z52" i="45" s="1"/>
  <c r="P52" i="45"/>
  <c r="L52" i="45"/>
  <c r="N52" i="45" s="1"/>
  <c r="H52" i="45"/>
  <c r="D52" i="45"/>
  <c r="B52" i="45"/>
  <c r="Z51" i="45"/>
  <c r="X51" i="45"/>
  <c r="N51" i="45"/>
  <c r="L51" i="45"/>
  <c r="B51" i="45"/>
  <c r="T50" i="45"/>
  <c r="Z50" i="45" s="1"/>
  <c r="P50" i="45"/>
  <c r="H50" i="45"/>
  <c r="N50" i="45" s="1"/>
  <c r="D50" i="45"/>
  <c r="B50" i="45"/>
  <c r="Z49" i="45"/>
  <c r="X49" i="45"/>
  <c r="N49" i="45"/>
  <c r="L49" i="45"/>
  <c r="B49" i="45"/>
  <c r="T48" i="45"/>
  <c r="P48" i="45"/>
  <c r="X48" i="45" s="1"/>
  <c r="Z48" i="45" s="1"/>
  <c r="H48" i="45"/>
  <c r="N48" i="45" s="1"/>
  <c r="D48" i="45"/>
  <c r="L48" i="45" s="1"/>
  <c r="B48" i="45"/>
  <c r="X47" i="45"/>
  <c r="Z47" i="45" s="1"/>
  <c r="N47" i="45"/>
  <c r="L47" i="45"/>
  <c r="B47" i="45"/>
  <c r="X46" i="45"/>
  <c r="Z46" i="45" s="1"/>
  <c r="V46" i="45"/>
  <c r="T46" i="45"/>
  <c r="P46" i="45"/>
  <c r="L46" i="45"/>
  <c r="H46" i="45"/>
  <c r="N46" i="45" s="1"/>
  <c r="D46" i="45"/>
  <c r="B46" i="45"/>
  <c r="X45" i="45"/>
  <c r="Z45" i="45" s="1"/>
  <c r="N45" i="45"/>
  <c r="L45" i="45"/>
  <c r="B45" i="45"/>
  <c r="T44" i="45"/>
  <c r="P44" i="45"/>
  <c r="H44" i="45"/>
  <c r="D44" i="45"/>
  <c r="B44" i="45"/>
  <c r="Z43" i="45"/>
  <c r="X43" i="45"/>
  <c r="L43" i="45"/>
  <c r="N43" i="45" s="1"/>
  <c r="B43" i="45"/>
  <c r="X42" i="45"/>
  <c r="Z42" i="45" s="1"/>
  <c r="L42" i="45"/>
  <c r="N42" i="45" s="1"/>
  <c r="B42" i="45"/>
  <c r="Z41" i="45"/>
  <c r="X41" i="45"/>
  <c r="N41" i="45"/>
  <c r="L41" i="45"/>
  <c r="B41" i="45"/>
  <c r="Z40" i="45"/>
  <c r="X40" i="45"/>
  <c r="L40" i="45"/>
  <c r="N40" i="45" s="1"/>
  <c r="B40" i="45"/>
  <c r="Z39" i="45"/>
  <c r="X39" i="45"/>
  <c r="L39" i="45"/>
  <c r="N39" i="45" s="1"/>
  <c r="B39" i="45"/>
  <c r="X38" i="45"/>
  <c r="Z38" i="45" s="1"/>
  <c r="L38" i="45"/>
  <c r="N38" i="45" s="1"/>
  <c r="B38" i="45"/>
  <c r="Z37" i="45"/>
  <c r="X37" i="45"/>
  <c r="N37" i="45"/>
  <c r="L37" i="45"/>
  <c r="B37" i="45"/>
  <c r="T36" i="45"/>
  <c r="P36" i="45"/>
  <c r="X36" i="45" s="1"/>
  <c r="Z36" i="45" s="1"/>
  <c r="H36" i="45"/>
  <c r="N36" i="45" s="1"/>
  <c r="D36" i="45"/>
  <c r="L36" i="45" s="1"/>
  <c r="B36" i="45"/>
  <c r="X35" i="45"/>
  <c r="Z35" i="45" s="1"/>
  <c r="N35" i="45"/>
  <c r="L35" i="45"/>
  <c r="B35" i="45"/>
  <c r="X34" i="45"/>
  <c r="Z34" i="45" s="1"/>
  <c r="V34" i="45"/>
  <c r="L34" i="45"/>
  <c r="N34" i="45" s="1"/>
  <c r="B34" i="45"/>
  <c r="Z33" i="45"/>
  <c r="X33" i="45"/>
  <c r="L33" i="45"/>
  <c r="N33" i="45" s="1"/>
  <c r="B33" i="45"/>
  <c r="X32" i="45"/>
  <c r="Z32" i="45" s="1"/>
  <c r="L32" i="45"/>
  <c r="N32" i="45" s="1"/>
  <c r="B32" i="45"/>
  <c r="X31" i="45"/>
  <c r="Z31" i="45" s="1"/>
  <c r="N31" i="45"/>
  <c r="L31" i="45"/>
  <c r="B31" i="45"/>
  <c r="X30" i="45"/>
  <c r="Z30" i="45" s="1"/>
  <c r="V30" i="45"/>
  <c r="L30" i="45"/>
  <c r="N30" i="45" s="1"/>
  <c r="B30" i="45"/>
  <c r="Z29" i="45"/>
  <c r="X29" i="45"/>
  <c r="L29" i="45"/>
  <c r="N29" i="45" s="1"/>
  <c r="B29" i="45"/>
  <c r="X28" i="45"/>
  <c r="Z28" i="45" s="1"/>
  <c r="L28" i="45"/>
  <c r="N28" i="45" s="1"/>
  <c r="B28" i="45"/>
  <c r="X27" i="45"/>
  <c r="Z27" i="45" s="1"/>
  <c r="N27" i="45"/>
  <c r="L27" i="45"/>
  <c r="B27" i="45"/>
  <c r="X26" i="45"/>
  <c r="Z26" i="45" s="1"/>
  <c r="V26" i="45"/>
  <c r="T26" i="45"/>
  <c r="P26" i="45"/>
  <c r="L26" i="45"/>
  <c r="H26" i="45"/>
  <c r="N26" i="45" s="1"/>
  <c r="D26" i="45"/>
  <c r="B26" i="45"/>
  <c r="X25" i="45"/>
  <c r="Z25" i="45" s="1"/>
  <c r="T25" i="45"/>
  <c r="P25" i="45"/>
  <c r="H25" i="45"/>
  <c r="D25" i="45"/>
  <c r="L25" i="45" s="1"/>
  <c r="N25" i="45" s="1"/>
  <c r="X21" i="45"/>
  <c r="Z21" i="45" s="1"/>
  <c r="N21" i="45"/>
  <c r="L21" i="45"/>
  <c r="B21" i="45"/>
  <c r="X20" i="45"/>
  <c r="Z20" i="45" s="1"/>
  <c r="N20" i="45"/>
  <c r="L20" i="45"/>
  <c r="B20" i="45"/>
  <c r="T19" i="45"/>
  <c r="P19" i="45"/>
  <c r="X19" i="45" s="1"/>
  <c r="Z19" i="45" s="1"/>
  <c r="L19" i="45"/>
  <c r="N19" i="45" s="1"/>
  <c r="H19" i="45"/>
  <c r="D19" i="45"/>
  <c r="T17" i="45"/>
  <c r="P17" i="45"/>
  <c r="X17" i="45" s="1"/>
  <c r="Z17" i="45" s="1"/>
  <c r="H17" i="45"/>
  <c r="N17" i="45" s="1"/>
  <c r="D17" i="45"/>
  <c r="L17" i="45" s="1"/>
  <c r="B17" i="45"/>
  <c r="T16" i="45"/>
  <c r="P16" i="45"/>
  <c r="X16" i="45" s="1"/>
  <c r="Z16" i="45" s="1"/>
  <c r="H16" i="45"/>
  <c r="N16" i="45" s="1"/>
  <c r="D16" i="45"/>
  <c r="L16" i="45" s="1"/>
  <c r="B16" i="45"/>
  <c r="X15" i="45"/>
  <c r="Z15" i="45" s="1"/>
  <c r="T15" i="45"/>
  <c r="P15" i="45"/>
  <c r="H15" i="45"/>
  <c r="D15" i="45"/>
  <c r="B15" i="45"/>
  <c r="T14" i="45"/>
  <c r="P14" i="45"/>
  <c r="P12" i="45" s="1"/>
  <c r="R72" i="45" s="1"/>
  <c r="H14" i="45"/>
  <c r="D14" i="45"/>
  <c r="L14" i="45" s="1"/>
  <c r="N14" i="45" s="1"/>
  <c r="B14" i="45"/>
  <c r="T13" i="45"/>
  <c r="P13" i="45"/>
  <c r="X13" i="45" s="1"/>
  <c r="Z13" i="45" s="1"/>
  <c r="H13" i="45"/>
  <c r="H12" i="45" s="1"/>
  <c r="J88" i="45" s="1"/>
  <c r="D13" i="45"/>
  <c r="B13" i="45"/>
  <c r="T12" i="45"/>
  <c r="V84" i="45" s="1"/>
  <c r="D4" i="45"/>
  <c r="X120" i="42"/>
  <c r="Z120" i="42" s="1"/>
  <c r="N120" i="42"/>
  <c r="L120" i="42"/>
  <c r="T116" i="42"/>
  <c r="P116" i="42"/>
  <c r="L116" i="42"/>
  <c r="N116" i="42" s="1"/>
  <c r="H116" i="42"/>
  <c r="D116" i="42"/>
  <c r="B116" i="42"/>
  <c r="X115" i="42"/>
  <c r="Z115" i="42" s="1"/>
  <c r="T115" i="42"/>
  <c r="P115" i="42"/>
  <c r="L115" i="42"/>
  <c r="N115" i="42" s="1"/>
  <c r="H115" i="42"/>
  <c r="D115" i="42"/>
  <c r="B115" i="42"/>
  <c r="X114" i="42"/>
  <c r="Z114" i="42" s="1"/>
  <c r="T114" i="42"/>
  <c r="P114" i="42"/>
  <c r="H114" i="42"/>
  <c r="D114" i="42"/>
  <c r="L114" i="42" s="1"/>
  <c r="N114" i="42" s="1"/>
  <c r="B114" i="42"/>
  <c r="P113" i="42"/>
  <c r="H113" i="42"/>
  <c r="D113" i="42"/>
  <c r="L113" i="42" s="1"/>
  <c r="Z111" i="42"/>
  <c r="X111" i="42"/>
  <c r="L111" i="42"/>
  <c r="N111" i="42" s="1"/>
  <c r="B111" i="42"/>
  <c r="T110" i="42"/>
  <c r="P110" i="42"/>
  <c r="X110" i="42" s="1"/>
  <c r="L110" i="42"/>
  <c r="N110" i="42" s="1"/>
  <c r="H110" i="42"/>
  <c r="D110" i="42"/>
  <c r="B110" i="42"/>
  <c r="X109" i="42"/>
  <c r="Z109" i="42" s="1"/>
  <c r="N109" i="42"/>
  <c r="L109" i="42"/>
  <c r="B109" i="42"/>
  <c r="X108" i="42"/>
  <c r="Z108" i="42" s="1"/>
  <c r="N108" i="42"/>
  <c r="L108" i="42"/>
  <c r="B108" i="42"/>
  <c r="X107" i="42"/>
  <c r="Z107" i="42" s="1"/>
  <c r="L107" i="42"/>
  <c r="N107" i="42" s="1"/>
  <c r="B107" i="42"/>
  <c r="X106" i="42"/>
  <c r="T106" i="42"/>
  <c r="Z106" i="42" s="1"/>
  <c r="P106" i="42"/>
  <c r="H106" i="42"/>
  <c r="D106" i="42"/>
  <c r="L106" i="42" s="1"/>
  <c r="B106" i="42"/>
  <c r="Z105" i="42"/>
  <c r="X105" i="42"/>
  <c r="N105" i="42"/>
  <c r="L105" i="42"/>
  <c r="B105" i="42"/>
  <c r="X104" i="42"/>
  <c r="Z104" i="42" s="1"/>
  <c r="T104" i="42"/>
  <c r="P104" i="42"/>
  <c r="H104" i="42"/>
  <c r="D104" i="42"/>
  <c r="L104" i="42" s="1"/>
  <c r="N104" i="42" s="1"/>
  <c r="B104" i="42"/>
  <c r="Z103" i="42"/>
  <c r="X103" i="42"/>
  <c r="L103" i="42"/>
  <c r="N103" i="42" s="1"/>
  <c r="B103" i="42"/>
  <c r="T102" i="42"/>
  <c r="P102" i="42"/>
  <c r="L102" i="42"/>
  <c r="N102" i="42" s="1"/>
  <c r="H102" i="42"/>
  <c r="D102" i="42"/>
  <c r="B102" i="42"/>
  <c r="X101" i="42"/>
  <c r="Z101" i="42" s="1"/>
  <c r="N101" i="42"/>
  <c r="L101" i="42"/>
  <c r="B101" i="42"/>
  <c r="X100" i="42"/>
  <c r="Z100" i="42" s="1"/>
  <c r="L100" i="42"/>
  <c r="N100" i="42" s="1"/>
  <c r="B100" i="42"/>
  <c r="X99" i="42"/>
  <c r="Z99" i="42" s="1"/>
  <c r="L99" i="42"/>
  <c r="N99" i="42" s="1"/>
  <c r="B99" i="42"/>
  <c r="X98" i="42"/>
  <c r="Z98" i="42" s="1"/>
  <c r="N98" i="42"/>
  <c r="L98" i="42"/>
  <c r="B98" i="42"/>
  <c r="X97" i="42"/>
  <c r="Z97" i="42" s="1"/>
  <c r="N97" i="42"/>
  <c r="L97" i="42"/>
  <c r="B97" i="42"/>
  <c r="X96" i="42"/>
  <c r="Z96" i="42" s="1"/>
  <c r="L96" i="42"/>
  <c r="N96" i="42" s="1"/>
  <c r="B96" i="42"/>
  <c r="X95" i="42"/>
  <c r="Z95" i="42" s="1"/>
  <c r="L95" i="42"/>
  <c r="N95" i="42" s="1"/>
  <c r="B95" i="42"/>
  <c r="Z94" i="42"/>
  <c r="X94" i="42"/>
  <c r="N94" i="42"/>
  <c r="L94" i="42"/>
  <c r="B94" i="42"/>
  <c r="X93" i="42"/>
  <c r="Z93" i="42" s="1"/>
  <c r="N93" i="42"/>
  <c r="L93" i="42"/>
  <c r="B93" i="42"/>
  <c r="T92" i="42"/>
  <c r="P92" i="42"/>
  <c r="X92" i="42" s="1"/>
  <c r="L92" i="42"/>
  <c r="H92" i="42"/>
  <c r="N92" i="42" s="1"/>
  <c r="D92" i="42"/>
  <c r="B92" i="42"/>
  <c r="X91" i="42"/>
  <c r="Z91" i="42" s="1"/>
  <c r="N91" i="42"/>
  <c r="L91" i="42"/>
  <c r="B91" i="42"/>
  <c r="T90" i="42"/>
  <c r="P90" i="42"/>
  <c r="X90" i="42" s="1"/>
  <c r="Z90" i="42" s="1"/>
  <c r="L90" i="42"/>
  <c r="N90" i="42" s="1"/>
  <c r="H90" i="42"/>
  <c r="D90" i="42"/>
  <c r="B90" i="42"/>
  <c r="Z89" i="42"/>
  <c r="X89" i="42"/>
  <c r="L89" i="42"/>
  <c r="N89" i="42" s="1"/>
  <c r="B89" i="42"/>
  <c r="X88" i="42"/>
  <c r="Z88" i="42" s="1"/>
  <c r="L88" i="42"/>
  <c r="N88" i="42" s="1"/>
  <c r="B88" i="42"/>
  <c r="Z87" i="42"/>
  <c r="X87" i="42"/>
  <c r="L87" i="42"/>
  <c r="N87" i="42" s="1"/>
  <c r="B87" i="42"/>
  <c r="Z86" i="42"/>
  <c r="X86" i="42"/>
  <c r="L86" i="42"/>
  <c r="N86" i="42" s="1"/>
  <c r="B86" i="42"/>
  <c r="Z85" i="42"/>
  <c r="X85" i="42"/>
  <c r="L85" i="42"/>
  <c r="N85" i="42" s="1"/>
  <c r="B85" i="42"/>
  <c r="X84" i="42"/>
  <c r="Z84" i="42" s="1"/>
  <c r="T84" i="42"/>
  <c r="P84" i="42"/>
  <c r="H84" i="42"/>
  <c r="D84" i="42"/>
  <c r="B84" i="42"/>
  <c r="X83" i="42"/>
  <c r="Z83" i="42" s="1"/>
  <c r="L83" i="42"/>
  <c r="N83" i="42" s="1"/>
  <c r="B83" i="42"/>
  <c r="X82" i="42"/>
  <c r="Z82" i="42" s="1"/>
  <c r="N82" i="42"/>
  <c r="L82" i="42"/>
  <c r="B82" i="42"/>
  <c r="X81" i="42"/>
  <c r="Z81" i="42" s="1"/>
  <c r="T81" i="42"/>
  <c r="P81" i="42"/>
  <c r="H81" i="42"/>
  <c r="D81" i="42"/>
  <c r="L81" i="42" s="1"/>
  <c r="N81" i="42" s="1"/>
  <c r="B81" i="42"/>
  <c r="X80" i="42"/>
  <c r="Z80" i="42" s="1"/>
  <c r="N80" i="42"/>
  <c r="L80" i="42"/>
  <c r="B80" i="42"/>
  <c r="X79" i="42"/>
  <c r="Z79" i="42" s="1"/>
  <c r="N79" i="42"/>
  <c r="L79" i="42"/>
  <c r="B79" i="42"/>
  <c r="Z78" i="42"/>
  <c r="X78" i="42"/>
  <c r="N78" i="42"/>
  <c r="L78" i="42"/>
  <c r="B78" i="42"/>
  <c r="T77" i="42"/>
  <c r="P77" i="42"/>
  <c r="L77" i="42"/>
  <c r="H77" i="42"/>
  <c r="N77" i="42" s="1"/>
  <c r="D77" i="42"/>
  <c r="B77" i="42"/>
  <c r="Z76" i="42"/>
  <c r="X76" i="42"/>
  <c r="L76" i="42"/>
  <c r="N76" i="42" s="1"/>
  <c r="B76" i="42"/>
  <c r="T75" i="42"/>
  <c r="P75" i="42"/>
  <c r="X75" i="42" s="1"/>
  <c r="Z75" i="42" s="1"/>
  <c r="H75" i="42"/>
  <c r="D75" i="42"/>
  <c r="L75" i="42" s="1"/>
  <c r="B75" i="42"/>
  <c r="X74" i="42"/>
  <c r="Z74" i="42" s="1"/>
  <c r="N74" i="42"/>
  <c r="L74" i="42"/>
  <c r="B74" i="42"/>
  <c r="X73" i="42"/>
  <c r="Z73" i="42" s="1"/>
  <c r="T73" i="42"/>
  <c r="P73" i="42"/>
  <c r="N73" i="42"/>
  <c r="H73" i="42"/>
  <c r="D73" i="42"/>
  <c r="L73" i="42" s="1"/>
  <c r="B73" i="42"/>
  <c r="X72" i="42"/>
  <c r="Z72" i="42" s="1"/>
  <c r="N72" i="42"/>
  <c r="L72" i="42"/>
  <c r="B72" i="42"/>
  <c r="X71" i="42"/>
  <c r="T71" i="42"/>
  <c r="Z71" i="42" s="1"/>
  <c r="P71" i="42"/>
  <c r="H71" i="42"/>
  <c r="D71" i="42"/>
  <c r="B71" i="42"/>
  <c r="Z70" i="42"/>
  <c r="X70" i="42"/>
  <c r="L70" i="42"/>
  <c r="N70" i="42" s="1"/>
  <c r="B70" i="42"/>
  <c r="T69" i="42"/>
  <c r="P69" i="42"/>
  <c r="X69" i="42" s="1"/>
  <c r="H69" i="42"/>
  <c r="D69" i="42"/>
  <c r="L69" i="42" s="1"/>
  <c r="N69" i="42" s="1"/>
  <c r="B69" i="42"/>
  <c r="X68" i="42"/>
  <c r="Z68" i="42" s="1"/>
  <c r="L68" i="42"/>
  <c r="N68" i="42" s="1"/>
  <c r="B68" i="42"/>
  <c r="X67" i="42"/>
  <c r="Z67" i="42" s="1"/>
  <c r="L67" i="42"/>
  <c r="N67" i="42" s="1"/>
  <c r="B67" i="42"/>
  <c r="X66" i="42"/>
  <c r="T66" i="42"/>
  <c r="Z66" i="42" s="1"/>
  <c r="P66" i="42"/>
  <c r="H66" i="42"/>
  <c r="D66" i="42"/>
  <c r="L66" i="42" s="1"/>
  <c r="B66" i="42"/>
  <c r="Z65" i="42"/>
  <c r="X65" i="42"/>
  <c r="N65" i="42"/>
  <c r="L65" i="42"/>
  <c r="B65" i="42"/>
  <c r="Z64" i="42"/>
  <c r="X64" i="42"/>
  <c r="T64" i="42"/>
  <c r="P64" i="42"/>
  <c r="N64" i="42"/>
  <c r="H64" i="42"/>
  <c r="D64" i="42"/>
  <c r="L64" i="42" s="1"/>
  <c r="B64" i="42"/>
  <c r="Z63" i="42"/>
  <c r="X63" i="42"/>
  <c r="L63" i="42"/>
  <c r="N63" i="42" s="1"/>
  <c r="B63" i="42"/>
  <c r="T62" i="42"/>
  <c r="P62" i="42"/>
  <c r="N62" i="42"/>
  <c r="L62" i="42"/>
  <c r="H62" i="42"/>
  <c r="D62" i="42"/>
  <c r="B62" i="42"/>
  <c r="X61" i="42"/>
  <c r="Z61" i="42" s="1"/>
  <c r="N61" i="42"/>
  <c r="L61" i="42"/>
  <c r="B61" i="42"/>
  <c r="T60" i="42"/>
  <c r="Z60" i="42" s="1"/>
  <c r="P60" i="42"/>
  <c r="X60" i="42" s="1"/>
  <c r="L60" i="42"/>
  <c r="H60" i="42"/>
  <c r="N60" i="42" s="1"/>
  <c r="D60" i="42"/>
  <c r="B60" i="42"/>
  <c r="X59" i="42"/>
  <c r="Z59" i="42" s="1"/>
  <c r="N59" i="42"/>
  <c r="L59" i="42"/>
  <c r="B59" i="42"/>
  <c r="T58" i="42"/>
  <c r="P58" i="42"/>
  <c r="X58" i="42" s="1"/>
  <c r="Z58" i="42" s="1"/>
  <c r="N58" i="42"/>
  <c r="L58" i="42"/>
  <c r="H58" i="42"/>
  <c r="D58" i="42"/>
  <c r="B58" i="42"/>
  <c r="Z57" i="42"/>
  <c r="X57" i="42"/>
  <c r="L57" i="42"/>
  <c r="N57" i="42" s="1"/>
  <c r="B57" i="42"/>
  <c r="X56" i="42"/>
  <c r="Z56" i="42" s="1"/>
  <c r="L56" i="42"/>
  <c r="N56" i="42" s="1"/>
  <c r="B56" i="42"/>
  <c r="Z55" i="42"/>
  <c r="X55" i="42"/>
  <c r="L55" i="42"/>
  <c r="N55" i="42" s="1"/>
  <c r="B55" i="42"/>
  <c r="T54" i="42"/>
  <c r="P54" i="42"/>
  <c r="X54" i="42" s="1"/>
  <c r="H54" i="42"/>
  <c r="D54" i="42"/>
  <c r="L54" i="42" s="1"/>
  <c r="N54" i="42" s="1"/>
  <c r="B54" i="42"/>
  <c r="X53" i="42"/>
  <c r="Z53" i="42" s="1"/>
  <c r="N53" i="42"/>
  <c r="L53" i="42"/>
  <c r="B53" i="42"/>
  <c r="T52" i="42"/>
  <c r="P52" i="42"/>
  <c r="X52" i="42" s="1"/>
  <c r="L52" i="42"/>
  <c r="H52" i="42"/>
  <c r="N52" i="42" s="1"/>
  <c r="D52" i="42"/>
  <c r="B52" i="42"/>
  <c r="X51" i="42"/>
  <c r="Z51" i="42" s="1"/>
  <c r="N51" i="42"/>
  <c r="L51" i="42"/>
  <c r="B51" i="42"/>
  <c r="T50" i="42"/>
  <c r="P50" i="42"/>
  <c r="X50" i="42" s="1"/>
  <c r="Z50" i="42" s="1"/>
  <c r="H50" i="42"/>
  <c r="L50" i="42" s="1"/>
  <c r="N50" i="42" s="1"/>
  <c r="D50" i="42"/>
  <c r="B50" i="42"/>
  <c r="Z49" i="42"/>
  <c r="X49" i="42"/>
  <c r="L49" i="42"/>
  <c r="N49" i="42" s="1"/>
  <c r="B49" i="42"/>
  <c r="T48" i="42"/>
  <c r="P48" i="42"/>
  <c r="X48" i="42" s="1"/>
  <c r="Z48" i="42" s="1"/>
  <c r="H48" i="42"/>
  <c r="D48" i="42"/>
  <c r="B48" i="42"/>
  <c r="X47" i="42"/>
  <c r="Z47" i="42" s="1"/>
  <c r="L47" i="42"/>
  <c r="N47" i="42" s="1"/>
  <c r="B47" i="42"/>
  <c r="X46" i="42"/>
  <c r="Z46" i="42" s="1"/>
  <c r="N46" i="42"/>
  <c r="L46" i="42"/>
  <c r="B46" i="42"/>
  <c r="X45" i="42"/>
  <c r="Z45" i="42" s="1"/>
  <c r="N45" i="42"/>
  <c r="L45" i="42"/>
  <c r="B45" i="42"/>
  <c r="X44" i="42"/>
  <c r="Z44" i="42" s="1"/>
  <c r="N44" i="42"/>
  <c r="L44" i="42"/>
  <c r="B44" i="42"/>
  <c r="X43" i="42"/>
  <c r="Z43" i="42" s="1"/>
  <c r="L43" i="42"/>
  <c r="N43" i="42" s="1"/>
  <c r="B43" i="42"/>
  <c r="X42" i="42"/>
  <c r="Z42" i="42" s="1"/>
  <c r="N42" i="42"/>
  <c r="L42" i="42"/>
  <c r="B42" i="42"/>
  <c r="X41" i="42"/>
  <c r="Z41" i="42" s="1"/>
  <c r="N41" i="42"/>
  <c r="L41" i="42"/>
  <c r="B41" i="42"/>
  <c r="T40" i="42"/>
  <c r="P40" i="42"/>
  <c r="X40" i="42" s="1"/>
  <c r="L40" i="42"/>
  <c r="H40" i="42"/>
  <c r="N40" i="42" s="1"/>
  <c r="D40" i="42"/>
  <c r="B40" i="42"/>
  <c r="X39" i="42"/>
  <c r="Z39" i="42" s="1"/>
  <c r="N39" i="42"/>
  <c r="L39" i="42"/>
  <c r="B39" i="42"/>
  <c r="Z38" i="42"/>
  <c r="X38" i="42"/>
  <c r="N38" i="42"/>
  <c r="L38" i="42"/>
  <c r="B38" i="42"/>
  <c r="Z37" i="42"/>
  <c r="X37" i="42"/>
  <c r="N37" i="42"/>
  <c r="L37" i="42"/>
  <c r="B37" i="42"/>
  <c r="X36" i="42"/>
  <c r="Z36" i="42" s="1"/>
  <c r="L36" i="42"/>
  <c r="N36" i="42" s="1"/>
  <c r="B36" i="42"/>
  <c r="Z35" i="42"/>
  <c r="X35" i="42"/>
  <c r="N35" i="42"/>
  <c r="L35" i="42"/>
  <c r="B35" i="42"/>
  <c r="Z34" i="42"/>
  <c r="X34" i="42"/>
  <c r="N34" i="42"/>
  <c r="L34" i="42"/>
  <c r="B34" i="42"/>
  <c r="X33" i="42"/>
  <c r="Z33" i="42" s="1"/>
  <c r="N33" i="42"/>
  <c r="L33" i="42"/>
  <c r="B33" i="42"/>
  <c r="Z32" i="42"/>
  <c r="X32" i="42"/>
  <c r="L32" i="42"/>
  <c r="N32" i="42" s="1"/>
  <c r="B32" i="42"/>
  <c r="X31" i="42"/>
  <c r="Z31" i="42" s="1"/>
  <c r="N31" i="42"/>
  <c r="L31" i="42"/>
  <c r="B31" i="42"/>
  <c r="T30" i="42"/>
  <c r="P30" i="42"/>
  <c r="X30" i="42" s="1"/>
  <c r="Z30" i="42" s="1"/>
  <c r="H30" i="42"/>
  <c r="D30" i="42"/>
  <c r="L30" i="42" s="1"/>
  <c r="B30" i="42"/>
  <c r="T29" i="42"/>
  <c r="P29" i="42"/>
  <c r="H29" i="42"/>
  <c r="D29" i="42"/>
  <c r="Z25" i="42"/>
  <c r="X25" i="42"/>
  <c r="N25" i="42"/>
  <c r="L25" i="42"/>
  <c r="B25" i="42"/>
  <c r="Z24" i="42"/>
  <c r="X24" i="42"/>
  <c r="L24" i="42"/>
  <c r="N24" i="42" s="1"/>
  <c r="B24" i="42"/>
  <c r="Z23" i="42"/>
  <c r="T23" i="42"/>
  <c r="P23" i="42"/>
  <c r="X23" i="42" s="1"/>
  <c r="H23" i="42"/>
  <c r="D23" i="42"/>
  <c r="L23" i="42" s="1"/>
  <c r="Z21" i="42"/>
  <c r="X21" i="42"/>
  <c r="T21" i="42"/>
  <c r="P21" i="42"/>
  <c r="H21" i="42"/>
  <c r="D21" i="42"/>
  <c r="L21" i="42" s="1"/>
  <c r="N21" i="42" s="1"/>
  <c r="B21" i="42"/>
  <c r="T20" i="42"/>
  <c r="P20" i="42"/>
  <c r="X20" i="42" s="1"/>
  <c r="N20" i="42"/>
  <c r="L20" i="42"/>
  <c r="H20" i="42"/>
  <c r="D20" i="42"/>
  <c r="B20" i="42"/>
  <c r="T19" i="42"/>
  <c r="Z19" i="42" s="1"/>
  <c r="P19" i="42"/>
  <c r="X19" i="42" s="1"/>
  <c r="H19" i="42"/>
  <c r="D19" i="42"/>
  <c r="L19" i="42" s="1"/>
  <c r="B19" i="42"/>
  <c r="T18" i="42"/>
  <c r="P18" i="42"/>
  <c r="H18" i="42"/>
  <c r="D18" i="42"/>
  <c r="B18" i="42"/>
  <c r="Z17" i="42"/>
  <c r="X17" i="42"/>
  <c r="T17" i="42"/>
  <c r="P17" i="42"/>
  <c r="L17" i="42"/>
  <c r="N17" i="42" s="1"/>
  <c r="H17" i="42"/>
  <c r="D17" i="42"/>
  <c r="B17" i="42"/>
  <c r="T16" i="42"/>
  <c r="P16" i="42"/>
  <c r="X16" i="42" s="1"/>
  <c r="N16" i="42"/>
  <c r="L16" i="42"/>
  <c r="H16" i="42"/>
  <c r="D16" i="42"/>
  <c r="B16" i="42"/>
  <c r="T15" i="42"/>
  <c r="P15" i="42"/>
  <c r="X15" i="42" s="1"/>
  <c r="H15" i="42"/>
  <c r="D15" i="42"/>
  <c r="D12" i="42" s="1"/>
  <c r="B15" i="42"/>
  <c r="T14" i="42"/>
  <c r="P14" i="42"/>
  <c r="H14" i="42"/>
  <c r="H12" i="42" s="1"/>
  <c r="D14" i="42"/>
  <c r="B14" i="42"/>
  <c r="Z13" i="42"/>
  <c r="X13" i="42"/>
  <c r="T13" i="42"/>
  <c r="T12" i="42" s="1"/>
  <c r="V48" i="42" s="1"/>
  <c r="P13" i="42"/>
  <c r="L13" i="42"/>
  <c r="N13" i="42" s="1"/>
  <c r="H13" i="42"/>
  <c r="D13" i="42"/>
  <c r="B13" i="42"/>
  <c r="P12" i="42"/>
  <c r="D4" i="42"/>
  <c r="X129" i="39"/>
  <c r="Z129" i="39" s="1"/>
  <c r="N129" i="39"/>
  <c r="L129" i="39"/>
  <c r="X125" i="39"/>
  <c r="T125" i="39"/>
  <c r="Z125" i="39" s="1"/>
  <c r="P125" i="39"/>
  <c r="J125" i="39"/>
  <c r="H125" i="39"/>
  <c r="H122" i="39" s="1"/>
  <c r="D125" i="39"/>
  <c r="B125" i="39"/>
  <c r="T124" i="39"/>
  <c r="P124" i="39"/>
  <c r="X124" i="39" s="1"/>
  <c r="Z124" i="39" s="1"/>
  <c r="L124" i="39"/>
  <c r="N124" i="39" s="1"/>
  <c r="J124" i="39"/>
  <c r="H124" i="39"/>
  <c r="D124" i="39"/>
  <c r="B124" i="39"/>
  <c r="T123" i="39"/>
  <c r="P123" i="39"/>
  <c r="X123" i="39" s="1"/>
  <c r="N123" i="39"/>
  <c r="L123" i="39"/>
  <c r="H123" i="39"/>
  <c r="D123" i="39"/>
  <c r="B123" i="39"/>
  <c r="T122" i="39"/>
  <c r="P122" i="39"/>
  <c r="X122" i="39" s="1"/>
  <c r="D122" i="39"/>
  <c r="L122" i="39" s="1"/>
  <c r="X120" i="39"/>
  <c r="Z120" i="39" s="1"/>
  <c r="L120" i="39"/>
  <c r="N120" i="39" s="1"/>
  <c r="J120" i="39"/>
  <c r="B120" i="39"/>
  <c r="X119" i="39"/>
  <c r="Z119" i="39" s="1"/>
  <c r="T119" i="39"/>
  <c r="P119" i="39"/>
  <c r="J119" i="39"/>
  <c r="H119" i="39"/>
  <c r="D119" i="39"/>
  <c r="L119" i="39" s="1"/>
  <c r="B119" i="39"/>
  <c r="X118" i="39"/>
  <c r="Z118" i="39" s="1"/>
  <c r="L118" i="39"/>
  <c r="N118" i="39" s="1"/>
  <c r="B118" i="39"/>
  <c r="X117" i="39"/>
  <c r="Z117" i="39" s="1"/>
  <c r="N117" i="39"/>
  <c r="L117" i="39"/>
  <c r="B117" i="39"/>
  <c r="X116" i="39"/>
  <c r="Z116" i="39" s="1"/>
  <c r="L116" i="39"/>
  <c r="N116" i="39" s="1"/>
  <c r="B116" i="39"/>
  <c r="T115" i="39"/>
  <c r="Z115" i="39" s="1"/>
  <c r="P115" i="39"/>
  <c r="X115" i="39" s="1"/>
  <c r="H115" i="39"/>
  <c r="N115" i="39" s="1"/>
  <c r="D115" i="39"/>
  <c r="L115" i="39" s="1"/>
  <c r="B115" i="39"/>
  <c r="X114" i="39"/>
  <c r="Z114" i="39" s="1"/>
  <c r="N114" i="39"/>
  <c r="L114" i="39"/>
  <c r="B114" i="39"/>
  <c r="T113" i="39"/>
  <c r="P113" i="39"/>
  <c r="X113" i="39" s="1"/>
  <c r="Z113" i="39" s="1"/>
  <c r="N113" i="39"/>
  <c r="L113" i="39"/>
  <c r="H113" i="39"/>
  <c r="D113" i="39"/>
  <c r="B113" i="39"/>
  <c r="Z112" i="39"/>
  <c r="X112" i="39"/>
  <c r="L112" i="39"/>
  <c r="N112" i="39" s="1"/>
  <c r="J112" i="39"/>
  <c r="B112" i="39"/>
  <c r="X111" i="39"/>
  <c r="Z111" i="39" s="1"/>
  <c r="T111" i="39"/>
  <c r="P111" i="39"/>
  <c r="J111" i="39"/>
  <c r="H111" i="39"/>
  <c r="N111" i="39" s="1"/>
  <c r="D111" i="39"/>
  <c r="L111" i="39" s="1"/>
  <c r="B111" i="39"/>
  <c r="X110" i="39"/>
  <c r="Z110" i="39" s="1"/>
  <c r="L110" i="39"/>
  <c r="N110" i="39" s="1"/>
  <c r="B110" i="39"/>
  <c r="X109" i="39"/>
  <c r="Z109" i="39" s="1"/>
  <c r="N109" i="39"/>
  <c r="L109" i="39"/>
  <c r="B109" i="39"/>
  <c r="X108" i="39"/>
  <c r="Z108" i="39" s="1"/>
  <c r="L108" i="39"/>
  <c r="N108" i="39" s="1"/>
  <c r="B108" i="39"/>
  <c r="X107" i="39"/>
  <c r="Z107" i="39" s="1"/>
  <c r="N107" i="39"/>
  <c r="L107" i="39"/>
  <c r="B107" i="39"/>
  <c r="X106" i="39"/>
  <c r="Z106" i="39" s="1"/>
  <c r="L106" i="39"/>
  <c r="N106" i="39" s="1"/>
  <c r="B106" i="39"/>
  <c r="X105" i="39"/>
  <c r="Z105" i="39" s="1"/>
  <c r="N105" i="39"/>
  <c r="L105" i="39"/>
  <c r="B105" i="39"/>
  <c r="X104" i="39"/>
  <c r="Z104" i="39" s="1"/>
  <c r="L104" i="39"/>
  <c r="N104" i="39" s="1"/>
  <c r="B104" i="39"/>
  <c r="Z103" i="39"/>
  <c r="X103" i="39"/>
  <c r="N103" i="39"/>
  <c r="L103" i="39"/>
  <c r="B103" i="39"/>
  <c r="X102" i="39"/>
  <c r="Z102" i="39" s="1"/>
  <c r="L102" i="39"/>
  <c r="N102" i="39" s="1"/>
  <c r="B102" i="39"/>
  <c r="T101" i="39"/>
  <c r="P101" i="39"/>
  <c r="X101" i="39" s="1"/>
  <c r="H101" i="39"/>
  <c r="N101" i="39" s="1"/>
  <c r="D101" i="39"/>
  <c r="L101" i="39" s="1"/>
  <c r="B101" i="39"/>
  <c r="X100" i="39"/>
  <c r="Z100" i="39" s="1"/>
  <c r="N100" i="39"/>
  <c r="L100" i="39"/>
  <c r="B100" i="39"/>
  <c r="Z99" i="39"/>
  <c r="X99" i="39"/>
  <c r="T99" i="39"/>
  <c r="P99" i="39"/>
  <c r="N99" i="39"/>
  <c r="L99" i="39"/>
  <c r="H99" i="39"/>
  <c r="D99" i="39"/>
  <c r="B99" i="39"/>
  <c r="Z98" i="39"/>
  <c r="X98" i="39"/>
  <c r="L98" i="39"/>
  <c r="N98" i="39" s="1"/>
  <c r="B98" i="39"/>
  <c r="X97" i="39"/>
  <c r="Z97" i="39" s="1"/>
  <c r="L97" i="39"/>
  <c r="N97" i="39" s="1"/>
  <c r="B97" i="39"/>
  <c r="Z96" i="39"/>
  <c r="X96" i="39"/>
  <c r="L96" i="39"/>
  <c r="N96" i="39" s="1"/>
  <c r="J96" i="39"/>
  <c r="B96" i="39"/>
  <c r="Z95" i="39"/>
  <c r="X95" i="39"/>
  <c r="L95" i="39"/>
  <c r="N95" i="39" s="1"/>
  <c r="B95" i="39"/>
  <c r="Z94" i="39"/>
  <c r="X94" i="39"/>
  <c r="L94" i="39"/>
  <c r="N94" i="39" s="1"/>
  <c r="B94" i="39"/>
  <c r="T93" i="39"/>
  <c r="P93" i="39"/>
  <c r="X93" i="39" s="1"/>
  <c r="H93" i="39"/>
  <c r="D93" i="39"/>
  <c r="L93" i="39" s="1"/>
  <c r="N93" i="39" s="1"/>
  <c r="B93" i="39"/>
  <c r="X92" i="39"/>
  <c r="Z92" i="39" s="1"/>
  <c r="L92" i="39"/>
  <c r="N92" i="39" s="1"/>
  <c r="B92" i="39"/>
  <c r="X91" i="39"/>
  <c r="Z91" i="39" s="1"/>
  <c r="N91" i="39"/>
  <c r="L91" i="39"/>
  <c r="B91" i="39"/>
  <c r="X90" i="39"/>
  <c r="Z90" i="39" s="1"/>
  <c r="T90" i="39"/>
  <c r="P90" i="39"/>
  <c r="L90" i="39"/>
  <c r="N90" i="39" s="1"/>
  <c r="J90" i="39"/>
  <c r="H90" i="39"/>
  <c r="D90" i="39"/>
  <c r="B90" i="39"/>
  <c r="Z89" i="39"/>
  <c r="X89" i="39"/>
  <c r="L89" i="39"/>
  <c r="N89" i="39" s="1"/>
  <c r="J89" i="39"/>
  <c r="B89" i="39"/>
  <c r="X88" i="39"/>
  <c r="Z88" i="39" s="1"/>
  <c r="N88" i="39"/>
  <c r="L88" i="39"/>
  <c r="B88" i="39"/>
  <c r="Z87" i="39"/>
  <c r="X87" i="39"/>
  <c r="N87" i="39"/>
  <c r="L87" i="39"/>
  <c r="B87" i="39"/>
  <c r="T86" i="39"/>
  <c r="P86" i="39"/>
  <c r="L86" i="39"/>
  <c r="H86" i="39"/>
  <c r="N86" i="39" s="1"/>
  <c r="D86" i="39"/>
  <c r="B86" i="39"/>
  <c r="X85" i="39"/>
  <c r="Z85" i="39" s="1"/>
  <c r="L85" i="39"/>
  <c r="N85" i="39" s="1"/>
  <c r="B85" i="39"/>
  <c r="T84" i="39"/>
  <c r="P84" i="39"/>
  <c r="X84" i="39" s="1"/>
  <c r="Z84" i="39" s="1"/>
  <c r="H84" i="39"/>
  <c r="D84" i="39"/>
  <c r="L84" i="39" s="1"/>
  <c r="N84" i="39" s="1"/>
  <c r="B84" i="39"/>
  <c r="X83" i="39"/>
  <c r="Z83" i="39" s="1"/>
  <c r="N83" i="39"/>
  <c r="L83" i="39"/>
  <c r="B83" i="39"/>
  <c r="X82" i="39"/>
  <c r="Z82" i="39" s="1"/>
  <c r="T82" i="39"/>
  <c r="P82" i="39"/>
  <c r="N82" i="39"/>
  <c r="L82" i="39"/>
  <c r="J82" i="39"/>
  <c r="H82" i="39"/>
  <c r="D82" i="39"/>
  <c r="B82" i="39"/>
  <c r="Z81" i="39"/>
  <c r="X81" i="39"/>
  <c r="L81" i="39"/>
  <c r="N81" i="39" s="1"/>
  <c r="J81" i="39"/>
  <c r="B81" i="39"/>
  <c r="X80" i="39"/>
  <c r="T80" i="39"/>
  <c r="Z80" i="39" s="1"/>
  <c r="P80" i="39"/>
  <c r="H80" i="39"/>
  <c r="D80" i="39"/>
  <c r="B80" i="39"/>
  <c r="Z79" i="39"/>
  <c r="X79" i="39"/>
  <c r="L79" i="39"/>
  <c r="N79" i="39" s="1"/>
  <c r="B79" i="39"/>
  <c r="T78" i="39"/>
  <c r="P78" i="39"/>
  <c r="X78" i="39" s="1"/>
  <c r="Z78" i="39" s="1"/>
  <c r="H78" i="39"/>
  <c r="D78" i="39"/>
  <c r="L78" i="39" s="1"/>
  <c r="N78" i="39" s="1"/>
  <c r="B78" i="39"/>
  <c r="X77" i="39"/>
  <c r="Z77" i="39" s="1"/>
  <c r="N77" i="39"/>
  <c r="L77" i="39"/>
  <c r="B77" i="39"/>
  <c r="X76" i="39"/>
  <c r="Z76" i="39" s="1"/>
  <c r="L76" i="39"/>
  <c r="N76" i="39" s="1"/>
  <c r="B76" i="39"/>
  <c r="T75" i="39"/>
  <c r="Z75" i="39" s="1"/>
  <c r="P75" i="39"/>
  <c r="X75" i="39" s="1"/>
  <c r="H75" i="39"/>
  <c r="N75" i="39" s="1"/>
  <c r="D75" i="39"/>
  <c r="L75" i="39" s="1"/>
  <c r="B75" i="39"/>
  <c r="Z74" i="39"/>
  <c r="X74" i="39"/>
  <c r="N74" i="39"/>
  <c r="L74" i="39"/>
  <c r="B74" i="39"/>
  <c r="Z73" i="39"/>
  <c r="X73" i="39"/>
  <c r="N73" i="39"/>
  <c r="L73" i="39"/>
  <c r="J73" i="39"/>
  <c r="B73" i="39"/>
  <c r="T72" i="39"/>
  <c r="P72" i="39"/>
  <c r="H72" i="39"/>
  <c r="D72" i="39"/>
  <c r="L72" i="39" s="1"/>
  <c r="B72" i="39"/>
  <c r="Z71" i="39"/>
  <c r="X71" i="39"/>
  <c r="L71" i="39"/>
  <c r="N71" i="39" s="1"/>
  <c r="B71" i="39"/>
  <c r="T70" i="39"/>
  <c r="P70" i="39"/>
  <c r="X70" i="39" s="1"/>
  <c r="Z70" i="39" s="1"/>
  <c r="H70" i="39"/>
  <c r="D70" i="39"/>
  <c r="L70" i="39" s="1"/>
  <c r="B70" i="39"/>
  <c r="Z69" i="39"/>
  <c r="X69" i="39"/>
  <c r="N69" i="39"/>
  <c r="L69" i="39"/>
  <c r="B69" i="39"/>
  <c r="X68" i="39"/>
  <c r="T68" i="39"/>
  <c r="Z68" i="39" s="1"/>
  <c r="P68" i="39"/>
  <c r="L68" i="39"/>
  <c r="N68" i="39" s="1"/>
  <c r="H68" i="39"/>
  <c r="D68" i="39"/>
  <c r="B68" i="39"/>
  <c r="Z67" i="39"/>
  <c r="X67" i="39"/>
  <c r="N67" i="39"/>
  <c r="L67" i="39"/>
  <c r="B67" i="39"/>
  <c r="T66" i="39"/>
  <c r="P66" i="39"/>
  <c r="X66" i="39" s="1"/>
  <c r="H66" i="39"/>
  <c r="N66" i="39" s="1"/>
  <c r="D66" i="39"/>
  <c r="B66" i="39"/>
  <c r="Z65" i="39"/>
  <c r="X65" i="39"/>
  <c r="N65" i="39"/>
  <c r="L65" i="39"/>
  <c r="B65" i="39"/>
  <c r="T64" i="39"/>
  <c r="P64" i="39"/>
  <c r="X64" i="39" s="1"/>
  <c r="N64" i="39"/>
  <c r="H64" i="39"/>
  <c r="D64" i="39"/>
  <c r="L64" i="39" s="1"/>
  <c r="B64" i="39"/>
  <c r="Z63" i="39"/>
  <c r="X63" i="39"/>
  <c r="N63" i="39"/>
  <c r="L63" i="39"/>
  <c r="B63" i="39"/>
  <c r="X62" i="39"/>
  <c r="Z62" i="39" s="1"/>
  <c r="L62" i="39"/>
  <c r="N62" i="39" s="1"/>
  <c r="B62" i="39"/>
  <c r="X61" i="39"/>
  <c r="Z61" i="39" s="1"/>
  <c r="N61" i="39"/>
  <c r="L61" i="39"/>
  <c r="B61" i="39"/>
  <c r="X60" i="39"/>
  <c r="T60" i="39"/>
  <c r="Z60" i="39" s="1"/>
  <c r="P60" i="39"/>
  <c r="L60" i="39"/>
  <c r="N60" i="39" s="1"/>
  <c r="H60" i="39"/>
  <c r="D60" i="39"/>
  <c r="B60" i="39"/>
  <c r="Z59" i="39"/>
  <c r="X59" i="39"/>
  <c r="N59" i="39"/>
  <c r="L59" i="39"/>
  <c r="B59" i="39"/>
  <c r="T58" i="39"/>
  <c r="P58" i="39"/>
  <c r="H58" i="39"/>
  <c r="D58" i="39"/>
  <c r="B58" i="39"/>
  <c r="X57" i="39"/>
  <c r="Z57" i="39" s="1"/>
  <c r="L57" i="39"/>
  <c r="N57" i="39" s="1"/>
  <c r="B57" i="39"/>
  <c r="T56" i="39"/>
  <c r="P56" i="39"/>
  <c r="X56" i="39" s="1"/>
  <c r="N56" i="39"/>
  <c r="H56" i="39"/>
  <c r="D56" i="39"/>
  <c r="L56" i="39" s="1"/>
  <c r="B56" i="39"/>
  <c r="Z55" i="39"/>
  <c r="X55" i="39"/>
  <c r="N55" i="39"/>
  <c r="L55" i="39"/>
  <c r="B55" i="39"/>
  <c r="X54" i="39"/>
  <c r="T54" i="39"/>
  <c r="Z54" i="39" s="1"/>
  <c r="P54" i="39"/>
  <c r="L54" i="39"/>
  <c r="N54" i="39" s="1"/>
  <c r="J54" i="39"/>
  <c r="H54" i="39"/>
  <c r="D54" i="39"/>
  <c r="B54" i="39"/>
  <c r="Z53" i="39"/>
  <c r="X53" i="39"/>
  <c r="L53" i="39"/>
  <c r="N53" i="39" s="1"/>
  <c r="J53" i="39"/>
  <c r="B53" i="39"/>
  <c r="X52" i="39"/>
  <c r="Z52" i="39" s="1"/>
  <c r="L52" i="39"/>
  <c r="N52" i="39" s="1"/>
  <c r="B52" i="39"/>
  <c r="X51" i="39"/>
  <c r="Z51" i="39" s="1"/>
  <c r="N51" i="39"/>
  <c r="L51" i="39"/>
  <c r="B51" i="39"/>
  <c r="X50" i="39"/>
  <c r="Z50" i="39" s="1"/>
  <c r="N50" i="39"/>
  <c r="L50" i="39"/>
  <c r="B50" i="39"/>
  <c r="Z49" i="39"/>
  <c r="X49" i="39"/>
  <c r="L49" i="39"/>
  <c r="N49" i="39" s="1"/>
  <c r="J49" i="39"/>
  <c r="B49" i="39"/>
  <c r="X48" i="39"/>
  <c r="Z48" i="39" s="1"/>
  <c r="L48" i="39"/>
  <c r="N48" i="39" s="1"/>
  <c r="B48" i="39"/>
  <c r="X47" i="39"/>
  <c r="Z47" i="39" s="1"/>
  <c r="N47" i="39"/>
  <c r="L47" i="39"/>
  <c r="B47" i="39"/>
  <c r="T46" i="39"/>
  <c r="P46" i="39"/>
  <c r="X46" i="39" s="1"/>
  <c r="H46" i="39"/>
  <c r="D46" i="39"/>
  <c r="B46" i="39"/>
  <c r="X45" i="39"/>
  <c r="Z45" i="39" s="1"/>
  <c r="N45" i="39"/>
  <c r="L45" i="39"/>
  <c r="B45" i="39"/>
  <c r="X44" i="39"/>
  <c r="Z44" i="39" s="1"/>
  <c r="L44" i="39"/>
  <c r="N44" i="39" s="1"/>
  <c r="J44" i="39"/>
  <c r="B44" i="39"/>
  <c r="Z43" i="39"/>
  <c r="X43" i="39"/>
  <c r="N43" i="39"/>
  <c r="L43" i="39"/>
  <c r="B43" i="39"/>
  <c r="Z42" i="39"/>
  <c r="X42" i="39"/>
  <c r="L42" i="39"/>
  <c r="N42" i="39" s="1"/>
  <c r="B42" i="39"/>
  <c r="X41" i="39"/>
  <c r="Z41" i="39" s="1"/>
  <c r="N41" i="39"/>
  <c r="L41" i="39"/>
  <c r="B41" i="39"/>
  <c r="X40" i="39"/>
  <c r="Z40" i="39" s="1"/>
  <c r="L40" i="39"/>
  <c r="N40" i="39" s="1"/>
  <c r="J40" i="39"/>
  <c r="B40" i="39"/>
  <c r="Z39" i="39"/>
  <c r="X39" i="39"/>
  <c r="N39" i="39"/>
  <c r="L39" i="39"/>
  <c r="B39" i="39"/>
  <c r="Z38" i="39"/>
  <c r="X38" i="39"/>
  <c r="L38" i="39"/>
  <c r="N38" i="39" s="1"/>
  <c r="B38" i="39"/>
  <c r="X37" i="39"/>
  <c r="Z37" i="39" s="1"/>
  <c r="N37" i="39"/>
  <c r="L37" i="39"/>
  <c r="B37" i="39"/>
  <c r="T36" i="39"/>
  <c r="P36" i="39"/>
  <c r="X36" i="39" s="1"/>
  <c r="N36" i="39"/>
  <c r="H36" i="39"/>
  <c r="D36" i="39"/>
  <c r="L36" i="39" s="1"/>
  <c r="B36" i="39"/>
  <c r="T35" i="39"/>
  <c r="P35" i="39"/>
  <c r="X35" i="39" s="1"/>
  <c r="H35" i="39"/>
  <c r="D35" i="39"/>
  <c r="Z31" i="39"/>
  <c r="X31" i="39"/>
  <c r="L31" i="39"/>
  <c r="N31" i="39" s="1"/>
  <c r="B31" i="39"/>
  <c r="Z30" i="39"/>
  <c r="X30" i="39"/>
  <c r="N30" i="39"/>
  <c r="L30" i="39"/>
  <c r="B30" i="39"/>
  <c r="T29" i="39"/>
  <c r="P29" i="39"/>
  <c r="X29" i="39" s="1"/>
  <c r="H29" i="39"/>
  <c r="N29" i="39" s="1"/>
  <c r="D29" i="39"/>
  <c r="L29" i="39" s="1"/>
  <c r="T27" i="39"/>
  <c r="P27" i="39"/>
  <c r="X27" i="39" s="1"/>
  <c r="N27" i="39"/>
  <c r="L27" i="39"/>
  <c r="H27" i="39"/>
  <c r="D27" i="39"/>
  <c r="B27" i="39"/>
  <c r="T26" i="39"/>
  <c r="P26" i="39"/>
  <c r="H26" i="39"/>
  <c r="D26" i="39"/>
  <c r="L26" i="39" s="1"/>
  <c r="B26" i="39"/>
  <c r="T25" i="39"/>
  <c r="P25" i="39"/>
  <c r="X25" i="39" s="1"/>
  <c r="Z25" i="39" s="1"/>
  <c r="N25" i="39"/>
  <c r="L25" i="39"/>
  <c r="H25" i="39"/>
  <c r="D25" i="39"/>
  <c r="B25" i="39"/>
  <c r="T24" i="39"/>
  <c r="X24" i="39" s="1"/>
  <c r="Z24" i="39" s="1"/>
  <c r="P24" i="39"/>
  <c r="H24" i="39"/>
  <c r="D24" i="39"/>
  <c r="L24" i="39" s="1"/>
  <c r="B24" i="39"/>
  <c r="T23" i="39"/>
  <c r="P23" i="39"/>
  <c r="X23" i="39" s="1"/>
  <c r="L23" i="39"/>
  <c r="N23" i="39" s="1"/>
  <c r="H23" i="39"/>
  <c r="D23" i="39"/>
  <c r="B23" i="39"/>
  <c r="T22" i="39"/>
  <c r="P22" i="39"/>
  <c r="H22" i="39"/>
  <c r="D22" i="39"/>
  <c r="L22" i="39" s="1"/>
  <c r="B22" i="39"/>
  <c r="T21" i="39"/>
  <c r="P21" i="39"/>
  <c r="X21" i="39" s="1"/>
  <c r="N21" i="39"/>
  <c r="L21" i="39"/>
  <c r="H21" i="39"/>
  <c r="D21" i="39"/>
  <c r="B21" i="39"/>
  <c r="T20" i="39"/>
  <c r="P20" i="39"/>
  <c r="H20" i="39"/>
  <c r="D20" i="39"/>
  <c r="L20" i="39" s="1"/>
  <c r="B20" i="39"/>
  <c r="T19" i="39"/>
  <c r="P19" i="39"/>
  <c r="X19" i="39" s="1"/>
  <c r="L19" i="39"/>
  <c r="N19" i="39" s="1"/>
  <c r="H19" i="39"/>
  <c r="D19" i="39"/>
  <c r="B19" i="39"/>
  <c r="T18" i="39"/>
  <c r="P18" i="39"/>
  <c r="H18" i="39"/>
  <c r="D18" i="39"/>
  <c r="L18" i="39" s="1"/>
  <c r="B18" i="39"/>
  <c r="T17" i="39"/>
  <c r="P17" i="39"/>
  <c r="X17" i="39" s="1"/>
  <c r="N17" i="39"/>
  <c r="L17" i="39"/>
  <c r="H17" i="39"/>
  <c r="D17" i="39"/>
  <c r="B17" i="39"/>
  <c r="T16" i="39"/>
  <c r="P16" i="39"/>
  <c r="H16" i="39"/>
  <c r="D16" i="39"/>
  <c r="L16" i="39" s="1"/>
  <c r="B16" i="39"/>
  <c r="T15" i="39"/>
  <c r="P15" i="39"/>
  <c r="X15" i="39" s="1"/>
  <c r="L15" i="39"/>
  <c r="N15" i="39" s="1"/>
  <c r="H15" i="39"/>
  <c r="D15" i="39"/>
  <c r="B15" i="39"/>
  <c r="T14" i="39"/>
  <c r="P14" i="39"/>
  <c r="H14" i="39"/>
  <c r="D14" i="39"/>
  <c r="L14" i="39" s="1"/>
  <c r="B14" i="39"/>
  <c r="T13" i="39"/>
  <c r="P13" i="39"/>
  <c r="P12" i="39" s="1"/>
  <c r="N13" i="39"/>
  <c r="L13" i="39"/>
  <c r="H13" i="39"/>
  <c r="D13" i="39"/>
  <c r="B13" i="39"/>
  <c r="H12" i="39"/>
  <c r="J129" i="39" s="1"/>
  <c r="D12" i="39"/>
  <c r="F110" i="39" s="1"/>
  <c r="D4" i="39"/>
  <c r="X124" i="36"/>
  <c r="Z124" i="36" s="1"/>
  <c r="N124" i="36"/>
  <c r="L124" i="36"/>
  <c r="X120" i="36"/>
  <c r="Z120" i="36" s="1"/>
  <c r="T120" i="36"/>
  <c r="P120" i="36"/>
  <c r="H120" i="36"/>
  <c r="D120" i="36"/>
  <c r="L120" i="36" s="1"/>
  <c r="N120" i="36" s="1"/>
  <c r="B120" i="36"/>
  <c r="Z119" i="36"/>
  <c r="T119" i="36"/>
  <c r="P119" i="36"/>
  <c r="X119" i="36" s="1"/>
  <c r="H119" i="36"/>
  <c r="D119" i="36"/>
  <c r="L119" i="36" s="1"/>
  <c r="N119" i="36" s="1"/>
  <c r="B119" i="36"/>
  <c r="T118" i="36"/>
  <c r="P118" i="36"/>
  <c r="X118" i="36" s="1"/>
  <c r="H118" i="36"/>
  <c r="D118" i="36"/>
  <c r="B118" i="36"/>
  <c r="T117" i="36"/>
  <c r="H117" i="36"/>
  <c r="X115" i="36"/>
  <c r="Z115" i="36" s="1"/>
  <c r="N115" i="36"/>
  <c r="L115" i="36"/>
  <c r="B115" i="36"/>
  <c r="Z114" i="36"/>
  <c r="X114" i="36"/>
  <c r="T114" i="36"/>
  <c r="P114" i="36"/>
  <c r="H114" i="36"/>
  <c r="D114" i="36"/>
  <c r="L114" i="36" s="1"/>
  <c r="N114" i="36" s="1"/>
  <c r="B114" i="36"/>
  <c r="Z113" i="36"/>
  <c r="X113" i="36"/>
  <c r="L113" i="36"/>
  <c r="N113" i="36" s="1"/>
  <c r="B113" i="36"/>
  <c r="X112" i="36"/>
  <c r="Z112" i="36" s="1"/>
  <c r="N112" i="36"/>
  <c r="L112" i="36"/>
  <c r="B112" i="36"/>
  <c r="Z111" i="36"/>
  <c r="X111" i="36"/>
  <c r="L111" i="36"/>
  <c r="N111" i="36" s="1"/>
  <c r="B111" i="36"/>
  <c r="X110" i="36"/>
  <c r="T110" i="36"/>
  <c r="Z110" i="36" s="1"/>
  <c r="P110" i="36"/>
  <c r="H110" i="36"/>
  <c r="D110" i="36"/>
  <c r="B110" i="36"/>
  <c r="X109" i="36"/>
  <c r="Z109" i="36" s="1"/>
  <c r="N109" i="36"/>
  <c r="L109" i="36"/>
  <c r="B109" i="36"/>
  <c r="T108" i="36"/>
  <c r="P108" i="36"/>
  <c r="X108" i="36" s="1"/>
  <c r="H108" i="36"/>
  <c r="N108" i="36" s="1"/>
  <c r="D108" i="36"/>
  <c r="L108" i="36" s="1"/>
  <c r="B108" i="36"/>
  <c r="Z107" i="36"/>
  <c r="X107" i="36"/>
  <c r="N107" i="36"/>
  <c r="L107" i="36"/>
  <c r="B107" i="36"/>
  <c r="Z106" i="36"/>
  <c r="X106" i="36"/>
  <c r="T106" i="36"/>
  <c r="P106" i="36"/>
  <c r="H106" i="36"/>
  <c r="D106" i="36"/>
  <c r="L106" i="36" s="1"/>
  <c r="N106" i="36" s="1"/>
  <c r="B106" i="36"/>
  <c r="Z105" i="36"/>
  <c r="X105" i="36"/>
  <c r="L105" i="36"/>
  <c r="N105" i="36" s="1"/>
  <c r="B105" i="36"/>
  <c r="X104" i="36"/>
  <c r="Z104" i="36" s="1"/>
  <c r="L104" i="36"/>
  <c r="N104" i="36" s="1"/>
  <c r="B104" i="36"/>
  <c r="Z103" i="36"/>
  <c r="X103" i="36"/>
  <c r="L103" i="36"/>
  <c r="N103" i="36" s="1"/>
  <c r="B103" i="36"/>
  <c r="X102" i="36"/>
  <c r="Z102" i="36" s="1"/>
  <c r="L102" i="36"/>
  <c r="N102" i="36" s="1"/>
  <c r="B102" i="36"/>
  <c r="Z101" i="36"/>
  <c r="X101" i="36"/>
  <c r="L101" i="36"/>
  <c r="N101" i="36" s="1"/>
  <c r="B101" i="36"/>
  <c r="X100" i="36"/>
  <c r="Z100" i="36" s="1"/>
  <c r="L100" i="36"/>
  <c r="N100" i="36" s="1"/>
  <c r="B100" i="36"/>
  <c r="Z99" i="36"/>
  <c r="X99" i="36"/>
  <c r="L99" i="36"/>
  <c r="N99" i="36" s="1"/>
  <c r="B99" i="36"/>
  <c r="Z98" i="36"/>
  <c r="X98" i="36"/>
  <c r="N98" i="36"/>
  <c r="L98" i="36"/>
  <c r="B98" i="36"/>
  <c r="Z97" i="36"/>
  <c r="X97" i="36"/>
  <c r="L97" i="36"/>
  <c r="N97" i="36" s="1"/>
  <c r="B97" i="36"/>
  <c r="T96" i="36"/>
  <c r="P96" i="36"/>
  <c r="H96" i="36"/>
  <c r="D96" i="36"/>
  <c r="L96" i="36" s="1"/>
  <c r="B96" i="36"/>
  <c r="X95" i="36"/>
  <c r="Z95" i="36" s="1"/>
  <c r="N95" i="36"/>
  <c r="L95" i="36"/>
  <c r="B95" i="36"/>
  <c r="Z94" i="36"/>
  <c r="X94" i="36"/>
  <c r="N94" i="36"/>
  <c r="L94" i="36"/>
  <c r="B94" i="36"/>
  <c r="X93" i="36"/>
  <c r="Z93" i="36" s="1"/>
  <c r="T93" i="36"/>
  <c r="P93" i="36"/>
  <c r="L93" i="36"/>
  <c r="N93" i="36" s="1"/>
  <c r="H93" i="36"/>
  <c r="D93" i="36"/>
  <c r="B93" i="36"/>
  <c r="Z92" i="36"/>
  <c r="X92" i="36"/>
  <c r="L92" i="36"/>
  <c r="N92" i="36" s="1"/>
  <c r="B92" i="36"/>
  <c r="Z91" i="36"/>
  <c r="X91" i="36"/>
  <c r="N91" i="36"/>
  <c r="L91" i="36"/>
  <c r="B91" i="36"/>
  <c r="X90" i="36"/>
  <c r="Z90" i="36" s="1"/>
  <c r="L90" i="36"/>
  <c r="N90" i="36" s="1"/>
  <c r="B90" i="36"/>
  <c r="Z89" i="36"/>
  <c r="X89" i="36"/>
  <c r="N89" i="36"/>
  <c r="L89" i="36"/>
  <c r="B89" i="36"/>
  <c r="Z88" i="36"/>
  <c r="X88" i="36"/>
  <c r="L88" i="36"/>
  <c r="N88" i="36" s="1"/>
  <c r="B88" i="36"/>
  <c r="T87" i="36"/>
  <c r="P87" i="36"/>
  <c r="X87" i="36" s="1"/>
  <c r="H87" i="36"/>
  <c r="D87" i="36"/>
  <c r="B87" i="36"/>
  <c r="X86" i="36"/>
  <c r="Z86" i="36" s="1"/>
  <c r="L86" i="36"/>
  <c r="N86" i="36" s="1"/>
  <c r="B86" i="36"/>
  <c r="Z85" i="36"/>
  <c r="X85" i="36"/>
  <c r="L85" i="36"/>
  <c r="N85" i="36" s="1"/>
  <c r="B85" i="36"/>
  <c r="T84" i="36"/>
  <c r="P84" i="36"/>
  <c r="H84" i="36"/>
  <c r="D84" i="36"/>
  <c r="L84" i="36" s="1"/>
  <c r="B84" i="36"/>
  <c r="X83" i="36"/>
  <c r="Z83" i="36" s="1"/>
  <c r="N83" i="36"/>
  <c r="L83" i="36"/>
  <c r="B83" i="36"/>
  <c r="X82" i="36"/>
  <c r="Z82" i="36" s="1"/>
  <c r="N82" i="36"/>
  <c r="L82" i="36"/>
  <c r="B82" i="36"/>
  <c r="X81" i="36"/>
  <c r="Z81" i="36" s="1"/>
  <c r="N81" i="36"/>
  <c r="L81" i="36"/>
  <c r="B81" i="36"/>
  <c r="T80" i="36"/>
  <c r="P80" i="36"/>
  <c r="H80" i="36"/>
  <c r="D80" i="36"/>
  <c r="L80" i="36" s="1"/>
  <c r="B80" i="36"/>
  <c r="Z79" i="36"/>
  <c r="X79" i="36"/>
  <c r="N79" i="36"/>
  <c r="L79" i="36"/>
  <c r="B79" i="36"/>
  <c r="X78" i="36"/>
  <c r="Z78" i="36" s="1"/>
  <c r="T78" i="36"/>
  <c r="P78" i="36"/>
  <c r="H78" i="36"/>
  <c r="D78" i="36"/>
  <c r="L78" i="36" s="1"/>
  <c r="N78" i="36" s="1"/>
  <c r="B78" i="36"/>
  <c r="Z77" i="36"/>
  <c r="X77" i="36"/>
  <c r="L77" i="36"/>
  <c r="N77" i="36" s="1"/>
  <c r="B77" i="36"/>
  <c r="T76" i="36"/>
  <c r="P76" i="36"/>
  <c r="H76" i="36"/>
  <c r="N76" i="36" s="1"/>
  <c r="D76" i="36"/>
  <c r="L76" i="36" s="1"/>
  <c r="B76" i="36"/>
  <c r="X75" i="36"/>
  <c r="Z75" i="36" s="1"/>
  <c r="N75" i="36"/>
  <c r="L75" i="36"/>
  <c r="B75" i="36"/>
  <c r="T74" i="36"/>
  <c r="P74" i="36"/>
  <c r="X74" i="36" s="1"/>
  <c r="L74" i="36"/>
  <c r="H74" i="36"/>
  <c r="N74" i="36" s="1"/>
  <c r="D74" i="36"/>
  <c r="B74" i="36"/>
  <c r="Z73" i="36"/>
  <c r="X73" i="36"/>
  <c r="N73" i="36"/>
  <c r="L73" i="36"/>
  <c r="B73" i="36"/>
  <c r="T72" i="36"/>
  <c r="Z72" i="36" s="1"/>
  <c r="P72" i="36"/>
  <c r="X72" i="36" s="1"/>
  <c r="L72" i="36"/>
  <c r="N72" i="36" s="1"/>
  <c r="H72" i="36"/>
  <c r="D72" i="36"/>
  <c r="B72" i="36"/>
  <c r="X71" i="36"/>
  <c r="Z71" i="36" s="1"/>
  <c r="L71" i="36"/>
  <c r="N71" i="36" s="1"/>
  <c r="B71" i="36"/>
  <c r="T70" i="36"/>
  <c r="Z70" i="36" s="1"/>
  <c r="P70" i="36"/>
  <c r="X70" i="36" s="1"/>
  <c r="H70" i="36"/>
  <c r="D70" i="36"/>
  <c r="L70" i="36" s="1"/>
  <c r="B70" i="36"/>
  <c r="X69" i="36"/>
  <c r="Z69" i="36" s="1"/>
  <c r="N69" i="36"/>
  <c r="L69" i="36"/>
  <c r="B69" i="36"/>
  <c r="X68" i="36"/>
  <c r="Z68" i="36" s="1"/>
  <c r="N68" i="36"/>
  <c r="L68" i="36"/>
  <c r="B68" i="36"/>
  <c r="Z67" i="36"/>
  <c r="X67" i="36"/>
  <c r="T67" i="36"/>
  <c r="P67" i="36"/>
  <c r="L67" i="36"/>
  <c r="H67" i="36"/>
  <c r="D67" i="36"/>
  <c r="B67" i="36"/>
  <c r="Z66" i="36"/>
  <c r="X66" i="36"/>
  <c r="N66" i="36"/>
  <c r="L66" i="36"/>
  <c r="B66" i="36"/>
  <c r="T65" i="36"/>
  <c r="X65" i="36" s="1"/>
  <c r="P65" i="36"/>
  <c r="H65" i="36"/>
  <c r="N65" i="36" s="1"/>
  <c r="D65" i="36"/>
  <c r="B65" i="36"/>
  <c r="Z64" i="36"/>
  <c r="X64" i="36"/>
  <c r="L64" i="36"/>
  <c r="N64" i="36" s="1"/>
  <c r="B64" i="36"/>
  <c r="X63" i="36"/>
  <c r="T63" i="36"/>
  <c r="P63" i="36"/>
  <c r="H63" i="36"/>
  <c r="D63" i="36"/>
  <c r="L63" i="36" s="1"/>
  <c r="N63" i="36" s="1"/>
  <c r="B63" i="36"/>
  <c r="Z62" i="36"/>
  <c r="X62" i="36"/>
  <c r="L62" i="36"/>
  <c r="N62" i="36" s="1"/>
  <c r="B62" i="36"/>
  <c r="T61" i="36"/>
  <c r="P61" i="36"/>
  <c r="H61" i="36"/>
  <c r="D61" i="36"/>
  <c r="L61" i="36" s="1"/>
  <c r="B61" i="36"/>
  <c r="X60" i="36"/>
  <c r="Z60" i="36" s="1"/>
  <c r="N60" i="36"/>
  <c r="L60" i="36"/>
  <c r="B60" i="36"/>
  <c r="T59" i="36"/>
  <c r="P59" i="36"/>
  <c r="X59" i="36" s="1"/>
  <c r="H59" i="36"/>
  <c r="N59" i="36" s="1"/>
  <c r="D59" i="36"/>
  <c r="L59" i="36" s="1"/>
  <c r="B59" i="36"/>
  <c r="Z58" i="36"/>
  <c r="X58" i="36"/>
  <c r="N58" i="36"/>
  <c r="L58" i="36"/>
  <c r="B58" i="36"/>
  <c r="Z57" i="36"/>
  <c r="X57" i="36"/>
  <c r="L57" i="36"/>
  <c r="N57" i="36" s="1"/>
  <c r="B57" i="36"/>
  <c r="Z56" i="36"/>
  <c r="X56" i="36"/>
  <c r="L56" i="36"/>
  <c r="N56" i="36" s="1"/>
  <c r="B56" i="36"/>
  <c r="Z55" i="36"/>
  <c r="X55" i="36"/>
  <c r="T55" i="36"/>
  <c r="P55" i="36"/>
  <c r="H55" i="36"/>
  <c r="D55" i="36"/>
  <c r="L55" i="36" s="1"/>
  <c r="N55" i="36" s="1"/>
  <c r="B55" i="36"/>
  <c r="Z54" i="36"/>
  <c r="X54" i="36"/>
  <c r="L54" i="36"/>
  <c r="N54" i="36" s="1"/>
  <c r="B54" i="36"/>
  <c r="T53" i="36"/>
  <c r="P53" i="36"/>
  <c r="H53" i="36"/>
  <c r="N53" i="36" s="1"/>
  <c r="D53" i="36"/>
  <c r="L53" i="36" s="1"/>
  <c r="B53" i="36"/>
  <c r="X52" i="36"/>
  <c r="Z52" i="36" s="1"/>
  <c r="N52" i="36"/>
  <c r="L52" i="36"/>
  <c r="B52" i="36"/>
  <c r="T51" i="36"/>
  <c r="Z51" i="36" s="1"/>
  <c r="P51" i="36"/>
  <c r="X51" i="36" s="1"/>
  <c r="H51" i="36"/>
  <c r="N51" i="36" s="1"/>
  <c r="D51" i="36"/>
  <c r="L51" i="36" s="1"/>
  <c r="B51" i="36"/>
  <c r="Z50" i="36"/>
  <c r="X50" i="36"/>
  <c r="R50" i="36"/>
  <c r="N50" i="36"/>
  <c r="L50" i="36"/>
  <c r="B50" i="36"/>
  <c r="T49" i="36"/>
  <c r="Z49" i="36" s="1"/>
  <c r="P49" i="36"/>
  <c r="X49" i="36" s="1"/>
  <c r="N49" i="36"/>
  <c r="L49" i="36"/>
  <c r="H49" i="36"/>
  <c r="D49" i="36"/>
  <c r="B49" i="36"/>
  <c r="X48" i="36"/>
  <c r="Z48" i="36" s="1"/>
  <c r="L48" i="36"/>
  <c r="N48" i="36" s="1"/>
  <c r="B48" i="36"/>
  <c r="X47" i="36"/>
  <c r="Z47" i="36" s="1"/>
  <c r="L47" i="36"/>
  <c r="N47" i="36" s="1"/>
  <c r="B47" i="36"/>
  <c r="Z46" i="36"/>
  <c r="X46" i="36"/>
  <c r="L46" i="36"/>
  <c r="N46" i="36" s="1"/>
  <c r="B46" i="36"/>
  <c r="X45" i="36"/>
  <c r="Z45" i="36" s="1"/>
  <c r="L45" i="36"/>
  <c r="N45" i="36" s="1"/>
  <c r="B45" i="36"/>
  <c r="X44" i="36"/>
  <c r="Z44" i="36" s="1"/>
  <c r="L44" i="36"/>
  <c r="N44" i="36" s="1"/>
  <c r="B44" i="36"/>
  <c r="X43" i="36"/>
  <c r="Z43" i="36" s="1"/>
  <c r="L43" i="36"/>
  <c r="N43" i="36" s="1"/>
  <c r="B43" i="36"/>
  <c r="Z42" i="36"/>
  <c r="X42" i="36"/>
  <c r="L42" i="36"/>
  <c r="N42" i="36" s="1"/>
  <c r="B42" i="36"/>
  <c r="T41" i="36"/>
  <c r="P41" i="36"/>
  <c r="H41" i="36"/>
  <c r="N41" i="36" s="1"/>
  <c r="D41" i="36"/>
  <c r="L41" i="36" s="1"/>
  <c r="B41" i="36"/>
  <c r="X40" i="36"/>
  <c r="Z40" i="36" s="1"/>
  <c r="N40" i="36"/>
  <c r="L40" i="36"/>
  <c r="B40" i="36"/>
  <c r="X39" i="36"/>
  <c r="Z39" i="36" s="1"/>
  <c r="N39" i="36"/>
  <c r="L39" i="36"/>
  <c r="B39" i="36"/>
  <c r="X38" i="36"/>
  <c r="Z38" i="36" s="1"/>
  <c r="N38" i="36"/>
  <c r="L38" i="36"/>
  <c r="F38" i="36"/>
  <c r="B38" i="36"/>
  <c r="X37" i="36"/>
  <c r="Z37" i="36" s="1"/>
  <c r="N37" i="36"/>
  <c r="L37" i="36"/>
  <c r="B37" i="36"/>
  <c r="X36" i="36"/>
  <c r="Z36" i="36" s="1"/>
  <c r="N36" i="36"/>
  <c r="L36" i="36"/>
  <c r="B36" i="36"/>
  <c r="X35" i="36"/>
  <c r="Z35" i="36" s="1"/>
  <c r="N35" i="36"/>
  <c r="L35" i="36"/>
  <c r="B35" i="36"/>
  <c r="X34" i="36"/>
  <c r="Z34" i="36" s="1"/>
  <c r="N34" i="36"/>
  <c r="L34" i="36"/>
  <c r="B34" i="36"/>
  <c r="X33" i="36"/>
  <c r="Z33" i="36" s="1"/>
  <c r="L33" i="36"/>
  <c r="N33" i="36" s="1"/>
  <c r="B33" i="36"/>
  <c r="X32" i="36"/>
  <c r="Z32" i="36" s="1"/>
  <c r="N32" i="36"/>
  <c r="L32" i="36"/>
  <c r="B32" i="36"/>
  <c r="T31" i="36"/>
  <c r="R31" i="36"/>
  <c r="P31" i="36"/>
  <c r="X31" i="36" s="1"/>
  <c r="H31" i="36"/>
  <c r="N31" i="36" s="1"/>
  <c r="D31" i="36"/>
  <c r="L31" i="36" s="1"/>
  <c r="B31" i="36"/>
  <c r="T30" i="36"/>
  <c r="P30" i="36"/>
  <c r="H30" i="36"/>
  <c r="D30" i="36"/>
  <c r="L30" i="36" s="1"/>
  <c r="T28" i="36"/>
  <c r="Z26" i="36"/>
  <c r="X26" i="36"/>
  <c r="R26" i="36"/>
  <c r="N26" i="36"/>
  <c r="L26" i="36"/>
  <c r="B26" i="36"/>
  <c r="Z25" i="36"/>
  <c r="X25" i="36"/>
  <c r="L25" i="36"/>
  <c r="N25" i="36" s="1"/>
  <c r="B25" i="36"/>
  <c r="T24" i="36"/>
  <c r="Z24" i="36" s="1"/>
  <c r="P24" i="36"/>
  <c r="X24" i="36" s="1"/>
  <c r="H24" i="36"/>
  <c r="D24" i="36"/>
  <c r="L24" i="36" s="1"/>
  <c r="T22" i="36"/>
  <c r="P22" i="36"/>
  <c r="X22" i="36" s="1"/>
  <c r="L22" i="36"/>
  <c r="N22" i="36" s="1"/>
  <c r="H22" i="36"/>
  <c r="D22" i="36"/>
  <c r="B22" i="36"/>
  <c r="Z21" i="36"/>
  <c r="X21" i="36"/>
  <c r="T21" i="36"/>
  <c r="P21" i="36"/>
  <c r="H21" i="36"/>
  <c r="D21" i="36"/>
  <c r="L21" i="36" s="1"/>
  <c r="B21" i="36"/>
  <c r="T20" i="36"/>
  <c r="Z20" i="36" s="1"/>
  <c r="P20" i="36"/>
  <c r="X20" i="36" s="1"/>
  <c r="N20" i="36"/>
  <c r="L20" i="36"/>
  <c r="H20" i="36"/>
  <c r="D20" i="36"/>
  <c r="B20" i="36"/>
  <c r="T19" i="36"/>
  <c r="X19" i="36" s="1"/>
  <c r="Z19" i="36" s="1"/>
  <c r="P19" i="36"/>
  <c r="H19" i="36"/>
  <c r="D19" i="36"/>
  <c r="L19" i="36" s="1"/>
  <c r="B19" i="36"/>
  <c r="T18" i="36"/>
  <c r="Z18" i="36" s="1"/>
  <c r="P18" i="36"/>
  <c r="X18" i="36" s="1"/>
  <c r="L18" i="36"/>
  <c r="N18" i="36" s="1"/>
  <c r="H18" i="36"/>
  <c r="D18" i="36"/>
  <c r="B18" i="36"/>
  <c r="Z17" i="36"/>
  <c r="X17" i="36"/>
  <c r="T17" i="36"/>
  <c r="P17" i="36"/>
  <c r="H17" i="36"/>
  <c r="D17" i="36"/>
  <c r="B17" i="36"/>
  <c r="T16" i="36"/>
  <c r="Z16" i="36" s="1"/>
  <c r="P16" i="36"/>
  <c r="X16" i="36" s="1"/>
  <c r="N16" i="36"/>
  <c r="L16" i="36"/>
  <c r="H16" i="36"/>
  <c r="D16" i="36"/>
  <c r="B16" i="36"/>
  <c r="T15" i="36"/>
  <c r="P15" i="36"/>
  <c r="H15" i="36"/>
  <c r="D15" i="36"/>
  <c r="B15" i="36"/>
  <c r="T14" i="36"/>
  <c r="Z14" i="36" s="1"/>
  <c r="P14" i="36"/>
  <c r="X14" i="36" s="1"/>
  <c r="L14" i="36"/>
  <c r="N14" i="36" s="1"/>
  <c r="H14" i="36"/>
  <c r="D14" i="36"/>
  <c r="B14" i="36"/>
  <c r="Z13" i="36"/>
  <c r="X13" i="36"/>
  <c r="T13" i="36"/>
  <c r="T12" i="36" s="1"/>
  <c r="V45" i="36" s="1"/>
  <c r="P13" i="36"/>
  <c r="H13" i="36"/>
  <c r="D13" i="36"/>
  <c r="D12" i="36" s="1"/>
  <c r="F92" i="36" s="1"/>
  <c r="B13" i="36"/>
  <c r="P12" i="36"/>
  <c r="R65" i="36" s="1"/>
  <c r="D4" i="36"/>
  <c r="Z97" i="33"/>
  <c r="X97" i="33"/>
  <c r="N97" i="33"/>
  <c r="L97" i="33"/>
  <c r="T93" i="33"/>
  <c r="Z93" i="33" s="1"/>
  <c r="P93" i="33"/>
  <c r="X93" i="33" s="1"/>
  <c r="H93" i="33"/>
  <c r="N93" i="33" s="1"/>
  <c r="D93" i="33"/>
  <c r="L93" i="33" s="1"/>
  <c r="B93" i="33"/>
  <c r="X92" i="33"/>
  <c r="T92" i="33"/>
  <c r="Z92" i="33" s="1"/>
  <c r="P92" i="33"/>
  <c r="L92" i="33"/>
  <c r="H92" i="33"/>
  <c r="D92" i="33"/>
  <c r="B92" i="33"/>
  <c r="Z91" i="33"/>
  <c r="X91" i="33"/>
  <c r="T91" i="33"/>
  <c r="P91" i="33"/>
  <c r="N91" i="33"/>
  <c r="L91" i="33"/>
  <c r="H91" i="33"/>
  <c r="D91" i="33"/>
  <c r="B91" i="33"/>
  <c r="T90" i="33"/>
  <c r="P90" i="33"/>
  <c r="X90" i="33" s="1"/>
  <c r="Z90" i="33" s="1"/>
  <c r="N90" i="33"/>
  <c r="H90" i="33"/>
  <c r="D90" i="33"/>
  <c r="L90" i="33" s="1"/>
  <c r="B90" i="33"/>
  <c r="T89" i="33"/>
  <c r="R89" i="33"/>
  <c r="P89" i="33"/>
  <c r="P87" i="33" s="1"/>
  <c r="H89" i="33"/>
  <c r="N89" i="33" s="1"/>
  <c r="D89" i="33"/>
  <c r="L89" i="33" s="1"/>
  <c r="B89" i="33"/>
  <c r="T88" i="33"/>
  <c r="P88" i="33"/>
  <c r="H88" i="33"/>
  <c r="N88" i="33" s="1"/>
  <c r="D88" i="33"/>
  <c r="L88" i="33" s="1"/>
  <c r="B88" i="33"/>
  <c r="Z85" i="33"/>
  <c r="X85" i="33"/>
  <c r="N85" i="33"/>
  <c r="L85" i="33"/>
  <c r="B85" i="33"/>
  <c r="Z84" i="33"/>
  <c r="T84" i="33"/>
  <c r="P84" i="33"/>
  <c r="X84" i="33" s="1"/>
  <c r="N84" i="33"/>
  <c r="H84" i="33"/>
  <c r="D84" i="33"/>
  <c r="L84" i="33" s="1"/>
  <c r="B84" i="33"/>
  <c r="Z83" i="33"/>
  <c r="X83" i="33"/>
  <c r="N83" i="33"/>
  <c r="L83" i="33"/>
  <c r="B83" i="33"/>
  <c r="X82" i="33"/>
  <c r="T82" i="33"/>
  <c r="Z82" i="33" s="1"/>
  <c r="P82" i="33"/>
  <c r="L82" i="33"/>
  <c r="H82" i="33"/>
  <c r="N82" i="33" s="1"/>
  <c r="D82" i="33"/>
  <c r="B82" i="33"/>
  <c r="Z81" i="33"/>
  <c r="X81" i="33"/>
  <c r="N81" i="33"/>
  <c r="L81" i="33"/>
  <c r="B81" i="33"/>
  <c r="T80" i="33"/>
  <c r="P80" i="33"/>
  <c r="X80" i="33" s="1"/>
  <c r="H80" i="33"/>
  <c r="D80" i="33"/>
  <c r="L80" i="33" s="1"/>
  <c r="B80" i="33"/>
  <c r="Z79" i="33"/>
  <c r="X79" i="33"/>
  <c r="N79" i="33"/>
  <c r="L79" i="33"/>
  <c r="B79" i="33"/>
  <c r="Z78" i="33"/>
  <c r="X78" i="33"/>
  <c r="L78" i="33"/>
  <c r="N78" i="33" s="1"/>
  <c r="B78" i="33"/>
  <c r="Z77" i="33"/>
  <c r="X77" i="33"/>
  <c r="N77" i="33"/>
  <c r="L77" i="33"/>
  <c r="B77" i="33"/>
  <c r="X76" i="33"/>
  <c r="Z76" i="33" s="1"/>
  <c r="N76" i="33"/>
  <c r="L76" i="33"/>
  <c r="B76" i="33"/>
  <c r="Z75" i="33"/>
  <c r="X75" i="33"/>
  <c r="N75" i="33"/>
  <c r="L75" i="33"/>
  <c r="B75" i="33"/>
  <c r="Z74" i="33"/>
  <c r="X74" i="33"/>
  <c r="N74" i="33"/>
  <c r="L74" i="33"/>
  <c r="B74" i="33"/>
  <c r="T73" i="33"/>
  <c r="Z73" i="33" s="1"/>
  <c r="P73" i="33"/>
  <c r="X73" i="33" s="1"/>
  <c r="H73" i="33"/>
  <c r="N73" i="33" s="1"/>
  <c r="D73" i="33"/>
  <c r="L73" i="33" s="1"/>
  <c r="B73" i="33"/>
  <c r="X72" i="33"/>
  <c r="Z72" i="33" s="1"/>
  <c r="N72" i="33"/>
  <c r="L72" i="33"/>
  <c r="B72" i="33"/>
  <c r="T71" i="33"/>
  <c r="R71" i="33"/>
  <c r="P71" i="33"/>
  <c r="X71" i="33" s="1"/>
  <c r="Z71" i="33" s="1"/>
  <c r="H71" i="33"/>
  <c r="D71" i="33"/>
  <c r="L71" i="33" s="1"/>
  <c r="N71" i="33" s="1"/>
  <c r="B71" i="33"/>
  <c r="X70" i="33"/>
  <c r="Z70" i="33" s="1"/>
  <c r="R70" i="33"/>
  <c r="N70" i="33"/>
  <c r="L70" i="33"/>
  <c r="B70" i="33"/>
  <c r="Z69" i="33"/>
  <c r="X69" i="33"/>
  <c r="N69" i="33"/>
  <c r="L69" i="33"/>
  <c r="B69" i="33"/>
  <c r="T68" i="33"/>
  <c r="Z68" i="33" s="1"/>
  <c r="P68" i="33"/>
  <c r="X68" i="33" s="1"/>
  <c r="H68" i="33"/>
  <c r="D68" i="33"/>
  <c r="B68" i="33"/>
  <c r="X67" i="33"/>
  <c r="Z67" i="33" s="1"/>
  <c r="N67" i="33"/>
  <c r="L67" i="33"/>
  <c r="B67" i="33"/>
  <c r="T66" i="33"/>
  <c r="P66" i="33"/>
  <c r="X66" i="33" s="1"/>
  <c r="Z66" i="33" s="1"/>
  <c r="H66" i="33"/>
  <c r="D66" i="33"/>
  <c r="L66" i="33" s="1"/>
  <c r="B66" i="33"/>
  <c r="X65" i="33"/>
  <c r="Z65" i="33" s="1"/>
  <c r="N65" i="33"/>
  <c r="L65" i="33"/>
  <c r="B65" i="33"/>
  <c r="X64" i="33"/>
  <c r="T64" i="33"/>
  <c r="Z64" i="33" s="1"/>
  <c r="P64" i="33"/>
  <c r="L64" i="33"/>
  <c r="H64" i="33"/>
  <c r="N64" i="33" s="1"/>
  <c r="D64" i="33"/>
  <c r="B64" i="33"/>
  <c r="Z63" i="33"/>
  <c r="X63" i="33"/>
  <c r="L63" i="33"/>
  <c r="N63" i="33" s="1"/>
  <c r="B63" i="33"/>
  <c r="X62" i="33"/>
  <c r="Z62" i="33" s="1"/>
  <c r="N62" i="33"/>
  <c r="L62" i="33"/>
  <c r="B62" i="33"/>
  <c r="Z61" i="33"/>
  <c r="X61" i="33"/>
  <c r="T61" i="33"/>
  <c r="P61" i="33"/>
  <c r="N61" i="33"/>
  <c r="L61" i="33"/>
  <c r="H61" i="33"/>
  <c r="D61" i="33"/>
  <c r="B61" i="33"/>
  <c r="X60" i="33"/>
  <c r="Z60" i="33" s="1"/>
  <c r="L60" i="33"/>
  <c r="N60" i="33" s="1"/>
  <c r="B60" i="33"/>
  <c r="T59" i="33"/>
  <c r="P59" i="33"/>
  <c r="J59" i="33"/>
  <c r="H59" i="33"/>
  <c r="D59" i="33"/>
  <c r="L59" i="33" s="1"/>
  <c r="B59" i="33"/>
  <c r="X58" i="33"/>
  <c r="Z58" i="33" s="1"/>
  <c r="L58" i="33"/>
  <c r="N58" i="33" s="1"/>
  <c r="B58" i="33"/>
  <c r="X57" i="33"/>
  <c r="T57" i="33"/>
  <c r="Z57" i="33" s="1"/>
  <c r="P57" i="33"/>
  <c r="H57" i="33"/>
  <c r="F57" i="33"/>
  <c r="D57" i="33"/>
  <c r="L57" i="33" s="1"/>
  <c r="N57" i="33" s="1"/>
  <c r="B57" i="33"/>
  <c r="Z56" i="33"/>
  <c r="X56" i="33"/>
  <c r="N56" i="33"/>
  <c r="L56" i="33"/>
  <c r="B56" i="33"/>
  <c r="Z55" i="33"/>
  <c r="X55" i="33"/>
  <c r="T55" i="33"/>
  <c r="P55" i="33"/>
  <c r="N55" i="33"/>
  <c r="H55" i="33"/>
  <c r="D55" i="33"/>
  <c r="L55" i="33" s="1"/>
  <c r="B55" i="33"/>
  <c r="Z54" i="33"/>
  <c r="X54" i="33"/>
  <c r="N54" i="33"/>
  <c r="L54" i="33"/>
  <c r="B54" i="33"/>
  <c r="T53" i="33"/>
  <c r="Z53" i="33" s="1"/>
  <c r="P53" i="33"/>
  <c r="X53" i="33" s="1"/>
  <c r="H53" i="33"/>
  <c r="N53" i="33" s="1"/>
  <c r="D53" i="33"/>
  <c r="L53" i="33" s="1"/>
  <c r="B53" i="33"/>
  <c r="X52" i="33"/>
  <c r="Z52" i="33" s="1"/>
  <c r="N52" i="33"/>
  <c r="L52" i="33"/>
  <c r="B52" i="33"/>
  <c r="Z51" i="33"/>
  <c r="X51" i="33"/>
  <c r="N51" i="33"/>
  <c r="L51" i="33"/>
  <c r="B51" i="33"/>
  <c r="X50" i="33"/>
  <c r="Z50" i="33" s="1"/>
  <c r="L50" i="33"/>
  <c r="N50" i="33" s="1"/>
  <c r="B50" i="33"/>
  <c r="X49" i="33"/>
  <c r="Z49" i="33" s="1"/>
  <c r="N49" i="33"/>
  <c r="L49" i="33"/>
  <c r="B49" i="33"/>
  <c r="X48" i="33"/>
  <c r="Z48" i="33" s="1"/>
  <c r="T48" i="33"/>
  <c r="P48" i="33"/>
  <c r="L48" i="33"/>
  <c r="H48" i="33"/>
  <c r="N48" i="33" s="1"/>
  <c r="D48" i="33"/>
  <c r="B48" i="33"/>
  <c r="Z47" i="33"/>
  <c r="X47" i="33"/>
  <c r="L47" i="33"/>
  <c r="N47" i="33" s="1"/>
  <c r="B47" i="33"/>
  <c r="X46" i="33"/>
  <c r="Z46" i="33" s="1"/>
  <c r="R46" i="33"/>
  <c r="N46" i="33"/>
  <c r="L46" i="33"/>
  <c r="B46" i="33"/>
  <c r="Z45" i="33"/>
  <c r="X45" i="33"/>
  <c r="N45" i="33"/>
  <c r="L45" i="33"/>
  <c r="B45" i="33"/>
  <c r="Z44" i="33"/>
  <c r="X44" i="33"/>
  <c r="L44" i="33"/>
  <c r="N44" i="33" s="1"/>
  <c r="B44" i="33"/>
  <c r="Z43" i="33"/>
  <c r="X43" i="33"/>
  <c r="L43" i="33"/>
  <c r="N43" i="33" s="1"/>
  <c r="B43" i="33"/>
  <c r="X42" i="33"/>
  <c r="Z42" i="33" s="1"/>
  <c r="R42" i="33"/>
  <c r="N42" i="33"/>
  <c r="L42" i="33"/>
  <c r="B42" i="33"/>
  <c r="Z41" i="33"/>
  <c r="X41" i="33"/>
  <c r="L41" i="33"/>
  <c r="N41" i="33" s="1"/>
  <c r="B41" i="33"/>
  <c r="Z40" i="33"/>
  <c r="X40" i="33"/>
  <c r="L40" i="33"/>
  <c r="N40" i="33" s="1"/>
  <c r="B40" i="33"/>
  <c r="Z39" i="33"/>
  <c r="X39" i="33"/>
  <c r="T39" i="33"/>
  <c r="P39" i="33"/>
  <c r="H39" i="33"/>
  <c r="D39" i="33"/>
  <c r="L39" i="33" s="1"/>
  <c r="N39" i="33" s="1"/>
  <c r="B39" i="33"/>
  <c r="T38" i="33"/>
  <c r="P38" i="33"/>
  <c r="X38" i="33" s="1"/>
  <c r="Z38" i="33" s="1"/>
  <c r="H38" i="33"/>
  <c r="D38" i="33"/>
  <c r="Z34" i="33"/>
  <c r="X34" i="33"/>
  <c r="L34" i="33"/>
  <c r="N34" i="33" s="1"/>
  <c r="B34" i="33"/>
  <c r="Z33" i="33"/>
  <c r="X33" i="33"/>
  <c r="N33" i="33"/>
  <c r="L33" i="33"/>
  <c r="B33" i="33"/>
  <c r="X32" i="33"/>
  <c r="Z32" i="33" s="1"/>
  <c r="L32" i="33"/>
  <c r="N32" i="33" s="1"/>
  <c r="B32" i="33"/>
  <c r="Z31" i="33"/>
  <c r="X31" i="33"/>
  <c r="N31" i="33"/>
  <c r="L31" i="33"/>
  <c r="B31" i="33"/>
  <c r="Z30" i="33"/>
  <c r="X30" i="33"/>
  <c r="L30" i="33"/>
  <c r="N30" i="33" s="1"/>
  <c r="B30" i="33"/>
  <c r="T29" i="33"/>
  <c r="P29" i="33"/>
  <c r="N29" i="33"/>
  <c r="L29" i="33"/>
  <c r="H29" i="33"/>
  <c r="D29" i="33"/>
  <c r="T27" i="33"/>
  <c r="P27" i="33"/>
  <c r="H27" i="33"/>
  <c r="N27" i="33" s="1"/>
  <c r="D27" i="33"/>
  <c r="L27" i="33" s="1"/>
  <c r="B27" i="33"/>
  <c r="T26" i="33"/>
  <c r="P26" i="33"/>
  <c r="X26" i="33" s="1"/>
  <c r="L26" i="33"/>
  <c r="H26" i="33"/>
  <c r="N26" i="33" s="1"/>
  <c r="D26" i="33"/>
  <c r="B26" i="33"/>
  <c r="T25" i="33"/>
  <c r="P25" i="33"/>
  <c r="H25" i="33"/>
  <c r="N25" i="33" s="1"/>
  <c r="D25" i="33"/>
  <c r="L25" i="33" s="1"/>
  <c r="B25" i="33"/>
  <c r="T24" i="33"/>
  <c r="P24" i="33"/>
  <c r="X24" i="33" s="1"/>
  <c r="Z24" i="33" s="1"/>
  <c r="N24" i="33"/>
  <c r="L24" i="33"/>
  <c r="H24" i="33"/>
  <c r="D24" i="33"/>
  <c r="B24" i="33"/>
  <c r="T23" i="33"/>
  <c r="P23" i="33"/>
  <c r="H23" i="33"/>
  <c r="N23" i="33" s="1"/>
  <c r="D23" i="33"/>
  <c r="L23" i="33" s="1"/>
  <c r="B23" i="33"/>
  <c r="T22" i="33"/>
  <c r="P22" i="33"/>
  <c r="X22" i="33" s="1"/>
  <c r="L22" i="33"/>
  <c r="H22" i="33"/>
  <c r="D22" i="33"/>
  <c r="B22" i="33"/>
  <c r="T21" i="33"/>
  <c r="P21" i="33"/>
  <c r="H21" i="33"/>
  <c r="N21" i="33" s="1"/>
  <c r="D21" i="33"/>
  <c r="L21" i="33" s="1"/>
  <c r="B21" i="33"/>
  <c r="T20" i="33"/>
  <c r="P20" i="33"/>
  <c r="X20" i="33" s="1"/>
  <c r="Z20" i="33" s="1"/>
  <c r="N20" i="33"/>
  <c r="L20" i="33"/>
  <c r="H20" i="33"/>
  <c r="D20" i="33"/>
  <c r="B20" i="33"/>
  <c r="T19" i="33"/>
  <c r="P19" i="33"/>
  <c r="X19" i="33" s="1"/>
  <c r="L19" i="33"/>
  <c r="H19" i="33"/>
  <c r="N19" i="33" s="1"/>
  <c r="D19" i="33"/>
  <c r="B19" i="33"/>
  <c r="T18" i="33"/>
  <c r="P18" i="33"/>
  <c r="X18" i="33" s="1"/>
  <c r="L18" i="33"/>
  <c r="H18" i="33"/>
  <c r="D18" i="33"/>
  <c r="B18" i="33"/>
  <c r="T17" i="33"/>
  <c r="P17" i="33"/>
  <c r="H17" i="33"/>
  <c r="D17" i="33"/>
  <c r="B17" i="33"/>
  <c r="T16" i="33"/>
  <c r="P16" i="33"/>
  <c r="X16" i="33" s="1"/>
  <c r="Z16" i="33" s="1"/>
  <c r="L16" i="33"/>
  <c r="N16" i="33" s="1"/>
  <c r="H16" i="33"/>
  <c r="D16" i="33"/>
  <c r="B16" i="33"/>
  <c r="T15" i="33"/>
  <c r="P15" i="33"/>
  <c r="X15" i="33" s="1"/>
  <c r="L15" i="33"/>
  <c r="H15" i="33"/>
  <c r="N15" i="33" s="1"/>
  <c r="D15" i="33"/>
  <c r="B15" i="33"/>
  <c r="T14" i="33"/>
  <c r="P14" i="33"/>
  <c r="P12" i="33" s="1"/>
  <c r="L14" i="33"/>
  <c r="H14" i="33"/>
  <c r="N14" i="33" s="1"/>
  <c r="D14" i="33"/>
  <c r="B14" i="33"/>
  <c r="T13" i="33"/>
  <c r="P13" i="33"/>
  <c r="H13" i="33"/>
  <c r="H12" i="33" s="1"/>
  <c r="J81" i="33" s="1"/>
  <c r="D13" i="33"/>
  <c r="D12" i="33" s="1"/>
  <c r="B13" i="33"/>
  <c r="D4" i="33"/>
  <c r="Z163" i="30"/>
  <c r="X163" i="30"/>
  <c r="L163" i="30"/>
  <c r="N163" i="30" s="1"/>
  <c r="T159" i="30"/>
  <c r="Z159" i="30" s="1"/>
  <c r="P159" i="30"/>
  <c r="P157" i="30" s="1"/>
  <c r="L159" i="30"/>
  <c r="H159" i="30"/>
  <c r="N159" i="30" s="1"/>
  <c r="D159" i="30"/>
  <c r="B159" i="30"/>
  <c r="T158" i="30"/>
  <c r="P158" i="30"/>
  <c r="H158" i="30"/>
  <c r="D158" i="30"/>
  <c r="B158" i="30"/>
  <c r="D157" i="30"/>
  <c r="X155" i="30"/>
  <c r="Z155" i="30" s="1"/>
  <c r="L155" i="30"/>
  <c r="N155" i="30" s="1"/>
  <c r="B155" i="30"/>
  <c r="T154" i="30"/>
  <c r="Z154" i="30" s="1"/>
  <c r="P154" i="30"/>
  <c r="X154" i="30" s="1"/>
  <c r="H154" i="30"/>
  <c r="D154" i="30"/>
  <c r="L154" i="30" s="1"/>
  <c r="N154" i="30" s="1"/>
  <c r="B154" i="30"/>
  <c r="X153" i="30"/>
  <c r="Z153" i="30" s="1"/>
  <c r="N153" i="30"/>
  <c r="L153" i="30"/>
  <c r="B153" i="30"/>
  <c r="X152" i="30"/>
  <c r="Z152" i="30" s="1"/>
  <c r="N152" i="30"/>
  <c r="L152" i="30"/>
  <c r="B152" i="30"/>
  <c r="X151" i="30"/>
  <c r="T151" i="30"/>
  <c r="Z151" i="30" s="1"/>
  <c r="P151" i="30"/>
  <c r="H151" i="30"/>
  <c r="D151" i="30"/>
  <c r="L151" i="30" s="1"/>
  <c r="B151" i="30"/>
  <c r="X150" i="30"/>
  <c r="Z150" i="30" s="1"/>
  <c r="L150" i="30"/>
  <c r="N150" i="30" s="1"/>
  <c r="B150" i="30"/>
  <c r="Z149" i="30"/>
  <c r="X149" i="30"/>
  <c r="T149" i="30"/>
  <c r="P149" i="30"/>
  <c r="H149" i="30"/>
  <c r="D149" i="30"/>
  <c r="L149" i="30" s="1"/>
  <c r="N149" i="30" s="1"/>
  <c r="B149" i="30"/>
  <c r="Z148" i="30"/>
  <c r="X148" i="30"/>
  <c r="L148" i="30"/>
  <c r="N148" i="30" s="1"/>
  <c r="B148" i="30"/>
  <c r="T147" i="30"/>
  <c r="Z147" i="30" s="1"/>
  <c r="P147" i="30"/>
  <c r="X147" i="30" s="1"/>
  <c r="H147" i="30"/>
  <c r="D147" i="30"/>
  <c r="L147" i="30" s="1"/>
  <c r="N147" i="30" s="1"/>
  <c r="B147" i="30"/>
  <c r="X146" i="30"/>
  <c r="Z146" i="30" s="1"/>
  <c r="N146" i="30"/>
  <c r="L146" i="30"/>
  <c r="B146" i="30"/>
  <c r="X145" i="30"/>
  <c r="Z145" i="30" s="1"/>
  <c r="N145" i="30"/>
  <c r="L145" i="30"/>
  <c r="B145" i="30"/>
  <c r="X144" i="30"/>
  <c r="Z144" i="30" s="1"/>
  <c r="N144" i="30"/>
  <c r="L144" i="30"/>
  <c r="B144" i="30"/>
  <c r="X143" i="30"/>
  <c r="Z143" i="30" s="1"/>
  <c r="N143" i="30"/>
  <c r="L143" i="30"/>
  <c r="B143" i="30"/>
  <c r="Z142" i="30"/>
  <c r="X142" i="30"/>
  <c r="N142" i="30"/>
  <c r="L142" i="30"/>
  <c r="B142" i="30"/>
  <c r="X141" i="30"/>
  <c r="Z141" i="30" s="1"/>
  <c r="L141" i="30"/>
  <c r="N141" i="30" s="1"/>
  <c r="B141" i="30"/>
  <c r="X140" i="30"/>
  <c r="Z140" i="30" s="1"/>
  <c r="T140" i="30"/>
  <c r="P140" i="30"/>
  <c r="L140" i="30"/>
  <c r="N140" i="30" s="1"/>
  <c r="H140" i="30"/>
  <c r="D140" i="30"/>
  <c r="B140" i="30"/>
  <c r="Z139" i="30"/>
  <c r="X139" i="30"/>
  <c r="N139" i="30"/>
  <c r="L139" i="30"/>
  <c r="B139" i="30"/>
  <c r="Z138" i="30"/>
  <c r="X138" i="30"/>
  <c r="N138" i="30"/>
  <c r="L138" i="30"/>
  <c r="B138" i="30"/>
  <c r="X137" i="30"/>
  <c r="Z137" i="30" s="1"/>
  <c r="T137" i="30"/>
  <c r="P137" i="30"/>
  <c r="N137" i="30"/>
  <c r="H137" i="30"/>
  <c r="D137" i="30"/>
  <c r="L137" i="30" s="1"/>
  <c r="B137" i="30"/>
  <c r="Z136" i="30"/>
  <c r="X136" i="30"/>
  <c r="L136" i="30"/>
  <c r="N136" i="30" s="1"/>
  <c r="B136" i="30"/>
  <c r="X135" i="30"/>
  <c r="Z135" i="30" s="1"/>
  <c r="L135" i="30"/>
  <c r="N135" i="30" s="1"/>
  <c r="B135" i="30"/>
  <c r="Z134" i="30"/>
  <c r="X134" i="30"/>
  <c r="N134" i="30"/>
  <c r="L134" i="30"/>
  <c r="B134" i="30"/>
  <c r="T133" i="30"/>
  <c r="P133" i="30"/>
  <c r="X133" i="30" s="1"/>
  <c r="L133" i="30"/>
  <c r="H133" i="30"/>
  <c r="D133" i="30"/>
  <c r="B133" i="30"/>
  <c r="X132" i="30"/>
  <c r="Z132" i="30" s="1"/>
  <c r="N132" i="30"/>
  <c r="L132" i="30"/>
  <c r="B132" i="30"/>
  <c r="X131" i="30"/>
  <c r="Z131" i="30" s="1"/>
  <c r="N131" i="30"/>
  <c r="L131" i="30"/>
  <c r="B131" i="30"/>
  <c r="X130" i="30"/>
  <c r="Z130" i="30" s="1"/>
  <c r="T130" i="30"/>
  <c r="P130" i="30"/>
  <c r="H130" i="30"/>
  <c r="D130" i="30"/>
  <c r="L130" i="30" s="1"/>
  <c r="N130" i="30" s="1"/>
  <c r="B130" i="30"/>
  <c r="Z129" i="30"/>
  <c r="X129" i="30"/>
  <c r="N129" i="30"/>
  <c r="L129" i="30"/>
  <c r="B129" i="30"/>
  <c r="Z128" i="30"/>
  <c r="X128" i="30"/>
  <c r="R128" i="30"/>
  <c r="N128" i="30"/>
  <c r="L128" i="30"/>
  <c r="B128" i="30"/>
  <c r="T127" i="30"/>
  <c r="P127" i="30"/>
  <c r="X127" i="30" s="1"/>
  <c r="N127" i="30"/>
  <c r="H127" i="30"/>
  <c r="D127" i="30"/>
  <c r="L127" i="30" s="1"/>
  <c r="B127" i="30"/>
  <c r="X126" i="30"/>
  <c r="Z126" i="30" s="1"/>
  <c r="L126" i="30"/>
  <c r="N126" i="30" s="1"/>
  <c r="B126" i="30"/>
  <c r="T125" i="30"/>
  <c r="P125" i="30"/>
  <c r="X125" i="30" s="1"/>
  <c r="Z125" i="30" s="1"/>
  <c r="J125" i="30"/>
  <c r="H125" i="30"/>
  <c r="D125" i="30"/>
  <c r="L125" i="30" s="1"/>
  <c r="N125" i="30" s="1"/>
  <c r="B125" i="30"/>
  <c r="Z124" i="30"/>
  <c r="X124" i="30"/>
  <c r="N124" i="30"/>
  <c r="L124" i="30"/>
  <c r="B124" i="30"/>
  <c r="X123" i="30"/>
  <c r="T123" i="30"/>
  <c r="Z123" i="30" s="1"/>
  <c r="P123" i="30"/>
  <c r="N123" i="30"/>
  <c r="L123" i="30"/>
  <c r="H123" i="30"/>
  <c r="D123" i="30"/>
  <c r="B123" i="30"/>
  <c r="Z122" i="30"/>
  <c r="X122" i="30"/>
  <c r="L122" i="30"/>
  <c r="N122" i="30" s="1"/>
  <c r="B122" i="30"/>
  <c r="Z121" i="30"/>
  <c r="T121" i="30"/>
  <c r="P121" i="30"/>
  <c r="X121" i="30" s="1"/>
  <c r="H121" i="30"/>
  <c r="D121" i="30"/>
  <c r="L121" i="30" s="1"/>
  <c r="B121" i="30"/>
  <c r="X120" i="30"/>
  <c r="Z120" i="30" s="1"/>
  <c r="N120" i="30"/>
  <c r="L120" i="30"/>
  <c r="B120" i="30"/>
  <c r="T119" i="30"/>
  <c r="P119" i="30"/>
  <c r="X119" i="30" s="1"/>
  <c r="Z119" i="30" s="1"/>
  <c r="H119" i="30"/>
  <c r="D119" i="30"/>
  <c r="L119" i="30" s="1"/>
  <c r="N119" i="30" s="1"/>
  <c r="B119" i="30"/>
  <c r="X118" i="30"/>
  <c r="Z118" i="30" s="1"/>
  <c r="N118" i="30"/>
  <c r="L118" i="30"/>
  <c r="B118" i="30"/>
  <c r="Z117" i="30"/>
  <c r="X117" i="30"/>
  <c r="T117" i="30"/>
  <c r="R117" i="30"/>
  <c r="P117" i="30"/>
  <c r="L117" i="30"/>
  <c r="N117" i="30" s="1"/>
  <c r="H117" i="30"/>
  <c r="D117" i="30"/>
  <c r="B117" i="30"/>
  <c r="Z116" i="30"/>
  <c r="X116" i="30"/>
  <c r="R116" i="30"/>
  <c r="N116" i="30"/>
  <c r="L116" i="30"/>
  <c r="B116" i="30"/>
  <c r="X115" i="30"/>
  <c r="Z115" i="30" s="1"/>
  <c r="N115" i="30"/>
  <c r="L115" i="30"/>
  <c r="B115" i="30"/>
  <c r="T114" i="30"/>
  <c r="P114" i="30"/>
  <c r="X114" i="30" s="1"/>
  <c r="Z114" i="30" s="1"/>
  <c r="H114" i="30"/>
  <c r="N114" i="30" s="1"/>
  <c r="D114" i="30"/>
  <c r="B114" i="30"/>
  <c r="X113" i="30"/>
  <c r="Z113" i="30" s="1"/>
  <c r="N113" i="30"/>
  <c r="L113" i="30"/>
  <c r="B113" i="30"/>
  <c r="X112" i="30"/>
  <c r="T112" i="30"/>
  <c r="Z112" i="30" s="1"/>
  <c r="P112" i="30"/>
  <c r="H112" i="30"/>
  <c r="D112" i="30"/>
  <c r="L112" i="30" s="1"/>
  <c r="B112" i="30"/>
  <c r="X111" i="30"/>
  <c r="Z111" i="30" s="1"/>
  <c r="N111" i="30"/>
  <c r="L111" i="30"/>
  <c r="B111" i="30"/>
  <c r="X110" i="30"/>
  <c r="Z110" i="30" s="1"/>
  <c r="N110" i="30"/>
  <c r="L110" i="30"/>
  <c r="B110" i="30"/>
  <c r="Z109" i="30"/>
  <c r="X109" i="30"/>
  <c r="T109" i="30"/>
  <c r="R109" i="30"/>
  <c r="P109" i="30"/>
  <c r="L109" i="30"/>
  <c r="N109" i="30" s="1"/>
  <c r="H109" i="30"/>
  <c r="D109" i="30"/>
  <c r="B109" i="30"/>
  <c r="Z108" i="30"/>
  <c r="X108" i="30"/>
  <c r="R108" i="30"/>
  <c r="L108" i="30"/>
  <c r="N108" i="30" s="1"/>
  <c r="B108" i="30"/>
  <c r="T107" i="30"/>
  <c r="Z107" i="30" s="1"/>
  <c r="P107" i="30"/>
  <c r="X107" i="30" s="1"/>
  <c r="H107" i="30"/>
  <c r="D107" i="30"/>
  <c r="L107" i="30" s="1"/>
  <c r="N107" i="30" s="1"/>
  <c r="B107" i="30"/>
  <c r="X106" i="30"/>
  <c r="Z106" i="30" s="1"/>
  <c r="L106" i="30"/>
  <c r="N106" i="30" s="1"/>
  <c r="B106" i="30"/>
  <c r="X105" i="30"/>
  <c r="Z105" i="30" s="1"/>
  <c r="T105" i="30"/>
  <c r="P105" i="30"/>
  <c r="J105" i="30"/>
  <c r="H105" i="30"/>
  <c r="D105" i="30"/>
  <c r="L105" i="30" s="1"/>
  <c r="N105" i="30" s="1"/>
  <c r="B105" i="30"/>
  <c r="Z104" i="30"/>
  <c r="X104" i="30"/>
  <c r="N104" i="30"/>
  <c r="L104" i="30"/>
  <c r="B104" i="30"/>
  <c r="X103" i="30"/>
  <c r="Z103" i="30" s="1"/>
  <c r="T103" i="30"/>
  <c r="P103" i="30"/>
  <c r="N103" i="30"/>
  <c r="L103" i="30"/>
  <c r="H103" i="30"/>
  <c r="D103" i="30"/>
  <c r="B103" i="30"/>
  <c r="Z102" i="30"/>
  <c r="X102" i="30"/>
  <c r="N102" i="30"/>
  <c r="L102" i="30"/>
  <c r="B102" i="30"/>
  <c r="Z101" i="30"/>
  <c r="X101" i="30"/>
  <c r="L101" i="30"/>
  <c r="N101" i="30" s="1"/>
  <c r="B101" i="30"/>
  <c r="Z100" i="30"/>
  <c r="X100" i="30"/>
  <c r="R100" i="30"/>
  <c r="N100" i="30"/>
  <c r="L100" i="30"/>
  <c r="B100" i="30"/>
  <c r="X99" i="30"/>
  <c r="Z99" i="30" s="1"/>
  <c r="N99" i="30"/>
  <c r="L99" i="30"/>
  <c r="J99" i="30"/>
  <c r="B99" i="30"/>
  <c r="Z98" i="30"/>
  <c r="X98" i="30"/>
  <c r="L98" i="30"/>
  <c r="N98" i="30" s="1"/>
  <c r="B98" i="30"/>
  <c r="Z97" i="30"/>
  <c r="X97" i="30"/>
  <c r="L97" i="30"/>
  <c r="N97" i="30" s="1"/>
  <c r="B97" i="30"/>
  <c r="T96" i="30"/>
  <c r="P96" i="30"/>
  <c r="X96" i="30" s="1"/>
  <c r="H96" i="30"/>
  <c r="D96" i="30"/>
  <c r="L96" i="30" s="1"/>
  <c r="N96" i="30" s="1"/>
  <c r="B96" i="30"/>
  <c r="X95" i="30"/>
  <c r="Z95" i="30" s="1"/>
  <c r="L95" i="30"/>
  <c r="N95" i="30" s="1"/>
  <c r="B95" i="30"/>
  <c r="X94" i="30"/>
  <c r="Z94" i="30" s="1"/>
  <c r="L94" i="30"/>
  <c r="N94" i="30" s="1"/>
  <c r="B94" i="30"/>
  <c r="X93" i="30"/>
  <c r="Z93" i="30" s="1"/>
  <c r="N93" i="30"/>
  <c r="L93" i="30"/>
  <c r="B93" i="30"/>
  <c r="X92" i="30"/>
  <c r="Z92" i="30" s="1"/>
  <c r="N92" i="30"/>
  <c r="L92" i="30"/>
  <c r="B92" i="30"/>
  <c r="X91" i="30"/>
  <c r="Z91" i="30" s="1"/>
  <c r="L91" i="30"/>
  <c r="N91" i="30" s="1"/>
  <c r="B91" i="30"/>
  <c r="X90" i="30"/>
  <c r="Z90" i="30" s="1"/>
  <c r="L90" i="30"/>
  <c r="N90" i="30" s="1"/>
  <c r="B90" i="30"/>
  <c r="X89" i="30"/>
  <c r="Z89" i="30" s="1"/>
  <c r="N89" i="30"/>
  <c r="L89" i="30"/>
  <c r="B89" i="30"/>
  <c r="X88" i="30"/>
  <c r="Z88" i="30" s="1"/>
  <c r="N88" i="30"/>
  <c r="L88" i="30"/>
  <c r="B88" i="30"/>
  <c r="T87" i="30"/>
  <c r="P87" i="30"/>
  <c r="X87" i="30" s="1"/>
  <c r="Z87" i="30" s="1"/>
  <c r="L87" i="30"/>
  <c r="N87" i="30" s="1"/>
  <c r="H87" i="30"/>
  <c r="D87" i="30"/>
  <c r="B87" i="30"/>
  <c r="T86" i="30"/>
  <c r="P86" i="30"/>
  <c r="X86" i="30" s="1"/>
  <c r="H86" i="30"/>
  <c r="D86" i="30"/>
  <c r="X82" i="30"/>
  <c r="Z82" i="30" s="1"/>
  <c r="N82" i="30"/>
  <c r="L82" i="30"/>
  <c r="B82" i="30"/>
  <c r="Z81" i="30"/>
  <c r="X81" i="30"/>
  <c r="N81" i="30"/>
  <c r="L81" i="30"/>
  <c r="B81" i="30"/>
  <c r="Z80" i="30"/>
  <c r="X80" i="30"/>
  <c r="L80" i="30"/>
  <c r="N80" i="30" s="1"/>
  <c r="B80" i="30"/>
  <c r="Z79" i="30"/>
  <c r="X79" i="30"/>
  <c r="L79" i="30"/>
  <c r="N79" i="30" s="1"/>
  <c r="B79" i="30"/>
  <c r="X78" i="30"/>
  <c r="Z78" i="30" s="1"/>
  <c r="N78" i="30"/>
  <c r="L78" i="30"/>
  <c r="B78" i="30"/>
  <c r="Z77" i="30"/>
  <c r="X77" i="30"/>
  <c r="N77" i="30"/>
  <c r="L77" i="30"/>
  <c r="B77" i="30"/>
  <c r="Z76" i="30"/>
  <c r="X76" i="30"/>
  <c r="N76" i="30"/>
  <c r="L76" i="30"/>
  <c r="B76" i="30"/>
  <c r="Z75" i="30"/>
  <c r="X75" i="30"/>
  <c r="N75" i="30"/>
  <c r="L75" i="30"/>
  <c r="B75" i="30"/>
  <c r="Z74" i="30"/>
  <c r="X74" i="30"/>
  <c r="N74" i="30"/>
  <c r="L74" i="30"/>
  <c r="B74" i="30"/>
  <c r="Z73" i="30"/>
  <c r="X73" i="30"/>
  <c r="N73" i="30"/>
  <c r="L73" i="30"/>
  <c r="B73" i="30"/>
  <c r="Z72" i="30"/>
  <c r="X72" i="30"/>
  <c r="L72" i="30"/>
  <c r="N72" i="30" s="1"/>
  <c r="B72" i="30"/>
  <c r="Z71" i="30"/>
  <c r="X71" i="30"/>
  <c r="L71" i="30"/>
  <c r="N71" i="30" s="1"/>
  <c r="B71" i="30"/>
  <c r="X70" i="30"/>
  <c r="Z70" i="30" s="1"/>
  <c r="N70" i="30"/>
  <c r="L70" i="30"/>
  <c r="B70" i="30"/>
  <c r="Z69" i="30"/>
  <c r="X69" i="30"/>
  <c r="N69" i="30"/>
  <c r="L69" i="30"/>
  <c r="B69" i="30"/>
  <c r="Z68" i="30"/>
  <c r="X68" i="30"/>
  <c r="N68" i="30"/>
  <c r="L68" i="30"/>
  <c r="B68" i="30"/>
  <c r="Z67" i="30"/>
  <c r="X67" i="30"/>
  <c r="L67" i="30"/>
  <c r="N67" i="30" s="1"/>
  <c r="B67" i="30"/>
  <c r="X66" i="30"/>
  <c r="Z66" i="30" s="1"/>
  <c r="N66" i="30"/>
  <c r="L66" i="30"/>
  <c r="B66" i="30"/>
  <c r="Z65" i="30"/>
  <c r="X65" i="30"/>
  <c r="N65" i="30"/>
  <c r="L65" i="30"/>
  <c r="B65" i="30"/>
  <c r="Z64" i="30"/>
  <c r="X64" i="30"/>
  <c r="L64" i="30"/>
  <c r="N64" i="30" s="1"/>
  <c r="B64" i="30"/>
  <c r="Z63" i="30"/>
  <c r="X63" i="30"/>
  <c r="L63" i="30"/>
  <c r="N63" i="30" s="1"/>
  <c r="B63" i="30"/>
  <c r="X62" i="30"/>
  <c r="Z62" i="30" s="1"/>
  <c r="N62" i="30"/>
  <c r="L62" i="30"/>
  <c r="B62" i="30"/>
  <c r="Z61" i="30"/>
  <c r="X61" i="30"/>
  <c r="N61" i="30"/>
  <c r="L61" i="30"/>
  <c r="B61" i="30"/>
  <c r="Z60" i="30"/>
  <c r="X60" i="30"/>
  <c r="N60" i="30"/>
  <c r="L60" i="30"/>
  <c r="B60" i="30"/>
  <c r="Z59" i="30"/>
  <c r="X59" i="30"/>
  <c r="N59" i="30"/>
  <c r="L59" i="30"/>
  <c r="B59" i="30"/>
  <c r="X58" i="30"/>
  <c r="Z58" i="30" s="1"/>
  <c r="N58" i="30"/>
  <c r="L58" i="30"/>
  <c r="B58" i="30"/>
  <c r="Z57" i="30"/>
  <c r="X57" i="30"/>
  <c r="N57" i="30"/>
  <c r="L57" i="30"/>
  <c r="B57" i="30"/>
  <c r="Z56" i="30"/>
  <c r="X56" i="30"/>
  <c r="N56" i="30"/>
  <c r="L56" i="30"/>
  <c r="B56" i="30"/>
  <c r="Z55" i="30"/>
  <c r="X55" i="30"/>
  <c r="T55" i="30"/>
  <c r="P55" i="30"/>
  <c r="N55" i="30"/>
  <c r="L55" i="30"/>
  <c r="H55" i="30"/>
  <c r="D55" i="30"/>
  <c r="Z53" i="30"/>
  <c r="X53" i="30"/>
  <c r="T53" i="30"/>
  <c r="P53" i="30"/>
  <c r="H53" i="30"/>
  <c r="D53" i="30"/>
  <c r="L53" i="30" s="1"/>
  <c r="B53" i="30"/>
  <c r="X52" i="30"/>
  <c r="T52" i="30"/>
  <c r="P52" i="30"/>
  <c r="N52" i="30"/>
  <c r="L52" i="30"/>
  <c r="H52" i="30"/>
  <c r="D52" i="30"/>
  <c r="B52" i="30"/>
  <c r="T51" i="30"/>
  <c r="P51" i="30"/>
  <c r="H51" i="30"/>
  <c r="D51" i="30"/>
  <c r="L51" i="30" s="1"/>
  <c r="N51" i="30" s="1"/>
  <c r="B51" i="30"/>
  <c r="T50" i="30"/>
  <c r="P50" i="30"/>
  <c r="X50" i="30" s="1"/>
  <c r="Z50" i="30" s="1"/>
  <c r="N50" i="30"/>
  <c r="H50" i="30"/>
  <c r="D50" i="30"/>
  <c r="L50" i="30" s="1"/>
  <c r="B50" i="30"/>
  <c r="Z49" i="30"/>
  <c r="X49" i="30"/>
  <c r="T49" i="30"/>
  <c r="P49" i="30"/>
  <c r="H49" i="30"/>
  <c r="N49" i="30" s="1"/>
  <c r="D49" i="30"/>
  <c r="L49" i="30" s="1"/>
  <c r="B49" i="30"/>
  <c r="X48" i="30"/>
  <c r="T48" i="30"/>
  <c r="Z48" i="30" s="1"/>
  <c r="P48" i="30"/>
  <c r="N48" i="30"/>
  <c r="L48" i="30"/>
  <c r="H48" i="30"/>
  <c r="D48" i="30"/>
  <c r="B48" i="30"/>
  <c r="T47" i="30"/>
  <c r="P47" i="30"/>
  <c r="N47" i="30"/>
  <c r="H47" i="30"/>
  <c r="D47" i="30"/>
  <c r="L47" i="30" s="1"/>
  <c r="B47" i="30"/>
  <c r="T46" i="30"/>
  <c r="P46" i="30"/>
  <c r="X46" i="30" s="1"/>
  <c r="Z46" i="30" s="1"/>
  <c r="H46" i="30"/>
  <c r="D46" i="30"/>
  <c r="L46" i="30" s="1"/>
  <c r="N46" i="30" s="1"/>
  <c r="B46" i="30"/>
  <c r="Z45" i="30"/>
  <c r="X45" i="30"/>
  <c r="T45" i="30"/>
  <c r="P45" i="30"/>
  <c r="H45" i="30"/>
  <c r="N45" i="30" s="1"/>
  <c r="D45" i="30"/>
  <c r="L45" i="30" s="1"/>
  <c r="B45" i="30"/>
  <c r="X44" i="30"/>
  <c r="T44" i="30"/>
  <c r="Z44" i="30" s="1"/>
  <c r="P44" i="30"/>
  <c r="N44" i="30"/>
  <c r="L44" i="30"/>
  <c r="H44" i="30"/>
  <c r="D44" i="30"/>
  <c r="B44" i="30"/>
  <c r="T43" i="30"/>
  <c r="Z43" i="30" s="1"/>
  <c r="P43" i="30"/>
  <c r="N43" i="30"/>
  <c r="H43" i="30"/>
  <c r="D43" i="30"/>
  <c r="L43" i="30" s="1"/>
  <c r="B43" i="30"/>
  <c r="Z42" i="30"/>
  <c r="T42" i="30"/>
  <c r="P42" i="30"/>
  <c r="X42" i="30" s="1"/>
  <c r="N42" i="30"/>
  <c r="H42" i="30"/>
  <c r="D42" i="30"/>
  <c r="L42" i="30" s="1"/>
  <c r="B42" i="30"/>
  <c r="Z41" i="30"/>
  <c r="X41" i="30"/>
  <c r="T41" i="30"/>
  <c r="P41" i="30"/>
  <c r="H41" i="30"/>
  <c r="N41" i="30" s="1"/>
  <c r="D41" i="30"/>
  <c r="L41" i="30" s="1"/>
  <c r="B41" i="30"/>
  <c r="X40" i="30"/>
  <c r="T40" i="30"/>
  <c r="Z40" i="30" s="1"/>
  <c r="P40" i="30"/>
  <c r="N40" i="30"/>
  <c r="L40" i="30"/>
  <c r="H40" i="30"/>
  <c r="D40" i="30"/>
  <c r="B40" i="30"/>
  <c r="T39" i="30"/>
  <c r="P39" i="30"/>
  <c r="N39" i="30"/>
  <c r="H39" i="30"/>
  <c r="D39" i="30"/>
  <c r="L39" i="30" s="1"/>
  <c r="B39" i="30"/>
  <c r="Z38" i="30"/>
  <c r="T38" i="30"/>
  <c r="P38" i="30"/>
  <c r="X38" i="30" s="1"/>
  <c r="N38" i="30"/>
  <c r="H38" i="30"/>
  <c r="D38" i="30"/>
  <c r="L38" i="30" s="1"/>
  <c r="B38" i="30"/>
  <c r="Z37" i="30"/>
  <c r="X37" i="30"/>
  <c r="T37" i="30"/>
  <c r="P37" i="30"/>
  <c r="H37" i="30"/>
  <c r="D37" i="30"/>
  <c r="L37" i="30" s="1"/>
  <c r="B37" i="30"/>
  <c r="X36" i="30"/>
  <c r="T36" i="30"/>
  <c r="P36" i="30"/>
  <c r="N36" i="30"/>
  <c r="L36" i="30"/>
  <c r="H36" i="30"/>
  <c r="D36" i="30"/>
  <c r="B36" i="30"/>
  <c r="T35" i="30"/>
  <c r="P35" i="30"/>
  <c r="H35" i="30"/>
  <c r="D35" i="30"/>
  <c r="L35" i="30" s="1"/>
  <c r="N35" i="30" s="1"/>
  <c r="B35" i="30"/>
  <c r="T34" i="30"/>
  <c r="P34" i="30"/>
  <c r="X34" i="30" s="1"/>
  <c r="Z34" i="30" s="1"/>
  <c r="H34" i="30"/>
  <c r="D34" i="30"/>
  <c r="L34" i="30" s="1"/>
  <c r="N34" i="30" s="1"/>
  <c r="B34" i="30"/>
  <c r="Z33" i="30"/>
  <c r="T33" i="30"/>
  <c r="X33" i="30" s="1"/>
  <c r="P33" i="30"/>
  <c r="H33" i="30"/>
  <c r="N33" i="30" s="1"/>
  <c r="D33" i="30"/>
  <c r="L33" i="30" s="1"/>
  <c r="B33" i="30"/>
  <c r="X32" i="30"/>
  <c r="T32" i="30"/>
  <c r="Z32" i="30" s="1"/>
  <c r="P32" i="30"/>
  <c r="N32" i="30"/>
  <c r="L32" i="30"/>
  <c r="H32" i="30"/>
  <c r="D32" i="30"/>
  <c r="B32" i="30"/>
  <c r="T31" i="30"/>
  <c r="Z31" i="30" s="1"/>
  <c r="P31" i="30"/>
  <c r="N31" i="30"/>
  <c r="H31" i="30"/>
  <c r="D31" i="30"/>
  <c r="L31" i="30" s="1"/>
  <c r="B31" i="30"/>
  <c r="Z30" i="30"/>
  <c r="T30" i="30"/>
  <c r="P30" i="30"/>
  <c r="X30" i="30" s="1"/>
  <c r="N30" i="30"/>
  <c r="H30" i="30"/>
  <c r="D30" i="30"/>
  <c r="L30" i="30" s="1"/>
  <c r="B30" i="30"/>
  <c r="Z29" i="30"/>
  <c r="T29" i="30"/>
  <c r="X29" i="30" s="1"/>
  <c r="P29" i="30"/>
  <c r="H29" i="30"/>
  <c r="N29" i="30" s="1"/>
  <c r="D29" i="30"/>
  <c r="B29" i="30"/>
  <c r="X28" i="30"/>
  <c r="T28" i="30"/>
  <c r="Z28" i="30" s="1"/>
  <c r="P28" i="30"/>
  <c r="N28" i="30"/>
  <c r="L28" i="30"/>
  <c r="H28" i="30"/>
  <c r="D28" i="30"/>
  <c r="B28" i="30"/>
  <c r="T27" i="30"/>
  <c r="Z27" i="30" s="1"/>
  <c r="P27" i="30"/>
  <c r="N27" i="30"/>
  <c r="H27" i="30"/>
  <c r="D27" i="30"/>
  <c r="L27" i="30" s="1"/>
  <c r="B27" i="30"/>
  <c r="T26" i="30"/>
  <c r="P26" i="30"/>
  <c r="X26" i="30" s="1"/>
  <c r="Z26" i="30" s="1"/>
  <c r="H26" i="30"/>
  <c r="D26" i="30"/>
  <c r="L26" i="30" s="1"/>
  <c r="N26" i="30" s="1"/>
  <c r="B26" i="30"/>
  <c r="T25" i="30"/>
  <c r="X25" i="30" s="1"/>
  <c r="Z25" i="30" s="1"/>
  <c r="P25" i="30"/>
  <c r="H25" i="30"/>
  <c r="N25" i="30" s="1"/>
  <c r="D25" i="30"/>
  <c r="B25" i="30"/>
  <c r="X24" i="30"/>
  <c r="T24" i="30"/>
  <c r="Z24" i="30" s="1"/>
  <c r="P24" i="30"/>
  <c r="L24" i="30"/>
  <c r="N24" i="30" s="1"/>
  <c r="H24" i="30"/>
  <c r="D24" i="30"/>
  <c r="B24" i="30"/>
  <c r="T23" i="30"/>
  <c r="P23" i="30"/>
  <c r="H23" i="30"/>
  <c r="D23" i="30"/>
  <c r="L23" i="30" s="1"/>
  <c r="N23" i="30" s="1"/>
  <c r="B23" i="30"/>
  <c r="T22" i="30"/>
  <c r="Z22" i="30" s="1"/>
  <c r="P22" i="30"/>
  <c r="X22" i="30" s="1"/>
  <c r="H22" i="30"/>
  <c r="D22" i="30"/>
  <c r="L22" i="30" s="1"/>
  <c r="N22" i="30" s="1"/>
  <c r="B22" i="30"/>
  <c r="T21" i="30"/>
  <c r="P21" i="30"/>
  <c r="H21" i="30"/>
  <c r="D21" i="30"/>
  <c r="B21" i="30"/>
  <c r="T20" i="30"/>
  <c r="P20" i="30"/>
  <c r="L20" i="30"/>
  <c r="N20" i="30" s="1"/>
  <c r="H20" i="30"/>
  <c r="D20" i="30"/>
  <c r="B20" i="30"/>
  <c r="T19" i="30"/>
  <c r="P19" i="30"/>
  <c r="N19" i="30"/>
  <c r="L19" i="30"/>
  <c r="H19" i="30"/>
  <c r="D19" i="30"/>
  <c r="B19" i="30"/>
  <c r="T18" i="30"/>
  <c r="Z18" i="30" s="1"/>
  <c r="P18" i="30"/>
  <c r="X18" i="30" s="1"/>
  <c r="N18" i="30"/>
  <c r="H18" i="30"/>
  <c r="D18" i="30"/>
  <c r="L18" i="30" s="1"/>
  <c r="B18" i="30"/>
  <c r="T17" i="30"/>
  <c r="Z17" i="30" s="1"/>
  <c r="P17" i="30"/>
  <c r="H17" i="30"/>
  <c r="N17" i="30" s="1"/>
  <c r="D17" i="30"/>
  <c r="B17" i="30"/>
  <c r="T16" i="30"/>
  <c r="Z16" i="30" s="1"/>
  <c r="P16" i="30"/>
  <c r="N16" i="30"/>
  <c r="L16" i="30"/>
  <c r="H16" i="30"/>
  <c r="D16" i="30"/>
  <c r="B16" i="30"/>
  <c r="T15" i="30"/>
  <c r="P15" i="30"/>
  <c r="N15" i="30"/>
  <c r="L15" i="30"/>
  <c r="H15" i="30"/>
  <c r="D15" i="30"/>
  <c r="B15" i="30"/>
  <c r="T14" i="30"/>
  <c r="Z14" i="30" s="1"/>
  <c r="P14" i="30"/>
  <c r="X14" i="30" s="1"/>
  <c r="H14" i="30"/>
  <c r="D14" i="30"/>
  <c r="L14" i="30" s="1"/>
  <c r="N14" i="30" s="1"/>
  <c r="B14" i="30"/>
  <c r="T13" i="30"/>
  <c r="Z13" i="30" s="1"/>
  <c r="P13" i="30"/>
  <c r="H13" i="30"/>
  <c r="H12" i="30" s="1"/>
  <c r="J115" i="30" s="1"/>
  <c r="D13" i="30"/>
  <c r="B13" i="30"/>
  <c r="P12" i="30"/>
  <c r="R159" i="30" s="1"/>
  <c r="D4" i="30"/>
  <c r="Z119" i="27"/>
  <c r="X119" i="27"/>
  <c r="N119" i="27"/>
  <c r="L119" i="27"/>
  <c r="X115" i="27"/>
  <c r="T115" i="27"/>
  <c r="Z115" i="27" s="1"/>
  <c r="P115" i="27"/>
  <c r="L115" i="27"/>
  <c r="N115" i="27" s="1"/>
  <c r="H115" i="27"/>
  <c r="D115" i="27"/>
  <c r="B115" i="27"/>
  <c r="T114" i="27"/>
  <c r="P114" i="27"/>
  <c r="X114" i="27" s="1"/>
  <c r="N114" i="27"/>
  <c r="L114" i="27"/>
  <c r="H114" i="27"/>
  <c r="H112" i="27" s="1"/>
  <c r="D114" i="27"/>
  <c r="B114" i="27"/>
  <c r="T113" i="27"/>
  <c r="P113" i="27"/>
  <c r="H113" i="27"/>
  <c r="D113" i="27"/>
  <c r="L113" i="27" s="1"/>
  <c r="N113" i="27" s="1"/>
  <c r="B113" i="27"/>
  <c r="T112" i="27"/>
  <c r="X110" i="27"/>
  <c r="Z110" i="27" s="1"/>
  <c r="N110" i="27"/>
  <c r="L110" i="27"/>
  <c r="B110" i="27"/>
  <c r="X109" i="27"/>
  <c r="T109" i="27"/>
  <c r="Z109" i="27" s="1"/>
  <c r="P109" i="27"/>
  <c r="N109" i="27"/>
  <c r="L109" i="27"/>
  <c r="H109" i="27"/>
  <c r="D109" i="27"/>
  <c r="B109" i="27"/>
  <c r="Z108" i="27"/>
  <c r="X108" i="27"/>
  <c r="N108" i="27"/>
  <c r="L108" i="27"/>
  <c r="B108" i="27"/>
  <c r="T107" i="27"/>
  <c r="P107" i="27"/>
  <c r="H107" i="27"/>
  <c r="N107" i="27" s="1"/>
  <c r="D107" i="27"/>
  <c r="L107" i="27" s="1"/>
  <c r="B107" i="27"/>
  <c r="X106" i="27"/>
  <c r="Z106" i="27" s="1"/>
  <c r="L106" i="27"/>
  <c r="N106" i="27" s="1"/>
  <c r="B106" i="27"/>
  <c r="Z105" i="27"/>
  <c r="X105" i="27"/>
  <c r="L105" i="27"/>
  <c r="N105" i="27" s="1"/>
  <c r="B105" i="27"/>
  <c r="X104" i="27"/>
  <c r="T104" i="27"/>
  <c r="Z104" i="27" s="1"/>
  <c r="P104" i="27"/>
  <c r="H104" i="27"/>
  <c r="N104" i="27" s="1"/>
  <c r="D104" i="27"/>
  <c r="L104" i="27" s="1"/>
  <c r="B104" i="27"/>
  <c r="X103" i="27"/>
  <c r="Z103" i="27" s="1"/>
  <c r="N103" i="27"/>
  <c r="L103" i="27"/>
  <c r="B103" i="27"/>
  <c r="X102" i="27"/>
  <c r="Z102" i="27" s="1"/>
  <c r="N102" i="27"/>
  <c r="L102" i="27"/>
  <c r="B102" i="27"/>
  <c r="X101" i="27"/>
  <c r="Z101" i="27" s="1"/>
  <c r="N101" i="27"/>
  <c r="L101" i="27"/>
  <c r="B101" i="27"/>
  <c r="X100" i="27"/>
  <c r="T100" i="27"/>
  <c r="Z100" i="27" s="1"/>
  <c r="P100" i="27"/>
  <c r="H100" i="27"/>
  <c r="D100" i="27"/>
  <c r="B100" i="27"/>
  <c r="Z99" i="27"/>
  <c r="X99" i="27"/>
  <c r="N99" i="27"/>
  <c r="L99" i="27"/>
  <c r="B99" i="27"/>
  <c r="Z98" i="27"/>
  <c r="X98" i="27"/>
  <c r="T98" i="27"/>
  <c r="P98" i="27"/>
  <c r="H98" i="27"/>
  <c r="N98" i="27" s="1"/>
  <c r="D98" i="27"/>
  <c r="L98" i="27" s="1"/>
  <c r="B98" i="27"/>
  <c r="Z97" i="27"/>
  <c r="X97" i="27"/>
  <c r="N97" i="27"/>
  <c r="L97" i="27"/>
  <c r="B97" i="27"/>
  <c r="X96" i="27"/>
  <c r="Z96" i="27" s="1"/>
  <c r="L96" i="27"/>
  <c r="N96" i="27" s="1"/>
  <c r="B96" i="27"/>
  <c r="T95" i="27"/>
  <c r="Z95" i="27" s="1"/>
  <c r="P95" i="27"/>
  <c r="X95" i="27" s="1"/>
  <c r="H95" i="27"/>
  <c r="D95" i="27"/>
  <c r="L95" i="27" s="1"/>
  <c r="N95" i="27" s="1"/>
  <c r="B95" i="27"/>
  <c r="X94" i="27"/>
  <c r="Z94" i="27" s="1"/>
  <c r="N94" i="27"/>
  <c r="L94" i="27"/>
  <c r="B94" i="27"/>
  <c r="X93" i="27"/>
  <c r="Z93" i="27" s="1"/>
  <c r="T93" i="27"/>
  <c r="P93" i="27"/>
  <c r="L93" i="27"/>
  <c r="N93" i="27" s="1"/>
  <c r="H93" i="27"/>
  <c r="D93" i="27"/>
  <c r="B93" i="27"/>
  <c r="Z92" i="27"/>
  <c r="X92" i="27"/>
  <c r="L92" i="27"/>
  <c r="N92" i="27" s="1"/>
  <c r="B92" i="27"/>
  <c r="T91" i="27"/>
  <c r="P91" i="27"/>
  <c r="H91" i="27"/>
  <c r="D91" i="27"/>
  <c r="L91" i="27" s="1"/>
  <c r="B91" i="27"/>
  <c r="X90" i="27"/>
  <c r="Z90" i="27" s="1"/>
  <c r="N90" i="27"/>
  <c r="L90" i="27"/>
  <c r="B90" i="27"/>
  <c r="Z89" i="27"/>
  <c r="X89" i="27"/>
  <c r="N89" i="27"/>
  <c r="L89" i="27"/>
  <c r="B89" i="27"/>
  <c r="X88" i="27"/>
  <c r="T88" i="27"/>
  <c r="P88" i="27"/>
  <c r="H88" i="27"/>
  <c r="D88" i="27"/>
  <c r="L88" i="27" s="1"/>
  <c r="N88" i="27" s="1"/>
  <c r="B88" i="27"/>
  <c r="Z87" i="27"/>
  <c r="X87" i="27"/>
  <c r="L87" i="27"/>
  <c r="N87" i="27" s="1"/>
  <c r="B87" i="27"/>
  <c r="T86" i="27"/>
  <c r="P86" i="27"/>
  <c r="H86" i="27"/>
  <c r="D86" i="27"/>
  <c r="B86" i="27"/>
  <c r="Z85" i="27"/>
  <c r="X85" i="27"/>
  <c r="N85" i="27"/>
  <c r="L85" i="27"/>
  <c r="B85" i="27"/>
  <c r="T84" i="27"/>
  <c r="P84" i="27"/>
  <c r="X84" i="27" s="1"/>
  <c r="N84" i="27"/>
  <c r="H84" i="27"/>
  <c r="D84" i="27"/>
  <c r="L84" i="27" s="1"/>
  <c r="B84" i="27"/>
  <c r="Z83" i="27"/>
  <c r="X83" i="27"/>
  <c r="N83" i="27"/>
  <c r="L83" i="27"/>
  <c r="B83" i="27"/>
  <c r="X82" i="27"/>
  <c r="Z82" i="27" s="1"/>
  <c r="L82" i="27"/>
  <c r="N82" i="27" s="1"/>
  <c r="B82" i="27"/>
  <c r="T81" i="27"/>
  <c r="P81" i="27"/>
  <c r="X81" i="27" s="1"/>
  <c r="Z81" i="27" s="1"/>
  <c r="H81" i="27"/>
  <c r="D81" i="27"/>
  <c r="L81" i="27" s="1"/>
  <c r="B81" i="27"/>
  <c r="X80" i="27"/>
  <c r="Z80" i="27" s="1"/>
  <c r="N80" i="27"/>
  <c r="L80" i="27"/>
  <c r="B80" i="27"/>
  <c r="Z79" i="27"/>
  <c r="X79" i="27"/>
  <c r="T79" i="27"/>
  <c r="P79" i="27"/>
  <c r="H79" i="27"/>
  <c r="D79" i="27"/>
  <c r="L79" i="27" s="1"/>
  <c r="N79" i="27" s="1"/>
  <c r="B79" i="27"/>
  <c r="Z78" i="27"/>
  <c r="X78" i="27"/>
  <c r="L78" i="27"/>
  <c r="N78" i="27" s="1"/>
  <c r="B78" i="27"/>
  <c r="Z77" i="27"/>
  <c r="X77" i="27"/>
  <c r="N77" i="27"/>
  <c r="L77" i="27"/>
  <c r="B77" i="27"/>
  <c r="Z76" i="27"/>
  <c r="X76" i="27"/>
  <c r="L76" i="27"/>
  <c r="N76" i="27" s="1"/>
  <c r="B76" i="27"/>
  <c r="Z75" i="27"/>
  <c r="X75" i="27"/>
  <c r="N75" i="27"/>
  <c r="L75" i="27"/>
  <c r="B75" i="27"/>
  <c r="Z74" i="27"/>
  <c r="X74" i="27"/>
  <c r="L74" i="27"/>
  <c r="N74" i="27" s="1"/>
  <c r="B74" i="27"/>
  <c r="Z73" i="27"/>
  <c r="X73" i="27"/>
  <c r="N73" i="27"/>
  <c r="L73" i="27"/>
  <c r="B73" i="27"/>
  <c r="T72" i="27"/>
  <c r="P72" i="27"/>
  <c r="X72" i="27" s="1"/>
  <c r="N72" i="27"/>
  <c r="H72" i="27"/>
  <c r="D72" i="27"/>
  <c r="L72" i="27" s="1"/>
  <c r="B72" i="27"/>
  <c r="X71" i="27"/>
  <c r="Z71" i="27" s="1"/>
  <c r="L71" i="27"/>
  <c r="N71" i="27" s="1"/>
  <c r="B71" i="27"/>
  <c r="X70" i="27"/>
  <c r="Z70" i="27" s="1"/>
  <c r="L70" i="27"/>
  <c r="N70" i="27" s="1"/>
  <c r="B70" i="27"/>
  <c r="Z69" i="27"/>
  <c r="X69" i="27"/>
  <c r="N69" i="27"/>
  <c r="L69" i="27"/>
  <c r="B69" i="27"/>
  <c r="X68" i="27"/>
  <c r="Z68" i="27" s="1"/>
  <c r="L68" i="27"/>
  <c r="N68" i="27" s="1"/>
  <c r="B68" i="27"/>
  <c r="X67" i="27"/>
  <c r="Z67" i="27" s="1"/>
  <c r="L67" i="27"/>
  <c r="N67" i="27" s="1"/>
  <c r="B67" i="27"/>
  <c r="X66" i="27"/>
  <c r="Z66" i="27" s="1"/>
  <c r="L66" i="27"/>
  <c r="N66" i="27" s="1"/>
  <c r="B66" i="27"/>
  <c r="Z65" i="27"/>
  <c r="X65" i="27"/>
  <c r="N65" i="27"/>
  <c r="L65" i="27"/>
  <c r="B65" i="27"/>
  <c r="X64" i="27"/>
  <c r="Z64" i="27" s="1"/>
  <c r="L64" i="27"/>
  <c r="N64" i="27" s="1"/>
  <c r="B64" i="27"/>
  <c r="X63" i="27"/>
  <c r="Z63" i="27" s="1"/>
  <c r="N63" i="27"/>
  <c r="L63" i="27"/>
  <c r="B63" i="27"/>
  <c r="X62" i="27"/>
  <c r="Z62" i="27" s="1"/>
  <c r="T62" i="27"/>
  <c r="P62" i="27"/>
  <c r="L62" i="27"/>
  <c r="H62" i="27"/>
  <c r="D62" i="27"/>
  <c r="B62" i="27"/>
  <c r="T61" i="27"/>
  <c r="P61" i="27"/>
  <c r="X61" i="27" s="1"/>
  <c r="Z61" i="27" s="1"/>
  <c r="H61" i="27"/>
  <c r="D61" i="27"/>
  <c r="L61" i="27" s="1"/>
  <c r="N61" i="27" s="1"/>
  <c r="Z57" i="27"/>
  <c r="X57" i="27"/>
  <c r="L57" i="27"/>
  <c r="N57" i="27" s="1"/>
  <c r="B57" i="27"/>
  <c r="Z56" i="27"/>
  <c r="X56" i="27"/>
  <c r="N56" i="27"/>
  <c r="L56" i="27"/>
  <c r="B56" i="27"/>
  <c r="Z55" i="27"/>
  <c r="X55" i="27"/>
  <c r="L55" i="27"/>
  <c r="N55" i="27" s="1"/>
  <c r="B55" i="27"/>
  <c r="X54" i="27"/>
  <c r="Z54" i="27" s="1"/>
  <c r="N54" i="27"/>
  <c r="L54" i="27"/>
  <c r="B54" i="27"/>
  <c r="Z53" i="27"/>
  <c r="X53" i="27"/>
  <c r="L53" i="27"/>
  <c r="N53" i="27" s="1"/>
  <c r="B53" i="27"/>
  <c r="Z52" i="27"/>
  <c r="X52" i="27"/>
  <c r="N52" i="27"/>
  <c r="L52" i="27"/>
  <c r="B52" i="27"/>
  <c r="X51" i="27"/>
  <c r="Z51" i="27" s="1"/>
  <c r="L51" i="27"/>
  <c r="N51" i="27" s="1"/>
  <c r="B51" i="27"/>
  <c r="X50" i="27"/>
  <c r="Z50" i="27" s="1"/>
  <c r="N50" i="27"/>
  <c r="L50" i="27"/>
  <c r="B50" i="27"/>
  <c r="Z49" i="27"/>
  <c r="X49" i="27"/>
  <c r="L49" i="27"/>
  <c r="N49" i="27" s="1"/>
  <c r="B49" i="27"/>
  <c r="Z48" i="27"/>
  <c r="X48" i="27"/>
  <c r="N48" i="27"/>
  <c r="L48" i="27"/>
  <c r="B48" i="27"/>
  <c r="Z47" i="27"/>
  <c r="X47" i="27"/>
  <c r="L47" i="27"/>
  <c r="N47" i="27" s="1"/>
  <c r="B47" i="27"/>
  <c r="X46" i="27"/>
  <c r="Z46" i="27" s="1"/>
  <c r="N46" i="27"/>
  <c r="L46" i="27"/>
  <c r="B46" i="27"/>
  <c r="Z45" i="27"/>
  <c r="X45" i="27"/>
  <c r="N45" i="27"/>
  <c r="L45" i="27"/>
  <c r="B45" i="27"/>
  <c r="Z44" i="27"/>
  <c r="X44" i="27"/>
  <c r="N44" i="27"/>
  <c r="L44" i="27"/>
  <c r="B44" i="27"/>
  <c r="X43" i="27"/>
  <c r="Z43" i="27" s="1"/>
  <c r="L43" i="27"/>
  <c r="N43" i="27" s="1"/>
  <c r="B43" i="27"/>
  <c r="T42" i="27"/>
  <c r="P42" i="27"/>
  <c r="H42" i="27"/>
  <c r="D42" i="27"/>
  <c r="L42" i="27" s="1"/>
  <c r="T40" i="27"/>
  <c r="Z40" i="27" s="1"/>
  <c r="P40" i="27"/>
  <c r="X40" i="27" s="1"/>
  <c r="N40" i="27"/>
  <c r="H40" i="27"/>
  <c r="L40" i="27" s="1"/>
  <c r="D40" i="27"/>
  <c r="B40" i="27"/>
  <c r="T39" i="27"/>
  <c r="X39" i="27" s="1"/>
  <c r="Z39" i="27" s="1"/>
  <c r="P39" i="27"/>
  <c r="H39" i="27"/>
  <c r="D39" i="27"/>
  <c r="B39" i="27"/>
  <c r="T38" i="27"/>
  <c r="P38" i="27"/>
  <c r="X38" i="27" s="1"/>
  <c r="H38" i="27"/>
  <c r="N38" i="27" s="1"/>
  <c r="D38" i="27"/>
  <c r="L38" i="27" s="1"/>
  <c r="B38" i="27"/>
  <c r="X37" i="27"/>
  <c r="Z37" i="27" s="1"/>
  <c r="T37" i="27"/>
  <c r="P37" i="27"/>
  <c r="L37" i="27"/>
  <c r="H37" i="27"/>
  <c r="N37" i="27" s="1"/>
  <c r="D37" i="27"/>
  <c r="B37" i="27"/>
  <c r="T36" i="27"/>
  <c r="Z36" i="27" s="1"/>
  <c r="P36" i="27"/>
  <c r="X36" i="27" s="1"/>
  <c r="N36" i="27"/>
  <c r="L36" i="27"/>
  <c r="H36" i="27"/>
  <c r="D36" i="27"/>
  <c r="B36" i="27"/>
  <c r="T35" i="27"/>
  <c r="P35" i="27"/>
  <c r="X35" i="27" s="1"/>
  <c r="Z35" i="27" s="1"/>
  <c r="H35" i="27"/>
  <c r="N35" i="27" s="1"/>
  <c r="D35" i="27"/>
  <c r="L35" i="27" s="1"/>
  <c r="B35" i="27"/>
  <c r="T34" i="27"/>
  <c r="Z34" i="27" s="1"/>
  <c r="P34" i="27"/>
  <c r="X34" i="27" s="1"/>
  <c r="L34" i="27"/>
  <c r="N34" i="27" s="1"/>
  <c r="H34" i="27"/>
  <c r="D34" i="27"/>
  <c r="B34" i="27"/>
  <c r="Z33" i="27"/>
  <c r="X33" i="27"/>
  <c r="T33" i="27"/>
  <c r="P33" i="27"/>
  <c r="L33" i="27"/>
  <c r="H33" i="27"/>
  <c r="N33" i="27" s="1"/>
  <c r="D33" i="27"/>
  <c r="B33" i="27"/>
  <c r="T32" i="27"/>
  <c r="Z32" i="27" s="1"/>
  <c r="P32" i="27"/>
  <c r="X32" i="27" s="1"/>
  <c r="N32" i="27"/>
  <c r="L32" i="27"/>
  <c r="H32" i="27"/>
  <c r="D32" i="27"/>
  <c r="B32" i="27"/>
  <c r="T31" i="27"/>
  <c r="P31" i="27"/>
  <c r="H31" i="27"/>
  <c r="D31" i="27"/>
  <c r="L31" i="27" s="1"/>
  <c r="B31" i="27"/>
  <c r="T30" i="27"/>
  <c r="Z30" i="27" s="1"/>
  <c r="P30" i="27"/>
  <c r="X30" i="27" s="1"/>
  <c r="L30" i="27"/>
  <c r="N30" i="27" s="1"/>
  <c r="H30" i="27"/>
  <c r="D30" i="27"/>
  <c r="B30" i="27"/>
  <c r="Z29" i="27"/>
  <c r="X29" i="27"/>
  <c r="T29" i="27"/>
  <c r="P29" i="27"/>
  <c r="L29" i="27"/>
  <c r="H29" i="27"/>
  <c r="N29" i="27" s="1"/>
  <c r="D29" i="27"/>
  <c r="B29" i="27"/>
  <c r="T28" i="27"/>
  <c r="P28" i="27"/>
  <c r="X28" i="27" s="1"/>
  <c r="N28" i="27"/>
  <c r="L28" i="27"/>
  <c r="H28" i="27"/>
  <c r="D28" i="27"/>
  <c r="B28" i="27"/>
  <c r="T27" i="27"/>
  <c r="P27" i="27"/>
  <c r="H27" i="27"/>
  <c r="D27" i="27"/>
  <c r="L27" i="27" s="1"/>
  <c r="B27" i="27"/>
  <c r="T26" i="27"/>
  <c r="P26" i="27"/>
  <c r="X26" i="27" s="1"/>
  <c r="L26" i="27"/>
  <c r="N26" i="27" s="1"/>
  <c r="H26" i="27"/>
  <c r="D26" i="27"/>
  <c r="B26" i="27"/>
  <c r="X25" i="27"/>
  <c r="Z25" i="27" s="1"/>
  <c r="T25" i="27"/>
  <c r="P25" i="27"/>
  <c r="L25" i="27"/>
  <c r="H25" i="27"/>
  <c r="N25" i="27" s="1"/>
  <c r="D25" i="27"/>
  <c r="B25" i="27"/>
  <c r="T24" i="27"/>
  <c r="Z24" i="27" s="1"/>
  <c r="P24" i="27"/>
  <c r="X24" i="27" s="1"/>
  <c r="N24" i="27"/>
  <c r="L24" i="27"/>
  <c r="H24" i="27"/>
  <c r="D24" i="27"/>
  <c r="B24" i="27"/>
  <c r="T23" i="27"/>
  <c r="P23" i="27"/>
  <c r="H23" i="27"/>
  <c r="D23" i="27"/>
  <c r="L23" i="27" s="1"/>
  <c r="B23" i="27"/>
  <c r="T22" i="27"/>
  <c r="Z22" i="27" s="1"/>
  <c r="P22" i="27"/>
  <c r="X22" i="27" s="1"/>
  <c r="L22" i="27"/>
  <c r="N22" i="27" s="1"/>
  <c r="H22" i="27"/>
  <c r="D22" i="27"/>
  <c r="B22" i="27"/>
  <c r="Z21" i="27"/>
  <c r="X21" i="27"/>
  <c r="T21" i="27"/>
  <c r="P21" i="27"/>
  <c r="L21" i="27"/>
  <c r="H21" i="27"/>
  <c r="N21" i="27" s="1"/>
  <c r="D21" i="27"/>
  <c r="B21" i="27"/>
  <c r="T20" i="27"/>
  <c r="Z20" i="27" s="1"/>
  <c r="P20" i="27"/>
  <c r="X20" i="27" s="1"/>
  <c r="N20" i="27"/>
  <c r="L20" i="27"/>
  <c r="H20" i="27"/>
  <c r="D20" i="27"/>
  <c r="B20" i="27"/>
  <c r="T19" i="27"/>
  <c r="P19" i="27"/>
  <c r="H19" i="27"/>
  <c r="D19" i="27"/>
  <c r="L19" i="27" s="1"/>
  <c r="B19" i="27"/>
  <c r="T18" i="27"/>
  <c r="Z18" i="27" s="1"/>
  <c r="P18" i="27"/>
  <c r="X18" i="27" s="1"/>
  <c r="N18" i="27"/>
  <c r="L18" i="27"/>
  <c r="H18" i="27"/>
  <c r="D18" i="27"/>
  <c r="B18" i="27"/>
  <c r="X17" i="27"/>
  <c r="Z17" i="27" s="1"/>
  <c r="T17" i="27"/>
  <c r="P17" i="27"/>
  <c r="L17" i="27"/>
  <c r="N17" i="27" s="1"/>
  <c r="H17" i="27"/>
  <c r="D17" i="27"/>
  <c r="B17" i="27"/>
  <c r="T16" i="27"/>
  <c r="P16" i="27"/>
  <c r="X16" i="27" s="1"/>
  <c r="N16" i="27"/>
  <c r="L16" i="27"/>
  <c r="H16" i="27"/>
  <c r="D16" i="27"/>
  <c r="B16" i="27"/>
  <c r="T15" i="27"/>
  <c r="P15" i="27"/>
  <c r="H15" i="27"/>
  <c r="D15" i="27"/>
  <c r="B15" i="27"/>
  <c r="T14" i="27"/>
  <c r="P14" i="27"/>
  <c r="X14" i="27" s="1"/>
  <c r="L14" i="27"/>
  <c r="H14" i="27"/>
  <c r="N14" i="27" s="1"/>
  <c r="D14" i="27"/>
  <c r="B14" i="27"/>
  <c r="Z13" i="27"/>
  <c r="X13" i="27"/>
  <c r="T13" i="27"/>
  <c r="P13" i="27"/>
  <c r="L13" i="27"/>
  <c r="H13" i="27"/>
  <c r="N13" i="27" s="1"/>
  <c r="D13" i="27"/>
  <c r="B13" i="27"/>
  <c r="D4" i="27"/>
  <c r="Z126" i="24"/>
  <c r="X126" i="24"/>
  <c r="N126" i="24"/>
  <c r="L126" i="24"/>
  <c r="X122" i="24"/>
  <c r="T122" i="24"/>
  <c r="Z122" i="24" s="1"/>
  <c r="P122" i="24"/>
  <c r="H122" i="24"/>
  <c r="D122" i="24"/>
  <c r="X120" i="24"/>
  <c r="Z120" i="24" s="1"/>
  <c r="N120" i="24"/>
  <c r="L120" i="24"/>
  <c r="B120" i="24"/>
  <c r="T119" i="24"/>
  <c r="P119" i="24"/>
  <c r="X119" i="24" s="1"/>
  <c r="Z119" i="24" s="1"/>
  <c r="L119" i="24"/>
  <c r="H119" i="24"/>
  <c r="N119" i="24" s="1"/>
  <c r="D119" i="24"/>
  <c r="B119" i="24"/>
  <c r="X118" i="24"/>
  <c r="Z118" i="24" s="1"/>
  <c r="N118" i="24"/>
  <c r="L118" i="24"/>
  <c r="J118" i="24"/>
  <c r="B118" i="24"/>
  <c r="X117" i="24"/>
  <c r="Z117" i="24" s="1"/>
  <c r="T117" i="24"/>
  <c r="P117" i="24"/>
  <c r="H117" i="24"/>
  <c r="D117" i="24"/>
  <c r="B117" i="24"/>
  <c r="X116" i="24"/>
  <c r="Z116" i="24" s="1"/>
  <c r="N116" i="24"/>
  <c r="L116" i="24"/>
  <c r="B116" i="24"/>
  <c r="X115" i="24"/>
  <c r="Z115" i="24" s="1"/>
  <c r="N115" i="24"/>
  <c r="L115" i="24"/>
  <c r="B115" i="24"/>
  <c r="Z114" i="24"/>
  <c r="X114" i="24"/>
  <c r="N114" i="24"/>
  <c r="L114" i="24"/>
  <c r="J114" i="24"/>
  <c r="B114" i="24"/>
  <c r="T113" i="24"/>
  <c r="P113" i="24"/>
  <c r="X113" i="24" s="1"/>
  <c r="H113" i="24"/>
  <c r="D113" i="24"/>
  <c r="B113" i="24"/>
  <c r="X112" i="24"/>
  <c r="Z112" i="24" s="1"/>
  <c r="N112" i="24"/>
  <c r="L112" i="24"/>
  <c r="B112" i="24"/>
  <c r="T111" i="24"/>
  <c r="P111" i="24"/>
  <c r="X111" i="24" s="1"/>
  <c r="Z111" i="24" s="1"/>
  <c r="L111" i="24"/>
  <c r="H111" i="24"/>
  <c r="N111" i="24" s="1"/>
  <c r="D111" i="24"/>
  <c r="B111" i="24"/>
  <c r="X110" i="24"/>
  <c r="Z110" i="24" s="1"/>
  <c r="N110" i="24"/>
  <c r="L110" i="24"/>
  <c r="B110" i="24"/>
  <c r="X109" i="24"/>
  <c r="Z109" i="24" s="1"/>
  <c r="N109" i="24"/>
  <c r="L109" i="24"/>
  <c r="B109" i="24"/>
  <c r="T108" i="24"/>
  <c r="P108" i="24"/>
  <c r="X108" i="24" s="1"/>
  <c r="Z108" i="24" s="1"/>
  <c r="L108" i="24"/>
  <c r="H108" i="24"/>
  <c r="N108" i="24" s="1"/>
  <c r="D108" i="24"/>
  <c r="B108" i="24"/>
  <c r="X107" i="24"/>
  <c r="Z107" i="24" s="1"/>
  <c r="N107" i="24"/>
  <c r="L107" i="24"/>
  <c r="B107" i="24"/>
  <c r="Z106" i="24"/>
  <c r="X106" i="24"/>
  <c r="N106" i="24"/>
  <c r="L106" i="24"/>
  <c r="J106" i="24"/>
  <c r="B106" i="24"/>
  <c r="T105" i="24"/>
  <c r="P105" i="24"/>
  <c r="X105" i="24" s="1"/>
  <c r="H105" i="24"/>
  <c r="N105" i="24" s="1"/>
  <c r="D105" i="24"/>
  <c r="B105" i="24"/>
  <c r="X104" i="24"/>
  <c r="Z104" i="24" s="1"/>
  <c r="N104" i="24"/>
  <c r="L104" i="24"/>
  <c r="B104" i="24"/>
  <c r="T103" i="24"/>
  <c r="P103" i="24"/>
  <c r="X103" i="24" s="1"/>
  <c r="Z103" i="24" s="1"/>
  <c r="L103" i="24"/>
  <c r="H103" i="24"/>
  <c r="N103" i="24" s="1"/>
  <c r="D103" i="24"/>
  <c r="B103" i="24"/>
  <c r="X102" i="24"/>
  <c r="Z102" i="24" s="1"/>
  <c r="N102" i="24"/>
  <c r="L102" i="24"/>
  <c r="J102" i="24"/>
  <c r="B102" i="24"/>
  <c r="X101" i="24"/>
  <c r="T101" i="24"/>
  <c r="Z101" i="24" s="1"/>
  <c r="P101" i="24"/>
  <c r="L101" i="24"/>
  <c r="H101" i="24"/>
  <c r="N101" i="24" s="1"/>
  <c r="D101" i="24"/>
  <c r="B101" i="24"/>
  <c r="Z100" i="24"/>
  <c r="X100" i="24"/>
  <c r="L100" i="24"/>
  <c r="N100" i="24" s="1"/>
  <c r="B100" i="24"/>
  <c r="T99" i="24"/>
  <c r="P99" i="24"/>
  <c r="H99" i="24"/>
  <c r="D99" i="24"/>
  <c r="B99" i="24"/>
  <c r="Z98" i="24"/>
  <c r="X98" i="24"/>
  <c r="N98" i="24"/>
  <c r="L98" i="24"/>
  <c r="B98" i="24"/>
  <c r="X97" i="24"/>
  <c r="Z97" i="24" s="1"/>
  <c r="L97" i="24"/>
  <c r="N97" i="24" s="1"/>
  <c r="B97" i="24"/>
  <c r="X96" i="24"/>
  <c r="T96" i="24"/>
  <c r="P96" i="24"/>
  <c r="H96" i="24"/>
  <c r="D96" i="24"/>
  <c r="B96" i="24"/>
  <c r="Z95" i="24"/>
  <c r="X95" i="24"/>
  <c r="L95" i="24"/>
  <c r="N95" i="24" s="1"/>
  <c r="B95" i="24"/>
  <c r="X94" i="24"/>
  <c r="Z94" i="24" s="1"/>
  <c r="T94" i="24"/>
  <c r="P94" i="24"/>
  <c r="N94" i="24"/>
  <c r="H94" i="24"/>
  <c r="D94" i="24"/>
  <c r="L94" i="24" s="1"/>
  <c r="B94" i="24"/>
  <c r="Z93" i="24"/>
  <c r="X93" i="24"/>
  <c r="L93" i="24"/>
  <c r="N93" i="24" s="1"/>
  <c r="B93" i="24"/>
  <c r="T92" i="24"/>
  <c r="P92" i="24"/>
  <c r="X92" i="24" s="1"/>
  <c r="L92" i="24"/>
  <c r="N92" i="24" s="1"/>
  <c r="H92" i="24"/>
  <c r="D92" i="24"/>
  <c r="B92" i="24"/>
  <c r="Z91" i="24"/>
  <c r="X91" i="24"/>
  <c r="L91" i="24"/>
  <c r="N91" i="24" s="1"/>
  <c r="F91" i="24"/>
  <c r="B91" i="24"/>
  <c r="X90" i="24"/>
  <c r="Z90" i="24" s="1"/>
  <c r="N90" i="24"/>
  <c r="L90" i="24"/>
  <c r="B90" i="24"/>
  <c r="X89" i="24"/>
  <c r="Z89" i="24" s="1"/>
  <c r="L89" i="24"/>
  <c r="N89" i="24" s="1"/>
  <c r="B89" i="24"/>
  <c r="X88" i="24"/>
  <c r="Z88" i="24" s="1"/>
  <c r="N88" i="24"/>
  <c r="L88" i="24"/>
  <c r="B88" i="24"/>
  <c r="Z87" i="24"/>
  <c r="X87" i="24"/>
  <c r="L87" i="24"/>
  <c r="N87" i="24" s="1"/>
  <c r="F87" i="24"/>
  <c r="B87" i="24"/>
  <c r="X86" i="24"/>
  <c r="T86" i="24"/>
  <c r="Z86" i="24" s="1"/>
  <c r="P86" i="24"/>
  <c r="L86" i="24"/>
  <c r="N86" i="24" s="1"/>
  <c r="H86" i="24"/>
  <c r="F86" i="24"/>
  <c r="D86" i="24"/>
  <c r="B86" i="24"/>
  <c r="X85" i="24"/>
  <c r="Z85" i="24" s="1"/>
  <c r="L85" i="24"/>
  <c r="N85" i="24" s="1"/>
  <c r="B85" i="24"/>
  <c r="Z84" i="24"/>
  <c r="X84" i="24"/>
  <c r="N84" i="24"/>
  <c r="L84" i="24"/>
  <c r="B84" i="24"/>
  <c r="X83" i="24"/>
  <c r="Z83" i="24" s="1"/>
  <c r="L83" i="24"/>
  <c r="N83" i="24" s="1"/>
  <c r="B83" i="24"/>
  <c r="Z82" i="24"/>
  <c r="X82" i="24"/>
  <c r="N82" i="24"/>
  <c r="L82" i="24"/>
  <c r="J82" i="24"/>
  <c r="B82" i="24"/>
  <c r="X81" i="24"/>
  <c r="Z81" i="24" s="1"/>
  <c r="L81" i="24"/>
  <c r="N81" i="24" s="1"/>
  <c r="B81" i="24"/>
  <c r="Z80" i="24"/>
  <c r="X80" i="24"/>
  <c r="N80" i="24"/>
  <c r="L80" i="24"/>
  <c r="B80" i="24"/>
  <c r="X79" i="24"/>
  <c r="Z79" i="24" s="1"/>
  <c r="L79" i="24"/>
  <c r="N79" i="24" s="1"/>
  <c r="B79" i="24"/>
  <c r="Z78" i="24"/>
  <c r="X78" i="24"/>
  <c r="N78" i="24"/>
  <c r="L78" i="24"/>
  <c r="J78" i="24"/>
  <c r="B78" i="24"/>
  <c r="X77" i="24"/>
  <c r="Z77" i="24" s="1"/>
  <c r="T77" i="24"/>
  <c r="P77" i="24"/>
  <c r="H77" i="24"/>
  <c r="D77" i="24"/>
  <c r="B77" i="24"/>
  <c r="T76" i="24"/>
  <c r="P76" i="24"/>
  <c r="X76" i="24" s="1"/>
  <c r="Z76" i="24" s="1"/>
  <c r="H76" i="24"/>
  <c r="J76" i="24" s="1"/>
  <c r="D76" i="24"/>
  <c r="L76" i="24" s="1"/>
  <c r="N76" i="24" s="1"/>
  <c r="Z72" i="24"/>
  <c r="X72" i="24"/>
  <c r="L72" i="24"/>
  <c r="N72" i="24" s="1"/>
  <c r="B72" i="24"/>
  <c r="Z71" i="24"/>
  <c r="X71" i="24"/>
  <c r="N71" i="24"/>
  <c r="L71" i="24"/>
  <c r="B71" i="24"/>
  <c r="Z70" i="24"/>
  <c r="X70" i="24"/>
  <c r="L70" i="24"/>
  <c r="N70" i="24" s="1"/>
  <c r="B70" i="24"/>
  <c r="X69" i="24"/>
  <c r="Z69" i="24" s="1"/>
  <c r="L69" i="24"/>
  <c r="N69" i="24" s="1"/>
  <c r="B69" i="24"/>
  <c r="Z68" i="24"/>
  <c r="X68" i="24"/>
  <c r="N68" i="24"/>
  <c r="L68" i="24"/>
  <c r="B68" i="24"/>
  <c r="Z67" i="24"/>
  <c r="X67" i="24"/>
  <c r="N67" i="24"/>
  <c r="L67" i="24"/>
  <c r="B67" i="24"/>
  <c r="Z66" i="24"/>
  <c r="X66" i="24"/>
  <c r="L66" i="24"/>
  <c r="N66" i="24" s="1"/>
  <c r="B66" i="24"/>
  <c r="X65" i="24"/>
  <c r="Z65" i="24" s="1"/>
  <c r="L65" i="24"/>
  <c r="N65" i="24" s="1"/>
  <c r="B65" i="24"/>
  <c r="Z64" i="24"/>
  <c r="X64" i="24"/>
  <c r="N64" i="24"/>
  <c r="L64" i="24"/>
  <c r="B64" i="24"/>
  <c r="Z63" i="24"/>
  <c r="X63" i="24"/>
  <c r="N63" i="24"/>
  <c r="L63" i="24"/>
  <c r="B63" i="24"/>
  <c r="Z62" i="24"/>
  <c r="X62" i="24"/>
  <c r="L62" i="24"/>
  <c r="N62" i="24" s="1"/>
  <c r="B62" i="24"/>
  <c r="X61" i="24"/>
  <c r="Z61" i="24" s="1"/>
  <c r="L61" i="24"/>
  <c r="N61" i="24" s="1"/>
  <c r="B61" i="24"/>
  <c r="Z60" i="24"/>
  <c r="X60" i="24"/>
  <c r="L60" i="24"/>
  <c r="N60" i="24" s="1"/>
  <c r="B60" i="24"/>
  <c r="Z59" i="24"/>
  <c r="X59" i="24"/>
  <c r="N59" i="24"/>
  <c r="L59" i="24"/>
  <c r="B59" i="24"/>
  <c r="Z58" i="24"/>
  <c r="X58" i="24"/>
  <c r="V58" i="24"/>
  <c r="L58" i="24"/>
  <c r="N58" i="24" s="1"/>
  <c r="B58" i="24"/>
  <c r="X57" i="24"/>
  <c r="Z57" i="24" s="1"/>
  <c r="L57" i="24"/>
  <c r="N57" i="24" s="1"/>
  <c r="B57" i="24"/>
  <c r="Z56" i="24"/>
  <c r="X56" i="24"/>
  <c r="L56" i="24"/>
  <c r="N56" i="24" s="1"/>
  <c r="B56" i="24"/>
  <c r="X55" i="24"/>
  <c r="Z55" i="24" s="1"/>
  <c r="N55" i="24"/>
  <c r="L55" i="24"/>
  <c r="B55" i="24"/>
  <c r="Z54" i="24"/>
  <c r="X54" i="24"/>
  <c r="L54" i="24"/>
  <c r="N54" i="24" s="1"/>
  <c r="B54" i="24"/>
  <c r="X53" i="24"/>
  <c r="Z53" i="24" s="1"/>
  <c r="L53" i="24"/>
  <c r="N53" i="24" s="1"/>
  <c r="B53" i="24"/>
  <c r="Z52" i="24"/>
  <c r="X52" i="24"/>
  <c r="L52" i="24"/>
  <c r="N52" i="24" s="1"/>
  <c r="B52" i="24"/>
  <c r="Z51" i="24"/>
  <c r="X51" i="24"/>
  <c r="N51" i="24"/>
  <c r="L51" i="24"/>
  <c r="B51" i="24"/>
  <c r="Z50" i="24"/>
  <c r="X50" i="24"/>
  <c r="N50" i="24"/>
  <c r="L50" i="24"/>
  <c r="B50" i="24"/>
  <c r="T49" i="24"/>
  <c r="P49" i="24"/>
  <c r="X49" i="24" s="1"/>
  <c r="J49" i="24"/>
  <c r="H49" i="24"/>
  <c r="D49" i="24"/>
  <c r="L49" i="24" s="1"/>
  <c r="T47" i="24"/>
  <c r="P47" i="24"/>
  <c r="X47" i="24" s="1"/>
  <c r="N47" i="24"/>
  <c r="L47" i="24"/>
  <c r="H47" i="24"/>
  <c r="D47" i="24"/>
  <c r="B47" i="24"/>
  <c r="Z46" i="24"/>
  <c r="X46" i="24"/>
  <c r="T46" i="24"/>
  <c r="P46" i="24"/>
  <c r="L46" i="24"/>
  <c r="H46" i="24"/>
  <c r="N46" i="24" s="1"/>
  <c r="D46" i="24"/>
  <c r="B46" i="24"/>
  <c r="T45" i="24"/>
  <c r="P45" i="24"/>
  <c r="X45" i="24" s="1"/>
  <c r="H45" i="24"/>
  <c r="D45" i="24"/>
  <c r="L45" i="24" s="1"/>
  <c r="N45" i="24" s="1"/>
  <c r="B45" i="24"/>
  <c r="T44" i="24"/>
  <c r="P44" i="24"/>
  <c r="L44" i="24"/>
  <c r="H44" i="24"/>
  <c r="N44" i="24" s="1"/>
  <c r="D44" i="24"/>
  <c r="B44" i="24"/>
  <c r="T43" i="24"/>
  <c r="P43" i="24"/>
  <c r="X43" i="24" s="1"/>
  <c r="L43" i="24"/>
  <c r="N43" i="24" s="1"/>
  <c r="H43" i="24"/>
  <c r="D43" i="24"/>
  <c r="B43" i="24"/>
  <c r="Z42" i="24"/>
  <c r="X42" i="24"/>
  <c r="T42" i="24"/>
  <c r="P42" i="24"/>
  <c r="L42" i="24"/>
  <c r="H42" i="24"/>
  <c r="N42" i="24" s="1"/>
  <c r="D42" i="24"/>
  <c r="B42" i="24"/>
  <c r="T41" i="24"/>
  <c r="Z41" i="24" s="1"/>
  <c r="P41" i="24"/>
  <c r="X41" i="24" s="1"/>
  <c r="H41" i="24"/>
  <c r="D41" i="24"/>
  <c r="L41" i="24" s="1"/>
  <c r="N41" i="24" s="1"/>
  <c r="B41" i="24"/>
  <c r="T40" i="24"/>
  <c r="P40" i="24"/>
  <c r="L40" i="24"/>
  <c r="H40" i="24"/>
  <c r="N40" i="24" s="1"/>
  <c r="D40" i="24"/>
  <c r="B40" i="24"/>
  <c r="T39" i="24"/>
  <c r="Z39" i="24" s="1"/>
  <c r="P39" i="24"/>
  <c r="X39" i="24" s="1"/>
  <c r="N39" i="24"/>
  <c r="L39" i="24"/>
  <c r="H39" i="24"/>
  <c r="D39" i="24"/>
  <c r="B39" i="24"/>
  <c r="Z38" i="24"/>
  <c r="X38" i="24"/>
  <c r="T38" i="24"/>
  <c r="P38" i="24"/>
  <c r="L38" i="24"/>
  <c r="H38" i="24"/>
  <c r="N38" i="24" s="1"/>
  <c r="D38" i="24"/>
  <c r="B38" i="24"/>
  <c r="T37" i="24"/>
  <c r="Z37" i="24" s="1"/>
  <c r="P37" i="24"/>
  <c r="X37" i="24" s="1"/>
  <c r="H37" i="24"/>
  <c r="D37" i="24"/>
  <c r="L37" i="24" s="1"/>
  <c r="N37" i="24" s="1"/>
  <c r="B37" i="24"/>
  <c r="T36" i="24"/>
  <c r="P36" i="24"/>
  <c r="L36" i="24"/>
  <c r="H36" i="24"/>
  <c r="N36" i="24" s="1"/>
  <c r="D36" i="24"/>
  <c r="B36" i="24"/>
  <c r="T35" i="24"/>
  <c r="P35" i="24"/>
  <c r="X35" i="24" s="1"/>
  <c r="L35" i="24"/>
  <c r="N35" i="24" s="1"/>
  <c r="H35" i="24"/>
  <c r="D35" i="24"/>
  <c r="B35" i="24"/>
  <c r="Z34" i="24"/>
  <c r="X34" i="24"/>
  <c r="T34" i="24"/>
  <c r="P34" i="24"/>
  <c r="L34" i="24"/>
  <c r="H34" i="24"/>
  <c r="N34" i="24" s="1"/>
  <c r="D34" i="24"/>
  <c r="B34" i="24"/>
  <c r="T33" i="24"/>
  <c r="P33" i="24"/>
  <c r="X33" i="24" s="1"/>
  <c r="N33" i="24"/>
  <c r="L33" i="24"/>
  <c r="H33" i="24"/>
  <c r="D33" i="24"/>
  <c r="B33" i="24"/>
  <c r="T32" i="24"/>
  <c r="P32" i="24"/>
  <c r="L32" i="24"/>
  <c r="H32" i="24"/>
  <c r="N32" i="24" s="1"/>
  <c r="D32" i="24"/>
  <c r="B32" i="24"/>
  <c r="T31" i="24"/>
  <c r="P31" i="24"/>
  <c r="X31" i="24" s="1"/>
  <c r="L31" i="24"/>
  <c r="N31" i="24" s="1"/>
  <c r="H31" i="24"/>
  <c r="D31" i="24"/>
  <c r="B31" i="24"/>
  <c r="Z30" i="24"/>
  <c r="X30" i="24"/>
  <c r="T30" i="24"/>
  <c r="P30" i="24"/>
  <c r="L30" i="24"/>
  <c r="H30" i="24"/>
  <c r="N30" i="24" s="1"/>
  <c r="D30" i="24"/>
  <c r="B30" i="24"/>
  <c r="T29" i="24"/>
  <c r="P29" i="24"/>
  <c r="X29" i="24" s="1"/>
  <c r="N29" i="24"/>
  <c r="L29" i="24"/>
  <c r="H29" i="24"/>
  <c r="D29" i="24"/>
  <c r="B29" i="24"/>
  <c r="T28" i="24"/>
  <c r="P28" i="24"/>
  <c r="L28" i="24"/>
  <c r="H28" i="24"/>
  <c r="N28" i="24" s="1"/>
  <c r="D28" i="24"/>
  <c r="B28" i="24"/>
  <c r="T27" i="24"/>
  <c r="Z27" i="24" s="1"/>
  <c r="P27" i="24"/>
  <c r="X27" i="24" s="1"/>
  <c r="N27" i="24"/>
  <c r="L27" i="24"/>
  <c r="H27" i="24"/>
  <c r="D27" i="24"/>
  <c r="B27" i="24"/>
  <c r="Z26" i="24"/>
  <c r="X26" i="24"/>
  <c r="T26" i="24"/>
  <c r="P26" i="24"/>
  <c r="L26" i="24"/>
  <c r="H26" i="24"/>
  <c r="N26" i="24" s="1"/>
  <c r="D26" i="24"/>
  <c r="B26" i="24"/>
  <c r="T25" i="24"/>
  <c r="P25" i="24"/>
  <c r="X25" i="24" s="1"/>
  <c r="N25" i="24"/>
  <c r="L25" i="24"/>
  <c r="H25" i="24"/>
  <c r="D25" i="24"/>
  <c r="B25" i="24"/>
  <c r="T24" i="24"/>
  <c r="P24" i="24"/>
  <c r="L24" i="24"/>
  <c r="H24" i="24"/>
  <c r="N24" i="24" s="1"/>
  <c r="D24" i="24"/>
  <c r="B24" i="24"/>
  <c r="T23" i="24"/>
  <c r="Z23" i="24" s="1"/>
  <c r="P23" i="24"/>
  <c r="X23" i="24" s="1"/>
  <c r="L23" i="24"/>
  <c r="N23" i="24" s="1"/>
  <c r="H23" i="24"/>
  <c r="D23" i="24"/>
  <c r="B23" i="24"/>
  <c r="Z22" i="24"/>
  <c r="X22" i="24"/>
  <c r="T22" i="24"/>
  <c r="P22" i="24"/>
  <c r="L22" i="24"/>
  <c r="H22" i="24"/>
  <c r="N22" i="24" s="1"/>
  <c r="D22" i="24"/>
  <c r="B22" i="24"/>
  <c r="T21" i="24"/>
  <c r="P21" i="24"/>
  <c r="X21" i="24" s="1"/>
  <c r="N21" i="24"/>
  <c r="L21" i="24"/>
  <c r="H21" i="24"/>
  <c r="D21" i="24"/>
  <c r="B21" i="24"/>
  <c r="T20" i="24"/>
  <c r="P20" i="24"/>
  <c r="L20" i="24"/>
  <c r="H20" i="24"/>
  <c r="N20" i="24" s="1"/>
  <c r="D20" i="24"/>
  <c r="B20" i="24"/>
  <c r="T19" i="24"/>
  <c r="Z19" i="24" s="1"/>
  <c r="P19" i="24"/>
  <c r="X19" i="24" s="1"/>
  <c r="L19" i="24"/>
  <c r="N19" i="24" s="1"/>
  <c r="H19" i="24"/>
  <c r="D19" i="24"/>
  <c r="B19" i="24"/>
  <c r="Z18" i="24"/>
  <c r="X18" i="24"/>
  <c r="T18" i="24"/>
  <c r="P18" i="24"/>
  <c r="L18" i="24"/>
  <c r="H18" i="24"/>
  <c r="N18" i="24" s="1"/>
  <c r="D18" i="24"/>
  <c r="B18" i="24"/>
  <c r="T17" i="24"/>
  <c r="P17" i="24"/>
  <c r="X17" i="24" s="1"/>
  <c r="N17" i="24"/>
  <c r="L17" i="24"/>
  <c r="H17" i="24"/>
  <c r="D17" i="24"/>
  <c r="B17" i="24"/>
  <c r="T16" i="24"/>
  <c r="P16" i="24"/>
  <c r="L16" i="24"/>
  <c r="H16" i="24"/>
  <c r="N16" i="24" s="1"/>
  <c r="D16" i="24"/>
  <c r="B16" i="24"/>
  <c r="T15" i="24"/>
  <c r="P15" i="24"/>
  <c r="X15" i="24" s="1"/>
  <c r="L15" i="24"/>
  <c r="N15" i="24" s="1"/>
  <c r="H15" i="24"/>
  <c r="D15" i="24"/>
  <c r="B15" i="24"/>
  <c r="Z14" i="24"/>
  <c r="X14" i="24"/>
  <c r="T14" i="24"/>
  <c r="P14" i="24"/>
  <c r="L14" i="24"/>
  <c r="H14" i="24"/>
  <c r="N14" i="24" s="1"/>
  <c r="D14" i="24"/>
  <c r="B14" i="24"/>
  <c r="T13" i="24"/>
  <c r="Z13" i="24" s="1"/>
  <c r="P13" i="24"/>
  <c r="X13" i="24" s="1"/>
  <c r="N13" i="24"/>
  <c r="L13" i="24"/>
  <c r="H13" i="24"/>
  <c r="D13" i="24"/>
  <c r="B13" i="24"/>
  <c r="T12" i="24"/>
  <c r="L12" i="24"/>
  <c r="H12" i="24"/>
  <c r="J94" i="24" s="1"/>
  <c r="D12" i="24"/>
  <c r="F113" i="24" s="1"/>
  <c r="D4" i="24"/>
  <c r="Z102" i="21"/>
  <c r="X102" i="21"/>
  <c r="N102" i="21"/>
  <c r="L102" i="21"/>
  <c r="Z98" i="21"/>
  <c r="X98" i="21"/>
  <c r="T98" i="21"/>
  <c r="P98" i="21"/>
  <c r="N98" i="21"/>
  <c r="L98" i="21"/>
  <c r="H98" i="21"/>
  <c r="D98" i="21"/>
  <c r="X96" i="21"/>
  <c r="Z96" i="21" s="1"/>
  <c r="N96" i="21"/>
  <c r="L96" i="21"/>
  <c r="B96" i="21"/>
  <c r="X95" i="21"/>
  <c r="T95" i="21"/>
  <c r="Z95" i="21" s="1"/>
  <c r="P95" i="21"/>
  <c r="L95" i="21"/>
  <c r="N95" i="21" s="1"/>
  <c r="H95" i="21"/>
  <c r="D95" i="21"/>
  <c r="B95" i="21"/>
  <c r="Z94" i="21"/>
  <c r="X94" i="21"/>
  <c r="N94" i="21"/>
  <c r="L94" i="21"/>
  <c r="B94" i="21"/>
  <c r="Z93" i="21"/>
  <c r="T93" i="21"/>
  <c r="P93" i="21"/>
  <c r="X93" i="21" s="1"/>
  <c r="H93" i="21"/>
  <c r="N93" i="21" s="1"/>
  <c r="D93" i="21"/>
  <c r="L93" i="21" s="1"/>
  <c r="B93" i="21"/>
  <c r="Z92" i="21"/>
  <c r="X92" i="21"/>
  <c r="L92" i="21"/>
  <c r="N92" i="21" s="1"/>
  <c r="B92" i="21"/>
  <c r="V91" i="21"/>
  <c r="T91" i="21"/>
  <c r="P91" i="21"/>
  <c r="X91" i="21" s="1"/>
  <c r="Z91" i="21" s="1"/>
  <c r="H91" i="21"/>
  <c r="D91" i="21"/>
  <c r="L91" i="21" s="1"/>
  <c r="N91" i="21" s="1"/>
  <c r="B91" i="21"/>
  <c r="X90" i="21"/>
  <c r="Z90" i="21" s="1"/>
  <c r="N90" i="21"/>
  <c r="L90" i="21"/>
  <c r="B90" i="21"/>
  <c r="X89" i="21"/>
  <c r="Z89" i="21" s="1"/>
  <c r="N89" i="21"/>
  <c r="L89" i="21"/>
  <c r="B89" i="21"/>
  <c r="X88" i="21"/>
  <c r="Z88" i="21" s="1"/>
  <c r="N88" i="21"/>
  <c r="L88" i="21"/>
  <c r="B88" i="21"/>
  <c r="X87" i="21"/>
  <c r="Z87" i="21" s="1"/>
  <c r="N87" i="21"/>
  <c r="L87" i="21"/>
  <c r="B87" i="21"/>
  <c r="X86" i="21"/>
  <c r="Z86" i="21" s="1"/>
  <c r="N86" i="21"/>
  <c r="L86" i="21"/>
  <c r="B86" i="21"/>
  <c r="Z85" i="21"/>
  <c r="X85" i="21"/>
  <c r="N85" i="21"/>
  <c r="L85" i="21"/>
  <c r="B85" i="21"/>
  <c r="X84" i="21"/>
  <c r="Z84" i="21" s="1"/>
  <c r="N84" i="21"/>
  <c r="L84" i="21"/>
  <c r="B84" i="21"/>
  <c r="X83" i="21"/>
  <c r="T83" i="21"/>
  <c r="Z83" i="21" s="1"/>
  <c r="P83" i="21"/>
  <c r="L83" i="21"/>
  <c r="H83" i="21"/>
  <c r="N83" i="21" s="1"/>
  <c r="D83" i="21"/>
  <c r="B83" i="21"/>
  <c r="Z82" i="21"/>
  <c r="X82" i="21"/>
  <c r="N82" i="21"/>
  <c r="L82" i="21"/>
  <c r="B82" i="21"/>
  <c r="Z81" i="21"/>
  <c r="T81" i="21"/>
  <c r="P81" i="21"/>
  <c r="X81" i="21" s="1"/>
  <c r="H81" i="21"/>
  <c r="N81" i="21" s="1"/>
  <c r="D81" i="21"/>
  <c r="L81" i="21" s="1"/>
  <c r="B81" i="21"/>
  <c r="Z80" i="21"/>
  <c r="X80" i="21"/>
  <c r="L80" i="21"/>
  <c r="N80" i="21" s="1"/>
  <c r="B80" i="21"/>
  <c r="Z79" i="21"/>
  <c r="X79" i="21"/>
  <c r="L79" i="21"/>
  <c r="N79" i="21" s="1"/>
  <c r="B79" i="21"/>
  <c r="X78" i="21"/>
  <c r="Z78" i="21" s="1"/>
  <c r="L78" i="21"/>
  <c r="N78" i="21" s="1"/>
  <c r="B78" i="21"/>
  <c r="Z77" i="21"/>
  <c r="X77" i="21"/>
  <c r="L77" i="21"/>
  <c r="N77" i="21" s="1"/>
  <c r="B77" i="21"/>
  <c r="T76" i="21"/>
  <c r="P76" i="21"/>
  <c r="X76" i="21" s="1"/>
  <c r="H76" i="21"/>
  <c r="D76" i="21"/>
  <c r="L76" i="21" s="1"/>
  <c r="B76" i="21"/>
  <c r="X75" i="21"/>
  <c r="Z75" i="21" s="1"/>
  <c r="N75" i="21"/>
  <c r="L75" i="21"/>
  <c r="B75" i="21"/>
  <c r="X74" i="21"/>
  <c r="Z74" i="21" s="1"/>
  <c r="T74" i="21"/>
  <c r="P74" i="21"/>
  <c r="N74" i="21"/>
  <c r="L74" i="21"/>
  <c r="H74" i="21"/>
  <c r="D74" i="21"/>
  <c r="B74" i="21"/>
  <c r="Z73" i="21"/>
  <c r="X73" i="21"/>
  <c r="N73" i="21"/>
  <c r="L73" i="21"/>
  <c r="B73" i="21"/>
  <c r="Z72" i="21"/>
  <c r="X72" i="21"/>
  <c r="N72" i="21"/>
  <c r="L72" i="21"/>
  <c r="B72" i="21"/>
  <c r="Z71" i="21"/>
  <c r="X71" i="21"/>
  <c r="N71" i="21"/>
  <c r="L71" i="21"/>
  <c r="B71" i="21"/>
  <c r="T70" i="21"/>
  <c r="X70" i="21" s="1"/>
  <c r="Z70" i="21" s="1"/>
  <c r="P70" i="21"/>
  <c r="H70" i="21"/>
  <c r="D70" i="21"/>
  <c r="B70" i="21"/>
  <c r="Z69" i="21"/>
  <c r="X69" i="21"/>
  <c r="L69" i="21"/>
  <c r="N69" i="21" s="1"/>
  <c r="B69" i="21"/>
  <c r="T68" i="21"/>
  <c r="P68" i="21"/>
  <c r="X68" i="21" s="1"/>
  <c r="H68" i="21"/>
  <c r="D68" i="21"/>
  <c r="L68" i="21" s="1"/>
  <c r="B68" i="21"/>
  <c r="X67" i="21"/>
  <c r="Z67" i="21" s="1"/>
  <c r="N67" i="21"/>
  <c r="L67" i="21"/>
  <c r="B67" i="21"/>
  <c r="X66" i="21"/>
  <c r="Z66" i="21" s="1"/>
  <c r="T66" i="21"/>
  <c r="P66" i="21"/>
  <c r="L66" i="21"/>
  <c r="N66" i="21" s="1"/>
  <c r="H66" i="21"/>
  <c r="D66" i="21"/>
  <c r="B66" i="21"/>
  <c r="Z65" i="21"/>
  <c r="X65" i="21"/>
  <c r="N65" i="21"/>
  <c r="L65" i="21"/>
  <c r="B65" i="21"/>
  <c r="T64" i="21"/>
  <c r="P64" i="21"/>
  <c r="H64" i="21"/>
  <c r="L64" i="21" s="1"/>
  <c r="N64" i="21" s="1"/>
  <c r="D64" i="21"/>
  <c r="B64" i="21"/>
  <c r="Z63" i="21"/>
  <c r="X63" i="21"/>
  <c r="L63" i="21"/>
  <c r="N63" i="21" s="1"/>
  <c r="B63" i="21"/>
  <c r="T62" i="21"/>
  <c r="P62" i="21"/>
  <c r="X62" i="21" s="1"/>
  <c r="H62" i="21"/>
  <c r="D62" i="21"/>
  <c r="L62" i="21" s="1"/>
  <c r="B62" i="21"/>
  <c r="X61" i="21"/>
  <c r="Z61" i="21" s="1"/>
  <c r="N61" i="21"/>
  <c r="L61" i="21"/>
  <c r="B61" i="21"/>
  <c r="X60" i="21"/>
  <c r="Z60" i="21" s="1"/>
  <c r="T60" i="21"/>
  <c r="P60" i="21"/>
  <c r="L60" i="21"/>
  <c r="N60" i="21" s="1"/>
  <c r="H60" i="21"/>
  <c r="D60" i="21"/>
  <c r="B60" i="21"/>
  <c r="Z59" i="21"/>
  <c r="X59" i="21"/>
  <c r="N59" i="21"/>
  <c r="L59" i="21"/>
  <c r="B59" i="21"/>
  <c r="T58" i="21"/>
  <c r="X58" i="21" s="1"/>
  <c r="Z58" i="21" s="1"/>
  <c r="P58" i="21"/>
  <c r="H58" i="21"/>
  <c r="D58" i="21"/>
  <c r="B58" i="21"/>
  <c r="Z57" i="21"/>
  <c r="X57" i="21"/>
  <c r="L57" i="21"/>
  <c r="N57" i="21" s="1"/>
  <c r="B57" i="21"/>
  <c r="T56" i="21"/>
  <c r="P56" i="21"/>
  <c r="X56" i="21" s="1"/>
  <c r="H56" i="21"/>
  <c r="D56" i="21"/>
  <c r="L56" i="21" s="1"/>
  <c r="B56" i="21"/>
  <c r="X55" i="21"/>
  <c r="Z55" i="21" s="1"/>
  <c r="N55" i="21"/>
  <c r="L55" i="21"/>
  <c r="B55" i="21"/>
  <c r="X54" i="21"/>
  <c r="Z54" i="21" s="1"/>
  <c r="T54" i="21"/>
  <c r="P54" i="21"/>
  <c r="L54" i="21"/>
  <c r="N54" i="21" s="1"/>
  <c r="H54" i="21"/>
  <c r="D54" i="21"/>
  <c r="B54" i="21"/>
  <c r="Z53" i="21"/>
  <c r="X53" i="21"/>
  <c r="N53" i="21"/>
  <c r="L53" i="21"/>
  <c r="B53" i="21"/>
  <c r="Z52" i="21"/>
  <c r="X52" i="21"/>
  <c r="N52" i="21"/>
  <c r="L52" i="21"/>
  <c r="B52" i="21"/>
  <c r="T51" i="21"/>
  <c r="Z51" i="21" s="1"/>
  <c r="P51" i="21"/>
  <c r="X51" i="21" s="1"/>
  <c r="N51" i="21"/>
  <c r="H51" i="21"/>
  <c r="D51" i="21"/>
  <c r="L51" i="21" s="1"/>
  <c r="B51" i="21"/>
  <c r="X50" i="21"/>
  <c r="Z50" i="21" s="1"/>
  <c r="L50" i="21"/>
  <c r="N50" i="21" s="1"/>
  <c r="B50" i="21"/>
  <c r="T49" i="21"/>
  <c r="P49" i="21"/>
  <c r="X49" i="21" s="1"/>
  <c r="Z49" i="21" s="1"/>
  <c r="H49" i="21"/>
  <c r="D49" i="21"/>
  <c r="L49" i="21" s="1"/>
  <c r="N49" i="21" s="1"/>
  <c r="B49" i="21"/>
  <c r="X48" i="21"/>
  <c r="Z48" i="21" s="1"/>
  <c r="N48" i="21"/>
  <c r="L48" i="21"/>
  <c r="B48" i="21"/>
  <c r="X47" i="21"/>
  <c r="T47" i="21"/>
  <c r="Z47" i="21" s="1"/>
  <c r="P47" i="21"/>
  <c r="L47" i="21"/>
  <c r="H47" i="21"/>
  <c r="N47" i="21" s="1"/>
  <c r="D47" i="21"/>
  <c r="B47" i="21"/>
  <c r="Z46" i="21"/>
  <c r="X46" i="21"/>
  <c r="L46" i="21"/>
  <c r="N46" i="21" s="1"/>
  <c r="B46" i="21"/>
  <c r="Z45" i="21"/>
  <c r="T45" i="21"/>
  <c r="P45" i="21"/>
  <c r="X45" i="21" s="1"/>
  <c r="H45" i="21"/>
  <c r="D45" i="21"/>
  <c r="L45" i="21" s="1"/>
  <c r="B45" i="21"/>
  <c r="Z44" i="21"/>
  <c r="X44" i="21"/>
  <c r="L44" i="21"/>
  <c r="N44" i="21" s="1"/>
  <c r="B44" i="21"/>
  <c r="Z43" i="21"/>
  <c r="X43" i="21"/>
  <c r="V43" i="21"/>
  <c r="L43" i="21"/>
  <c r="N43" i="21" s="1"/>
  <c r="B43" i="21"/>
  <c r="X42" i="21"/>
  <c r="Z42" i="21" s="1"/>
  <c r="L42" i="21"/>
  <c r="N42" i="21" s="1"/>
  <c r="B42" i="21"/>
  <c r="Z41" i="21"/>
  <c r="X41" i="21"/>
  <c r="L41" i="21"/>
  <c r="N41" i="21" s="1"/>
  <c r="B41" i="21"/>
  <c r="Z40" i="21"/>
  <c r="X40" i="21"/>
  <c r="N40" i="21"/>
  <c r="L40" i="21"/>
  <c r="B40" i="21"/>
  <c r="Z39" i="21"/>
  <c r="X39" i="21"/>
  <c r="V39" i="21"/>
  <c r="L39" i="21"/>
  <c r="N39" i="21" s="1"/>
  <c r="B39" i="21"/>
  <c r="T38" i="21"/>
  <c r="P38" i="21"/>
  <c r="X38" i="21" s="1"/>
  <c r="H38" i="21"/>
  <c r="N38" i="21" s="1"/>
  <c r="D38" i="21"/>
  <c r="L38" i="21" s="1"/>
  <c r="B38" i="21"/>
  <c r="X37" i="21"/>
  <c r="Z37" i="21" s="1"/>
  <c r="N37" i="21"/>
  <c r="L37" i="21"/>
  <c r="B37" i="21"/>
  <c r="X36" i="21"/>
  <c r="Z36" i="21" s="1"/>
  <c r="N36" i="21"/>
  <c r="L36" i="21"/>
  <c r="B36" i="21"/>
  <c r="X35" i="21"/>
  <c r="Z35" i="21" s="1"/>
  <c r="N35" i="21"/>
  <c r="L35" i="21"/>
  <c r="B35" i="21"/>
  <c r="X34" i="21"/>
  <c r="Z34" i="21" s="1"/>
  <c r="N34" i="21"/>
  <c r="L34" i="21"/>
  <c r="B34" i="21"/>
  <c r="X33" i="21"/>
  <c r="Z33" i="21" s="1"/>
  <c r="N33" i="21"/>
  <c r="L33" i="21"/>
  <c r="B33" i="21"/>
  <c r="X32" i="21"/>
  <c r="Z32" i="21" s="1"/>
  <c r="N32" i="21"/>
  <c r="L32" i="21"/>
  <c r="B32" i="21"/>
  <c r="X31" i="21"/>
  <c r="Z31" i="21" s="1"/>
  <c r="N31" i="21"/>
  <c r="L31" i="21"/>
  <c r="B31" i="21"/>
  <c r="X30" i="21"/>
  <c r="Z30" i="21" s="1"/>
  <c r="N30" i="21"/>
  <c r="L30" i="21"/>
  <c r="B30" i="21"/>
  <c r="X29" i="21"/>
  <c r="T29" i="21"/>
  <c r="Z29" i="21" s="1"/>
  <c r="P29" i="21"/>
  <c r="L29" i="21"/>
  <c r="H29" i="21"/>
  <c r="N29" i="21" s="1"/>
  <c r="D29" i="21"/>
  <c r="B29" i="21"/>
  <c r="T28" i="21"/>
  <c r="P28" i="21"/>
  <c r="H28" i="21"/>
  <c r="D28" i="21"/>
  <c r="T26" i="21"/>
  <c r="Z24" i="21"/>
  <c r="X24" i="21"/>
  <c r="L24" i="21"/>
  <c r="N24" i="21" s="1"/>
  <c r="B24" i="21"/>
  <c r="Z23" i="21"/>
  <c r="X23" i="21"/>
  <c r="N23" i="21"/>
  <c r="L23" i="21"/>
  <c r="B23" i="21"/>
  <c r="T22" i="21"/>
  <c r="P22" i="21"/>
  <c r="X22" i="21" s="1"/>
  <c r="Z22" i="21" s="1"/>
  <c r="H22" i="21"/>
  <c r="D22" i="21"/>
  <c r="L22" i="21" s="1"/>
  <c r="T20" i="21"/>
  <c r="P20" i="21"/>
  <c r="X20" i="21" s="1"/>
  <c r="Z20" i="21" s="1"/>
  <c r="L20" i="21"/>
  <c r="H20" i="21"/>
  <c r="N20" i="21" s="1"/>
  <c r="D20" i="21"/>
  <c r="B20" i="21"/>
  <c r="T19" i="21"/>
  <c r="P19" i="21"/>
  <c r="X19" i="21" s="1"/>
  <c r="Z19" i="21" s="1"/>
  <c r="H19" i="21"/>
  <c r="D19" i="21"/>
  <c r="B19" i="21"/>
  <c r="T18" i="21"/>
  <c r="P18" i="21"/>
  <c r="X18" i="21" s="1"/>
  <c r="Z18" i="21" s="1"/>
  <c r="H18" i="21"/>
  <c r="N18" i="21" s="1"/>
  <c r="D18" i="21"/>
  <c r="L18" i="21" s="1"/>
  <c r="B18" i="21"/>
  <c r="T17" i="21"/>
  <c r="P17" i="21"/>
  <c r="X17" i="21" s="1"/>
  <c r="H17" i="21"/>
  <c r="D17" i="21"/>
  <c r="B17" i="21"/>
  <c r="T16" i="21"/>
  <c r="P16" i="21"/>
  <c r="X16" i="21" s="1"/>
  <c r="Z16" i="21" s="1"/>
  <c r="L16" i="21"/>
  <c r="H16" i="21"/>
  <c r="N16" i="21" s="1"/>
  <c r="D16" i="21"/>
  <c r="B16" i="21"/>
  <c r="Z15" i="21"/>
  <c r="T15" i="21"/>
  <c r="P15" i="21"/>
  <c r="X15" i="21" s="1"/>
  <c r="H15" i="21"/>
  <c r="D15" i="21"/>
  <c r="B15" i="21"/>
  <c r="T14" i="21"/>
  <c r="P14" i="21"/>
  <c r="H14" i="21"/>
  <c r="D14" i="21"/>
  <c r="L14" i="21" s="1"/>
  <c r="B14" i="21"/>
  <c r="T13" i="21"/>
  <c r="T12" i="21" s="1"/>
  <c r="P13" i="21"/>
  <c r="X13" i="21" s="1"/>
  <c r="H13" i="21"/>
  <c r="D13" i="21"/>
  <c r="B13" i="21"/>
  <c r="D4" i="21"/>
  <c r="X289" i="18"/>
  <c r="Z289" i="18" s="1"/>
  <c r="N289" i="18"/>
  <c r="L289" i="18"/>
  <c r="T285" i="18"/>
  <c r="P285" i="18"/>
  <c r="X285" i="18" s="1"/>
  <c r="Z285" i="18" s="1"/>
  <c r="N285" i="18"/>
  <c r="H285" i="18"/>
  <c r="D285" i="18"/>
  <c r="L285" i="18" s="1"/>
  <c r="B285" i="18"/>
  <c r="X284" i="18"/>
  <c r="T284" i="18"/>
  <c r="P284" i="18"/>
  <c r="H284" i="18"/>
  <c r="D284" i="18"/>
  <c r="B284" i="18"/>
  <c r="Z283" i="18"/>
  <c r="T283" i="18"/>
  <c r="P283" i="18"/>
  <c r="X283" i="18" s="1"/>
  <c r="H283" i="18"/>
  <c r="D283" i="18"/>
  <c r="L283" i="18" s="1"/>
  <c r="N283" i="18" s="1"/>
  <c r="B283" i="18"/>
  <c r="T282" i="18"/>
  <c r="Z282" i="18" s="1"/>
  <c r="P282" i="18"/>
  <c r="X282" i="18" s="1"/>
  <c r="H282" i="18"/>
  <c r="N282" i="18" s="1"/>
  <c r="D282" i="18"/>
  <c r="L282" i="18" s="1"/>
  <c r="B282" i="18"/>
  <c r="X281" i="18"/>
  <c r="Z281" i="18" s="1"/>
  <c r="T281" i="18"/>
  <c r="P281" i="18"/>
  <c r="N281" i="18"/>
  <c r="L281" i="18"/>
  <c r="H281" i="18"/>
  <c r="D281" i="18"/>
  <c r="B281" i="18"/>
  <c r="T280" i="18"/>
  <c r="P280" i="18"/>
  <c r="X280" i="18" s="1"/>
  <c r="Z280" i="18" s="1"/>
  <c r="H280" i="18"/>
  <c r="D280" i="18"/>
  <c r="B280" i="18"/>
  <c r="T279" i="18"/>
  <c r="P279" i="18"/>
  <c r="X279" i="18" s="1"/>
  <c r="Z279" i="18" s="1"/>
  <c r="J279" i="18"/>
  <c r="H279" i="18"/>
  <c r="D279" i="18"/>
  <c r="D274" i="18" s="1"/>
  <c r="B279" i="18"/>
  <c r="T278" i="18"/>
  <c r="P278" i="18"/>
  <c r="L278" i="18"/>
  <c r="H278" i="18"/>
  <c r="N278" i="18" s="1"/>
  <c r="D278" i="18"/>
  <c r="B278" i="18"/>
  <c r="T277" i="18"/>
  <c r="P277" i="18"/>
  <c r="X277" i="18" s="1"/>
  <c r="Z277" i="18" s="1"/>
  <c r="N277" i="18"/>
  <c r="H277" i="18"/>
  <c r="D277" i="18"/>
  <c r="L277" i="18" s="1"/>
  <c r="B277" i="18"/>
  <c r="T276" i="18"/>
  <c r="P276" i="18"/>
  <c r="H276" i="18"/>
  <c r="D276" i="18"/>
  <c r="L276" i="18" s="1"/>
  <c r="B276" i="18"/>
  <c r="Z275" i="18"/>
  <c r="X275" i="18"/>
  <c r="T275" i="18"/>
  <c r="R275" i="18"/>
  <c r="P275" i="18"/>
  <c r="N275" i="18"/>
  <c r="L275" i="18"/>
  <c r="H275" i="18"/>
  <c r="D275" i="18"/>
  <c r="B275" i="18"/>
  <c r="T274" i="18"/>
  <c r="Z272" i="18"/>
  <c r="X272" i="18"/>
  <c r="L272" i="18"/>
  <c r="N272" i="18" s="1"/>
  <c r="B272" i="18"/>
  <c r="T271" i="18"/>
  <c r="P271" i="18"/>
  <c r="X271" i="18" s="1"/>
  <c r="Z271" i="18" s="1"/>
  <c r="H271" i="18"/>
  <c r="D271" i="18"/>
  <c r="L271" i="18" s="1"/>
  <c r="N271" i="18" s="1"/>
  <c r="B271" i="18"/>
  <c r="X270" i="18"/>
  <c r="Z270" i="18" s="1"/>
  <c r="L270" i="18"/>
  <c r="N270" i="18" s="1"/>
  <c r="B270" i="18"/>
  <c r="X269" i="18"/>
  <c r="Z269" i="18" s="1"/>
  <c r="N269" i="18"/>
  <c r="L269" i="18"/>
  <c r="B269" i="18"/>
  <c r="X268" i="18"/>
  <c r="Z268" i="18" s="1"/>
  <c r="L268" i="18"/>
  <c r="N268" i="18" s="1"/>
  <c r="B268" i="18"/>
  <c r="T267" i="18"/>
  <c r="P267" i="18"/>
  <c r="X267" i="18" s="1"/>
  <c r="Z267" i="18" s="1"/>
  <c r="H267" i="18"/>
  <c r="D267" i="18"/>
  <c r="L267" i="18" s="1"/>
  <c r="N267" i="18" s="1"/>
  <c r="B267" i="18"/>
  <c r="X266" i="18"/>
  <c r="Z266" i="18" s="1"/>
  <c r="N266" i="18"/>
  <c r="L266" i="18"/>
  <c r="B266" i="18"/>
  <c r="Z265" i="18"/>
  <c r="X265" i="18"/>
  <c r="T265" i="18"/>
  <c r="P265" i="18"/>
  <c r="L265" i="18"/>
  <c r="N265" i="18" s="1"/>
  <c r="H265" i="18"/>
  <c r="D265" i="18"/>
  <c r="B265" i="18"/>
  <c r="Z264" i="18"/>
  <c r="X264" i="18"/>
  <c r="L264" i="18"/>
  <c r="N264" i="18" s="1"/>
  <c r="B264" i="18"/>
  <c r="Z263" i="18"/>
  <c r="X263" i="18"/>
  <c r="L263" i="18"/>
  <c r="N263" i="18" s="1"/>
  <c r="J263" i="18"/>
  <c r="B263" i="18"/>
  <c r="T262" i="18"/>
  <c r="P262" i="18"/>
  <c r="X262" i="18" s="1"/>
  <c r="Z262" i="18" s="1"/>
  <c r="H262" i="18"/>
  <c r="D262" i="18"/>
  <c r="B262" i="18"/>
  <c r="X261" i="18"/>
  <c r="Z261" i="18" s="1"/>
  <c r="N261" i="18"/>
  <c r="L261" i="18"/>
  <c r="B261" i="18"/>
  <c r="X260" i="18"/>
  <c r="Z260" i="18" s="1"/>
  <c r="L260" i="18"/>
  <c r="N260" i="18" s="1"/>
  <c r="B260" i="18"/>
  <c r="X259" i="18"/>
  <c r="Z259" i="18" s="1"/>
  <c r="L259" i="18"/>
  <c r="N259" i="18" s="1"/>
  <c r="B259" i="18"/>
  <c r="X258" i="18"/>
  <c r="Z258" i="18" s="1"/>
  <c r="L258" i="18"/>
  <c r="N258" i="18" s="1"/>
  <c r="B258" i="18"/>
  <c r="X257" i="18"/>
  <c r="Z257" i="18" s="1"/>
  <c r="N257" i="18"/>
  <c r="L257" i="18"/>
  <c r="B257" i="18"/>
  <c r="Z256" i="18"/>
  <c r="X256" i="18"/>
  <c r="N256" i="18"/>
  <c r="L256" i="18"/>
  <c r="B256" i="18"/>
  <c r="X255" i="18"/>
  <c r="Z255" i="18" s="1"/>
  <c r="L255" i="18"/>
  <c r="N255" i="18" s="1"/>
  <c r="B255" i="18"/>
  <c r="T254" i="18"/>
  <c r="P254" i="18"/>
  <c r="X254" i="18" s="1"/>
  <c r="H254" i="18"/>
  <c r="D254" i="18"/>
  <c r="L254" i="18" s="1"/>
  <c r="B254" i="18"/>
  <c r="Z253" i="18"/>
  <c r="X253" i="18"/>
  <c r="N253" i="18"/>
  <c r="L253" i="18"/>
  <c r="B253" i="18"/>
  <c r="X252" i="18"/>
  <c r="Z252" i="18" s="1"/>
  <c r="N252" i="18"/>
  <c r="L252" i="18"/>
  <c r="B252" i="18"/>
  <c r="X251" i="18"/>
  <c r="Z251" i="18" s="1"/>
  <c r="T251" i="18"/>
  <c r="P251" i="18"/>
  <c r="N251" i="18"/>
  <c r="L251" i="18"/>
  <c r="H251" i="18"/>
  <c r="D251" i="18"/>
  <c r="B251" i="18"/>
  <c r="Z250" i="18"/>
  <c r="X250" i="18"/>
  <c r="L250" i="18"/>
  <c r="N250" i="18" s="1"/>
  <c r="B250" i="18"/>
  <c r="Z249" i="18"/>
  <c r="X249" i="18"/>
  <c r="L249" i="18"/>
  <c r="N249" i="18" s="1"/>
  <c r="B249" i="18"/>
  <c r="Z248" i="18"/>
  <c r="X248" i="18"/>
  <c r="N248" i="18"/>
  <c r="L248" i="18"/>
  <c r="B248" i="18"/>
  <c r="Z247" i="18"/>
  <c r="X247" i="18"/>
  <c r="L247" i="18"/>
  <c r="N247" i="18" s="1"/>
  <c r="J247" i="18"/>
  <c r="B247" i="18"/>
  <c r="T246" i="18"/>
  <c r="P246" i="18"/>
  <c r="X246" i="18" s="1"/>
  <c r="Z246" i="18" s="1"/>
  <c r="H246" i="18"/>
  <c r="D246" i="18"/>
  <c r="B246" i="18"/>
  <c r="X245" i="18"/>
  <c r="Z245" i="18" s="1"/>
  <c r="N245" i="18"/>
  <c r="L245" i="18"/>
  <c r="B245" i="18"/>
  <c r="X244" i="18"/>
  <c r="Z244" i="18" s="1"/>
  <c r="L244" i="18"/>
  <c r="N244" i="18" s="1"/>
  <c r="B244" i="18"/>
  <c r="X243" i="18"/>
  <c r="Z243" i="18" s="1"/>
  <c r="N243" i="18"/>
  <c r="L243" i="18"/>
  <c r="B243" i="18"/>
  <c r="T242" i="18"/>
  <c r="P242" i="18"/>
  <c r="X242" i="18" s="1"/>
  <c r="H242" i="18"/>
  <c r="D242" i="18"/>
  <c r="L242" i="18" s="1"/>
  <c r="B242" i="18"/>
  <c r="Z241" i="18"/>
  <c r="X241" i="18"/>
  <c r="N241" i="18"/>
  <c r="L241" i="18"/>
  <c r="B241" i="18"/>
  <c r="X240" i="18"/>
  <c r="Z240" i="18" s="1"/>
  <c r="N240" i="18"/>
  <c r="L240" i="18"/>
  <c r="F240" i="18"/>
  <c r="B240" i="18"/>
  <c r="Z239" i="18"/>
  <c r="X239" i="18"/>
  <c r="N239" i="18"/>
  <c r="L239" i="18"/>
  <c r="B239" i="18"/>
  <c r="X238" i="18"/>
  <c r="Z238" i="18" s="1"/>
  <c r="N238" i="18"/>
  <c r="L238" i="18"/>
  <c r="B238" i="18"/>
  <c r="Z237" i="18"/>
  <c r="X237" i="18"/>
  <c r="T237" i="18"/>
  <c r="P237" i="18"/>
  <c r="L237" i="18"/>
  <c r="N237" i="18" s="1"/>
  <c r="H237" i="18"/>
  <c r="D237" i="18"/>
  <c r="B237" i="18"/>
  <c r="Z236" i="18"/>
  <c r="X236" i="18"/>
  <c r="L236" i="18"/>
  <c r="N236" i="18" s="1"/>
  <c r="B236" i="18"/>
  <c r="T235" i="18"/>
  <c r="X235" i="18" s="1"/>
  <c r="Z235" i="18" s="1"/>
  <c r="P235" i="18"/>
  <c r="H235" i="18"/>
  <c r="D235" i="18"/>
  <c r="L235" i="18" s="1"/>
  <c r="N235" i="18" s="1"/>
  <c r="B235" i="18"/>
  <c r="X234" i="18"/>
  <c r="Z234" i="18" s="1"/>
  <c r="N234" i="18"/>
  <c r="L234" i="18"/>
  <c r="B234" i="18"/>
  <c r="T233" i="18"/>
  <c r="P233" i="18"/>
  <c r="X233" i="18" s="1"/>
  <c r="N233" i="18"/>
  <c r="J233" i="18"/>
  <c r="H233" i="18"/>
  <c r="D233" i="18"/>
  <c r="L233" i="18" s="1"/>
  <c r="B233" i="18"/>
  <c r="X232" i="18"/>
  <c r="Z232" i="18" s="1"/>
  <c r="N232" i="18"/>
  <c r="L232" i="18"/>
  <c r="B232" i="18"/>
  <c r="X231" i="18"/>
  <c r="T231" i="18"/>
  <c r="Z231" i="18" s="1"/>
  <c r="P231" i="18"/>
  <c r="N231" i="18"/>
  <c r="L231" i="18"/>
  <c r="H231" i="18"/>
  <c r="F231" i="18"/>
  <c r="D231" i="18"/>
  <c r="B231" i="18"/>
  <c r="Z230" i="18"/>
  <c r="X230" i="18"/>
  <c r="L230" i="18"/>
  <c r="N230" i="18" s="1"/>
  <c r="B230" i="18"/>
  <c r="Z229" i="18"/>
  <c r="T229" i="18"/>
  <c r="P229" i="18"/>
  <c r="X229" i="18" s="1"/>
  <c r="H229" i="18"/>
  <c r="D229" i="18"/>
  <c r="L229" i="18" s="1"/>
  <c r="N229" i="18" s="1"/>
  <c r="B229" i="18"/>
  <c r="X228" i="18"/>
  <c r="Z228" i="18" s="1"/>
  <c r="L228" i="18"/>
  <c r="N228" i="18" s="1"/>
  <c r="B228" i="18"/>
  <c r="T227" i="18"/>
  <c r="Z227" i="18" s="1"/>
  <c r="P227" i="18"/>
  <c r="X227" i="18" s="1"/>
  <c r="H227" i="18"/>
  <c r="N227" i="18" s="1"/>
  <c r="D227" i="18"/>
  <c r="L227" i="18" s="1"/>
  <c r="B227" i="18"/>
  <c r="X226" i="18"/>
  <c r="Z226" i="18" s="1"/>
  <c r="N226" i="18"/>
  <c r="L226" i="18"/>
  <c r="B226" i="18"/>
  <c r="Z225" i="18"/>
  <c r="X225" i="18"/>
  <c r="N225" i="18"/>
  <c r="L225" i="18"/>
  <c r="B225" i="18"/>
  <c r="T224" i="18"/>
  <c r="P224" i="18"/>
  <c r="L224" i="18"/>
  <c r="H224" i="18"/>
  <c r="D224" i="18"/>
  <c r="B224" i="18"/>
  <c r="Z223" i="18"/>
  <c r="X223" i="18"/>
  <c r="N223" i="18"/>
  <c r="L223" i="18"/>
  <c r="J223" i="18"/>
  <c r="B223" i="18"/>
  <c r="T222" i="18"/>
  <c r="P222" i="18"/>
  <c r="X222" i="18" s="1"/>
  <c r="Z222" i="18" s="1"/>
  <c r="H222" i="18"/>
  <c r="D222" i="18"/>
  <c r="B222" i="18"/>
  <c r="X221" i="18"/>
  <c r="Z221" i="18" s="1"/>
  <c r="N221" i="18"/>
  <c r="L221" i="18"/>
  <c r="B221" i="18"/>
  <c r="T220" i="18"/>
  <c r="P220" i="18"/>
  <c r="X220" i="18" s="1"/>
  <c r="H220" i="18"/>
  <c r="D220" i="18"/>
  <c r="L220" i="18" s="1"/>
  <c r="B220" i="18"/>
  <c r="X219" i="18"/>
  <c r="Z219" i="18" s="1"/>
  <c r="N219" i="18"/>
  <c r="L219" i="18"/>
  <c r="B219" i="18"/>
  <c r="X218" i="18"/>
  <c r="T218" i="18"/>
  <c r="Z218" i="18" s="1"/>
  <c r="P218" i="18"/>
  <c r="H218" i="18"/>
  <c r="D218" i="18"/>
  <c r="B218" i="18"/>
  <c r="Z217" i="18"/>
  <c r="X217" i="18"/>
  <c r="L217" i="18"/>
  <c r="N217" i="18" s="1"/>
  <c r="B217" i="18"/>
  <c r="Z216" i="18"/>
  <c r="X216" i="18"/>
  <c r="L216" i="18"/>
  <c r="N216" i="18" s="1"/>
  <c r="B216" i="18"/>
  <c r="T215" i="18"/>
  <c r="P215" i="18"/>
  <c r="X215" i="18" s="1"/>
  <c r="Z215" i="18" s="1"/>
  <c r="H215" i="18"/>
  <c r="D215" i="18"/>
  <c r="L215" i="18" s="1"/>
  <c r="N215" i="18" s="1"/>
  <c r="B215" i="18"/>
  <c r="X214" i="18"/>
  <c r="Z214" i="18" s="1"/>
  <c r="L214" i="18"/>
  <c r="N214" i="18" s="1"/>
  <c r="B214" i="18"/>
  <c r="X213" i="18"/>
  <c r="Z213" i="18" s="1"/>
  <c r="N213" i="18"/>
  <c r="L213" i="18"/>
  <c r="B213" i="18"/>
  <c r="T212" i="18"/>
  <c r="Z212" i="18" s="1"/>
  <c r="P212" i="18"/>
  <c r="X212" i="18" s="1"/>
  <c r="H212" i="18"/>
  <c r="N212" i="18" s="1"/>
  <c r="D212" i="18"/>
  <c r="L212" i="18" s="1"/>
  <c r="B212" i="18"/>
  <c r="X211" i="18"/>
  <c r="Z211" i="18" s="1"/>
  <c r="N211" i="18"/>
  <c r="L211" i="18"/>
  <c r="B211" i="18"/>
  <c r="X210" i="18"/>
  <c r="T210" i="18"/>
  <c r="Z210" i="18" s="1"/>
  <c r="P210" i="18"/>
  <c r="L210" i="18"/>
  <c r="H210" i="18"/>
  <c r="N210" i="18" s="1"/>
  <c r="D210" i="18"/>
  <c r="B210" i="18"/>
  <c r="Z209" i="18"/>
  <c r="X209" i="18"/>
  <c r="N209" i="18"/>
  <c r="L209" i="18"/>
  <c r="B209" i="18"/>
  <c r="Z208" i="18"/>
  <c r="X208" i="18"/>
  <c r="L208" i="18"/>
  <c r="N208" i="18" s="1"/>
  <c r="B208" i="18"/>
  <c r="T207" i="18"/>
  <c r="P207" i="18"/>
  <c r="X207" i="18" s="1"/>
  <c r="Z207" i="18" s="1"/>
  <c r="N207" i="18"/>
  <c r="H207" i="18"/>
  <c r="D207" i="18"/>
  <c r="L207" i="18" s="1"/>
  <c r="B207" i="18"/>
  <c r="X206" i="18"/>
  <c r="Z206" i="18" s="1"/>
  <c r="L206" i="18"/>
  <c r="N206" i="18" s="1"/>
  <c r="B206" i="18"/>
  <c r="X205" i="18"/>
  <c r="Z205" i="18" s="1"/>
  <c r="T205" i="18"/>
  <c r="P205" i="18"/>
  <c r="J205" i="18"/>
  <c r="H205" i="18"/>
  <c r="D205" i="18"/>
  <c r="L205" i="18" s="1"/>
  <c r="N205" i="18" s="1"/>
  <c r="B205" i="18"/>
  <c r="X204" i="18"/>
  <c r="Z204" i="18" s="1"/>
  <c r="N204" i="18"/>
  <c r="L204" i="18"/>
  <c r="B204" i="18"/>
  <c r="X203" i="18"/>
  <c r="Z203" i="18" s="1"/>
  <c r="N203" i="18"/>
  <c r="L203" i="18"/>
  <c r="B203" i="18"/>
  <c r="X202" i="18"/>
  <c r="Z202" i="18" s="1"/>
  <c r="N202" i="18"/>
  <c r="L202" i="18"/>
  <c r="B202" i="18"/>
  <c r="Z201" i="18"/>
  <c r="X201" i="18"/>
  <c r="N201" i="18"/>
  <c r="L201" i="18"/>
  <c r="B201" i="18"/>
  <c r="X200" i="18"/>
  <c r="Z200" i="18" s="1"/>
  <c r="N200" i="18"/>
  <c r="L200" i="18"/>
  <c r="B200" i="18"/>
  <c r="X199" i="18"/>
  <c r="Z199" i="18" s="1"/>
  <c r="N199" i="18"/>
  <c r="L199" i="18"/>
  <c r="B199" i="18"/>
  <c r="X198" i="18"/>
  <c r="Z198" i="18" s="1"/>
  <c r="N198" i="18"/>
  <c r="L198" i="18"/>
  <c r="B198" i="18"/>
  <c r="Z197" i="18"/>
  <c r="X197" i="18"/>
  <c r="T197" i="18"/>
  <c r="P197" i="18"/>
  <c r="L197" i="18"/>
  <c r="H197" i="18"/>
  <c r="N197" i="18" s="1"/>
  <c r="D197" i="18"/>
  <c r="B197" i="18"/>
  <c r="Z196" i="18"/>
  <c r="X196" i="18"/>
  <c r="L196" i="18"/>
  <c r="N196" i="18" s="1"/>
  <c r="B196" i="18"/>
  <c r="Z195" i="18"/>
  <c r="X195" i="18"/>
  <c r="N195" i="18"/>
  <c r="L195" i="18"/>
  <c r="J195" i="18"/>
  <c r="B195" i="18"/>
  <c r="Z194" i="18"/>
  <c r="X194" i="18"/>
  <c r="L194" i="18"/>
  <c r="N194" i="18" s="1"/>
  <c r="B194" i="18"/>
  <c r="Z193" i="18"/>
  <c r="X193" i="18"/>
  <c r="L193" i="18"/>
  <c r="N193" i="18" s="1"/>
  <c r="B193" i="18"/>
  <c r="Z192" i="18"/>
  <c r="X192" i="18"/>
  <c r="R192" i="18"/>
  <c r="N192" i="18"/>
  <c r="L192" i="18"/>
  <c r="B192" i="18"/>
  <c r="Z191" i="18"/>
  <c r="X191" i="18"/>
  <c r="N191" i="18"/>
  <c r="L191" i="18"/>
  <c r="J191" i="18"/>
  <c r="B191" i="18"/>
  <c r="Z190" i="18"/>
  <c r="X190" i="18"/>
  <c r="L190" i="18"/>
  <c r="N190" i="18" s="1"/>
  <c r="B190" i="18"/>
  <c r="Z189" i="18"/>
  <c r="X189" i="18"/>
  <c r="L189" i="18"/>
  <c r="N189" i="18" s="1"/>
  <c r="B189" i="18"/>
  <c r="Z188" i="18"/>
  <c r="X188" i="18"/>
  <c r="L188" i="18"/>
  <c r="N188" i="18" s="1"/>
  <c r="B188" i="18"/>
  <c r="Z187" i="18"/>
  <c r="X187" i="18"/>
  <c r="N187" i="18"/>
  <c r="L187" i="18"/>
  <c r="J187" i="18"/>
  <c r="B187" i="18"/>
  <c r="T186" i="18"/>
  <c r="P186" i="18"/>
  <c r="X186" i="18" s="1"/>
  <c r="Z186" i="18" s="1"/>
  <c r="H186" i="18"/>
  <c r="D186" i="18"/>
  <c r="B186" i="18"/>
  <c r="T185" i="18"/>
  <c r="Z185" i="18" s="1"/>
  <c r="P185" i="18"/>
  <c r="X185" i="18" s="1"/>
  <c r="J185" i="18"/>
  <c r="H185" i="18"/>
  <c r="D185" i="18"/>
  <c r="X181" i="18"/>
  <c r="Z181" i="18" s="1"/>
  <c r="N181" i="18"/>
  <c r="L181" i="18"/>
  <c r="B181" i="18"/>
  <c r="Z180" i="18"/>
  <c r="X180" i="18"/>
  <c r="N180" i="18"/>
  <c r="L180" i="18"/>
  <c r="B180" i="18"/>
  <c r="Z179" i="18"/>
  <c r="X179" i="18"/>
  <c r="N179" i="18"/>
  <c r="L179" i="18"/>
  <c r="B179" i="18"/>
  <c r="X178" i="18"/>
  <c r="Z178" i="18" s="1"/>
  <c r="N178" i="18"/>
  <c r="L178" i="18"/>
  <c r="B178" i="18"/>
  <c r="X177" i="18"/>
  <c r="Z177" i="18" s="1"/>
  <c r="N177" i="18"/>
  <c r="L177" i="18"/>
  <c r="B177" i="18"/>
  <c r="Z176" i="18"/>
  <c r="X176" i="18"/>
  <c r="L176" i="18"/>
  <c r="N176" i="18" s="1"/>
  <c r="B176" i="18"/>
  <c r="Z175" i="18"/>
  <c r="X175" i="18"/>
  <c r="L175" i="18"/>
  <c r="N175" i="18" s="1"/>
  <c r="B175" i="18"/>
  <c r="X174" i="18"/>
  <c r="Z174" i="18" s="1"/>
  <c r="L174" i="18"/>
  <c r="N174" i="18" s="1"/>
  <c r="B174" i="18"/>
  <c r="X173" i="18"/>
  <c r="Z173" i="18" s="1"/>
  <c r="N173" i="18"/>
  <c r="L173" i="18"/>
  <c r="B173" i="18"/>
  <c r="Z172" i="18"/>
  <c r="X172" i="18"/>
  <c r="L172" i="18"/>
  <c r="N172" i="18" s="1"/>
  <c r="B172" i="18"/>
  <c r="X171" i="18"/>
  <c r="Z171" i="18" s="1"/>
  <c r="L171" i="18"/>
  <c r="N171" i="18" s="1"/>
  <c r="B171" i="18"/>
  <c r="X170" i="18"/>
  <c r="Z170" i="18" s="1"/>
  <c r="L170" i="18"/>
  <c r="N170" i="18" s="1"/>
  <c r="B170" i="18"/>
  <c r="X169" i="18"/>
  <c r="Z169" i="18" s="1"/>
  <c r="N169" i="18"/>
  <c r="L169" i="18"/>
  <c r="B169" i="18"/>
  <c r="Z168" i="18"/>
  <c r="X168" i="18"/>
  <c r="L168" i="18"/>
  <c r="N168" i="18" s="1"/>
  <c r="B168" i="18"/>
  <c r="X167" i="18"/>
  <c r="Z167" i="18" s="1"/>
  <c r="L167" i="18"/>
  <c r="N167" i="18" s="1"/>
  <c r="B167" i="18"/>
  <c r="X166" i="18"/>
  <c r="Z166" i="18" s="1"/>
  <c r="L166" i="18"/>
  <c r="N166" i="18" s="1"/>
  <c r="B166" i="18"/>
  <c r="X165" i="18"/>
  <c r="Z165" i="18" s="1"/>
  <c r="N165" i="18"/>
  <c r="L165" i="18"/>
  <c r="B165" i="18"/>
  <c r="Z164" i="18"/>
  <c r="X164" i="18"/>
  <c r="L164" i="18"/>
  <c r="N164" i="18" s="1"/>
  <c r="B164" i="18"/>
  <c r="X163" i="18"/>
  <c r="Z163" i="18" s="1"/>
  <c r="L163" i="18"/>
  <c r="N163" i="18" s="1"/>
  <c r="B163" i="18"/>
  <c r="X162" i="18"/>
  <c r="Z162" i="18" s="1"/>
  <c r="L162" i="18"/>
  <c r="N162" i="18" s="1"/>
  <c r="B162" i="18"/>
  <c r="X161" i="18"/>
  <c r="Z161" i="18" s="1"/>
  <c r="N161" i="18"/>
  <c r="L161" i="18"/>
  <c r="B161" i="18"/>
  <c r="Z160" i="18"/>
  <c r="X160" i="18"/>
  <c r="L160" i="18"/>
  <c r="N160" i="18" s="1"/>
  <c r="B160" i="18"/>
  <c r="X159" i="18"/>
  <c r="Z159" i="18" s="1"/>
  <c r="L159" i="18"/>
  <c r="N159" i="18" s="1"/>
  <c r="B159" i="18"/>
  <c r="Z158" i="18"/>
  <c r="X158" i="18"/>
  <c r="N158" i="18"/>
  <c r="L158" i="18"/>
  <c r="B158" i="18"/>
  <c r="X157" i="18"/>
  <c r="Z157" i="18" s="1"/>
  <c r="N157" i="18"/>
  <c r="L157" i="18"/>
  <c r="B157" i="18"/>
  <c r="Z156" i="18"/>
  <c r="X156" i="18"/>
  <c r="N156" i="18"/>
  <c r="L156" i="18"/>
  <c r="B156" i="18"/>
  <c r="X155" i="18"/>
  <c r="Z155" i="18" s="1"/>
  <c r="L155" i="18"/>
  <c r="N155" i="18" s="1"/>
  <c r="B155" i="18"/>
  <c r="X154" i="18"/>
  <c r="Z154" i="18" s="1"/>
  <c r="L154" i="18"/>
  <c r="N154" i="18" s="1"/>
  <c r="B154" i="18"/>
  <c r="X153" i="18"/>
  <c r="Z153" i="18" s="1"/>
  <c r="N153" i="18"/>
  <c r="L153" i="18"/>
  <c r="B153" i="18"/>
  <c r="Z152" i="18"/>
  <c r="X152" i="18"/>
  <c r="L152" i="18"/>
  <c r="N152" i="18" s="1"/>
  <c r="B152" i="18"/>
  <c r="X151" i="18"/>
  <c r="Z151" i="18" s="1"/>
  <c r="L151" i="18"/>
  <c r="N151" i="18" s="1"/>
  <c r="B151" i="18"/>
  <c r="X150" i="18"/>
  <c r="Z150" i="18" s="1"/>
  <c r="L150" i="18"/>
  <c r="N150" i="18" s="1"/>
  <c r="B150" i="18"/>
  <c r="X149" i="18"/>
  <c r="Z149" i="18" s="1"/>
  <c r="N149" i="18"/>
  <c r="L149" i="18"/>
  <c r="B149" i="18"/>
  <c r="X148" i="18"/>
  <c r="Z148" i="18" s="1"/>
  <c r="L148" i="18"/>
  <c r="N148" i="18" s="1"/>
  <c r="B148" i="18"/>
  <c r="X147" i="18"/>
  <c r="Z147" i="18" s="1"/>
  <c r="L147" i="18"/>
  <c r="N147" i="18" s="1"/>
  <c r="B147" i="18"/>
  <c r="X146" i="18"/>
  <c r="Z146" i="18" s="1"/>
  <c r="L146" i="18"/>
  <c r="N146" i="18" s="1"/>
  <c r="B146" i="18"/>
  <c r="X145" i="18"/>
  <c r="Z145" i="18" s="1"/>
  <c r="L145" i="18"/>
  <c r="N145" i="18" s="1"/>
  <c r="B145" i="18"/>
  <c r="X144" i="18"/>
  <c r="Z144" i="18" s="1"/>
  <c r="L144" i="18"/>
  <c r="N144" i="18" s="1"/>
  <c r="B144" i="18"/>
  <c r="X143" i="18"/>
  <c r="Z143" i="18" s="1"/>
  <c r="L143" i="18"/>
  <c r="N143" i="18" s="1"/>
  <c r="B143" i="18"/>
  <c r="X142" i="18"/>
  <c r="Z142" i="18" s="1"/>
  <c r="L142" i="18"/>
  <c r="N142" i="18" s="1"/>
  <c r="B142" i="18"/>
  <c r="X141" i="18"/>
  <c r="Z141" i="18" s="1"/>
  <c r="L141" i="18"/>
  <c r="N141" i="18" s="1"/>
  <c r="B141" i="18"/>
  <c r="X140" i="18"/>
  <c r="Z140" i="18" s="1"/>
  <c r="L140" i="18"/>
  <c r="N140" i="18" s="1"/>
  <c r="B140" i="18"/>
  <c r="X139" i="18"/>
  <c r="Z139" i="18" s="1"/>
  <c r="L139" i="18"/>
  <c r="N139" i="18" s="1"/>
  <c r="B139" i="18"/>
  <c r="X138" i="18"/>
  <c r="Z138" i="18" s="1"/>
  <c r="L138" i="18"/>
  <c r="N138" i="18" s="1"/>
  <c r="B138" i="18"/>
  <c r="X137" i="18"/>
  <c r="Z137" i="18" s="1"/>
  <c r="L137" i="18"/>
  <c r="N137" i="18" s="1"/>
  <c r="B137" i="18"/>
  <c r="X136" i="18"/>
  <c r="Z136" i="18" s="1"/>
  <c r="L136" i="18"/>
  <c r="N136" i="18" s="1"/>
  <c r="B136" i="18"/>
  <c r="X135" i="18"/>
  <c r="Z135" i="18" s="1"/>
  <c r="L135" i="18"/>
  <c r="N135" i="18" s="1"/>
  <c r="B135" i="18"/>
  <c r="X134" i="18"/>
  <c r="Z134" i="18" s="1"/>
  <c r="L134" i="18"/>
  <c r="N134" i="18" s="1"/>
  <c r="B134" i="18"/>
  <c r="X133" i="18"/>
  <c r="Z133" i="18" s="1"/>
  <c r="N133" i="18"/>
  <c r="L133" i="18"/>
  <c r="B133" i="18"/>
  <c r="Z132" i="18"/>
  <c r="X132" i="18"/>
  <c r="N132" i="18"/>
  <c r="L132" i="18"/>
  <c r="B132" i="18"/>
  <c r="X131" i="18"/>
  <c r="Z131" i="18" s="1"/>
  <c r="L131" i="18"/>
  <c r="N131" i="18" s="1"/>
  <c r="B131" i="18"/>
  <c r="X130" i="18"/>
  <c r="Z130" i="18" s="1"/>
  <c r="L130" i="18"/>
  <c r="N130" i="18" s="1"/>
  <c r="B130" i="18"/>
  <c r="X129" i="18"/>
  <c r="Z129" i="18" s="1"/>
  <c r="L129" i="18"/>
  <c r="N129" i="18" s="1"/>
  <c r="B129" i="18"/>
  <c r="X128" i="18"/>
  <c r="Z128" i="18" s="1"/>
  <c r="L128" i="18"/>
  <c r="N128" i="18" s="1"/>
  <c r="B128" i="18"/>
  <c r="X127" i="18"/>
  <c r="Z127" i="18" s="1"/>
  <c r="N127" i="18"/>
  <c r="L127" i="18"/>
  <c r="B127" i="18"/>
  <c r="X126" i="18"/>
  <c r="Z126" i="18" s="1"/>
  <c r="L126" i="18"/>
  <c r="N126" i="18" s="1"/>
  <c r="B126" i="18"/>
  <c r="X125" i="18"/>
  <c r="Z125" i="18" s="1"/>
  <c r="L125" i="18"/>
  <c r="N125" i="18" s="1"/>
  <c r="B125" i="18"/>
  <c r="T124" i="18"/>
  <c r="P124" i="18"/>
  <c r="X124" i="18" s="1"/>
  <c r="Z124" i="18" s="1"/>
  <c r="H124" i="18"/>
  <c r="D124" i="18"/>
  <c r="L124" i="18" s="1"/>
  <c r="N124" i="18" s="1"/>
  <c r="T122" i="18"/>
  <c r="P122" i="18"/>
  <c r="N122" i="18"/>
  <c r="L122" i="18"/>
  <c r="H122" i="18"/>
  <c r="D122" i="18"/>
  <c r="B122" i="18"/>
  <c r="T121" i="18"/>
  <c r="P121" i="18"/>
  <c r="X121" i="18" s="1"/>
  <c r="N121" i="18"/>
  <c r="L121" i="18"/>
  <c r="H121" i="18"/>
  <c r="D121" i="18"/>
  <c r="B121" i="18"/>
  <c r="T120" i="18"/>
  <c r="P120" i="18"/>
  <c r="L120" i="18"/>
  <c r="H120" i="18"/>
  <c r="N120" i="18" s="1"/>
  <c r="D120" i="18"/>
  <c r="B120" i="18"/>
  <c r="T119" i="18"/>
  <c r="P119" i="18"/>
  <c r="N119" i="18"/>
  <c r="L119" i="18"/>
  <c r="H119" i="18"/>
  <c r="D119" i="18"/>
  <c r="B119" i="18"/>
  <c r="T118" i="18"/>
  <c r="P118" i="18"/>
  <c r="L118" i="18"/>
  <c r="N118" i="18" s="1"/>
  <c r="H118" i="18"/>
  <c r="D118" i="18"/>
  <c r="B118" i="18"/>
  <c r="T117" i="18"/>
  <c r="P117" i="18"/>
  <c r="X117" i="18" s="1"/>
  <c r="N117" i="18"/>
  <c r="L117" i="18"/>
  <c r="H117" i="18"/>
  <c r="D117" i="18"/>
  <c r="B117" i="18"/>
  <c r="T116" i="18"/>
  <c r="P116" i="18"/>
  <c r="L116" i="18"/>
  <c r="H116" i="18"/>
  <c r="D116" i="18"/>
  <c r="B116" i="18"/>
  <c r="T115" i="18"/>
  <c r="P115" i="18"/>
  <c r="N115" i="18"/>
  <c r="L115" i="18"/>
  <c r="H115" i="18"/>
  <c r="D115" i="18"/>
  <c r="B115" i="18"/>
  <c r="T114" i="18"/>
  <c r="P114" i="18"/>
  <c r="N114" i="18"/>
  <c r="L114" i="18"/>
  <c r="H114" i="18"/>
  <c r="D114" i="18"/>
  <c r="B114" i="18"/>
  <c r="T113" i="18"/>
  <c r="P113" i="18"/>
  <c r="X113" i="18" s="1"/>
  <c r="L113" i="18"/>
  <c r="N113" i="18" s="1"/>
  <c r="H113" i="18"/>
  <c r="D113" i="18"/>
  <c r="B113" i="18"/>
  <c r="T112" i="18"/>
  <c r="P112" i="18"/>
  <c r="L112" i="18"/>
  <c r="H112" i="18"/>
  <c r="N112" i="18" s="1"/>
  <c r="D112" i="18"/>
  <c r="B112" i="18"/>
  <c r="T111" i="18"/>
  <c r="P111" i="18"/>
  <c r="N111" i="18"/>
  <c r="L111" i="18"/>
  <c r="H111" i="18"/>
  <c r="D111" i="18"/>
  <c r="B111" i="18"/>
  <c r="T110" i="18"/>
  <c r="P110" i="18"/>
  <c r="N110" i="18"/>
  <c r="L110" i="18"/>
  <c r="H110" i="18"/>
  <c r="D110" i="18"/>
  <c r="B110" i="18"/>
  <c r="T109" i="18"/>
  <c r="P109" i="18"/>
  <c r="X109" i="18" s="1"/>
  <c r="N109" i="18"/>
  <c r="L109" i="18"/>
  <c r="H109" i="18"/>
  <c r="D109" i="18"/>
  <c r="B109" i="18"/>
  <c r="T108" i="18"/>
  <c r="P108" i="18"/>
  <c r="L108" i="18"/>
  <c r="H108" i="18"/>
  <c r="D108" i="18"/>
  <c r="B108" i="18"/>
  <c r="T107" i="18"/>
  <c r="P107" i="18"/>
  <c r="N107" i="18"/>
  <c r="L107" i="18"/>
  <c r="H107" i="18"/>
  <c r="D107" i="18"/>
  <c r="B107" i="18"/>
  <c r="T106" i="18"/>
  <c r="P106" i="18"/>
  <c r="L106" i="18"/>
  <c r="N106" i="18" s="1"/>
  <c r="H106" i="18"/>
  <c r="D106" i="18"/>
  <c r="B106" i="18"/>
  <c r="T105" i="18"/>
  <c r="P105" i="18"/>
  <c r="N105" i="18"/>
  <c r="L105" i="18"/>
  <c r="H105" i="18"/>
  <c r="D105" i="18"/>
  <c r="B105" i="18"/>
  <c r="T104" i="18"/>
  <c r="P104" i="18"/>
  <c r="L104" i="18"/>
  <c r="H104" i="18"/>
  <c r="N104" i="18" s="1"/>
  <c r="D104" i="18"/>
  <c r="B104" i="18"/>
  <c r="T103" i="18"/>
  <c r="P103" i="18"/>
  <c r="L103" i="18"/>
  <c r="N103" i="18" s="1"/>
  <c r="H103" i="18"/>
  <c r="D103" i="18"/>
  <c r="B103" i="18"/>
  <c r="T102" i="18"/>
  <c r="P102" i="18"/>
  <c r="L102" i="18"/>
  <c r="N102" i="18" s="1"/>
  <c r="H102" i="18"/>
  <c r="D102" i="18"/>
  <c r="B102" i="18"/>
  <c r="T101" i="18"/>
  <c r="P101" i="18"/>
  <c r="X101" i="18" s="1"/>
  <c r="L101" i="18"/>
  <c r="N101" i="18" s="1"/>
  <c r="H101" i="18"/>
  <c r="D101" i="18"/>
  <c r="B101" i="18"/>
  <c r="T100" i="18"/>
  <c r="P100" i="18"/>
  <c r="L100" i="18"/>
  <c r="H100" i="18"/>
  <c r="N100" i="18" s="1"/>
  <c r="D100" i="18"/>
  <c r="B100" i="18"/>
  <c r="T99" i="18"/>
  <c r="P99" i="18"/>
  <c r="L99" i="18"/>
  <c r="N99" i="18" s="1"/>
  <c r="H99" i="18"/>
  <c r="D99" i="18"/>
  <c r="B99" i="18"/>
  <c r="T98" i="18"/>
  <c r="P98" i="18"/>
  <c r="L98" i="18"/>
  <c r="N98" i="18" s="1"/>
  <c r="H98" i="18"/>
  <c r="D98" i="18"/>
  <c r="B98" i="18"/>
  <c r="T97" i="18"/>
  <c r="P97" i="18"/>
  <c r="X97" i="18" s="1"/>
  <c r="L97" i="18"/>
  <c r="N97" i="18" s="1"/>
  <c r="H97" i="18"/>
  <c r="D97" i="18"/>
  <c r="B97" i="18"/>
  <c r="T96" i="18"/>
  <c r="P96" i="18"/>
  <c r="L96" i="18"/>
  <c r="H96" i="18"/>
  <c r="D96" i="18"/>
  <c r="B96" i="18"/>
  <c r="T95" i="18"/>
  <c r="P95" i="18"/>
  <c r="L95" i="18"/>
  <c r="N95" i="18" s="1"/>
  <c r="H95" i="18"/>
  <c r="D95" i="18"/>
  <c r="B95" i="18"/>
  <c r="T94" i="18"/>
  <c r="P94" i="18"/>
  <c r="L94" i="18"/>
  <c r="N94" i="18" s="1"/>
  <c r="H94" i="18"/>
  <c r="D94" i="18"/>
  <c r="B94" i="18"/>
  <c r="T93" i="18"/>
  <c r="P93" i="18"/>
  <c r="X93" i="18" s="1"/>
  <c r="L93" i="18"/>
  <c r="N93" i="18" s="1"/>
  <c r="H93" i="18"/>
  <c r="D93" i="18"/>
  <c r="B93" i="18"/>
  <c r="T92" i="18"/>
  <c r="P92" i="18"/>
  <c r="L92" i="18"/>
  <c r="H92" i="18"/>
  <c r="D92" i="18"/>
  <c r="B92" i="18"/>
  <c r="T91" i="18"/>
  <c r="P91" i="18"/>
  <c r="L91" i="18"/>
  <c r="N91" i="18" s="1"/>
  <c r="H91" i="18"/>
  <c r="D91" i="18"/>
  <c r="B91" i="18"/>
  <c r="T90" i="18"/>
  <c r="P90" i="18"/>
  <c r="L90" i="18"/>
  <c r="N90" i="18" s="1"/>
  <c r="H90" i="18"/>
  <c r="D90" i="18"/>
  <c r="B90" i="18"/>
  <c r="T89" i="18"/>
  <c r="P89" i="18"/>
  <c r="X89" i="18" s="1"/>
  <c r="N89" i="18"/>
  <c r="L89" i="18"/>
  <c r="H89" i="18"/>
  <c r="D89" i="18"/>
  <c r="B89" i="18"/>
  <c r="T88" i="18"/>
  <c r="P88" i="18"/>
  <c r="L88" i="18"/>
  <c r="H88" i="18"/>
  <c r="N88" i="18" s="1"/>
  <c r="D88" i="18"/>
  <c r="B88" i="18"/>
  <c r="T87" i="18"/>
  <c r="P87" i="18"/>
  <c r="L87" i="18"/>
  <c r="N87" i="18" s="1"/>
  <c r="H87" i="18"/>
  <c r="D87" i="18"/>
  <c r="B87" i="18"/>
  <c r="T86" i="18"/>
  <c r="P86" i="18"/>
  <c r="L86" i="18"/>
  <c r="N86" i="18" s="1"/>
  <c r="H86" i="18"/>
  <c r="D86" i="18"/>
  <c r="B86" i="18"/>
  <c r="T85" i="18"/>
  <c r="P85" i="18"/>
  <c r="N85" i="18"/>
  <c r="L85" i="18"/>
  <c r="H85" i="18"/>
  <c r="D85" i="18"/>
  <c r="B85" i="18"/>
  <c r="T84" i="18"/>
  <c r="P84" i="18"/>
  <c r="L84" i="18"/>
  <c r="H84" i="18"/>
  <c r="N84" i="18" s="1"/>
  <c r="D84" i="18"/>
  <c r="B84" i="18"/>
  <c r="T83" i="18"/>
  <c r="P83" i="18"/>
  <c r="L83" i="18"/>
  <c r="N83" i="18" s="1"/>
  <c r="H83" i="18"/>
  <c r="D83" i="18"/>
  <c r="B83" i="18"/>
  <c r="T82" i="18"/>
  <c r="P82" i="18"/>
  <c r="N82" i="18"/>
  <c r="L82" i="18"/>
  <c r="H82" i="18"/>
  <c r="D82" i="18"/>
  <c r="B82" i="18"/>
  <c r="T81" i="18"/>
  <c r="P81" i="18"/>
  <c r="L81" i="18"/>
  <c r="N81" i="18" s="1"/>
  <c r="H81" i="18"/>
  <c r="D81" i="18"/>
  <c r="B81" i="18"/>
  <c r="T80" i="18"/>
  <c r="P80" i="18"/>
  <c r="L80" i="18"/>
  <c r="H80" i="18"/>
  <c r="D80" i="18"/>
  <c r="B80" i="18"/>
  <c r="T79" i="18"/>
  <c r="P79" i="18"/>
  <c r="L79" i="18"/>
  <c r="N79" i="18" s="1"/>
  <c r="H79" i="18"/>
  <c r="D79" i="18"/>
  <c r="B79" i="18"/>
  <c r="T78" i="18"/>
  <c r="P78" i="18"/>
  <c r="L78" i="18"/>
  <c r="N78" i="18" s="1"/>
  <c r="H78" i="18"/>
  <c r="D78" i="18"/>
  <c r="B78" i="18"/>
  <c r="T77" i="18"/>
  <c r="P77" i="18"/>
  <c r="L77" i="18"/>
  <c r="N77" i="18" s="1"/>
  <c r="H77" i="18"/>
  <c r="D77" i="18"/>
  <c r="B77" i="18"/>
  <c r="T76" i="18"/>
  <c r="P76" i="18"/>
  <c r="L76" i="18"/>
  <c r="H76" i="18"/>
  <c r="N76" i="18" s="1"/>
  <c r="D76" i="18"/>
  <c r="B76" i="18"/>
  <c r="T75" i="18"/>
  <c r="P75" i="18"/>
  <c r="L75" i="18"/>
  <c r="N75" i="18" s="1"/>
  <c r="H75" i="18"/>
  <c r="D75" i="18"/>
  <c r="B75" i="18"/>
  <c r="T74" i="18"/>
  <c r="P74" i="18"/>
  <c r="L74" i="18"/>
  <c r="N74" i="18" s="1"/>
  <c r="H74" i="18"/>
  <c r="D74" i="18"/>
  <c r="B74" i="18"/>
  <c r="T73" i="18"/>
  <c r="P73" i="18"/>
  <c r="L73" i="18"/>
  <c r="N73" i="18" s="1"/>
  <c r="H73" i="18"/>
  <c r="D73" i="18"/>
  <c r="B73" i="18"/>
  <c r="T72" i="18"/>
  <c r="P72" i="18"/>
  <c r="L72" i="18"/>
  <c r="H72" i="18"/>
  <c r="D72" i="18"/>
  <c r="B72" i="18"/>
  <c r="T71" i="18"/>
  <c r="P71" i="18"/>
  <c r="N71" i="18"/>
  <c r="L71" i="18"/>
  <c r="H71" i="18"/>
  <c r="D71" i="18"/>
  <c r="B71" i="18"/>
  <c r="T70" i="18"/>
  <c r="P70" i="18"/>
  <c r="L70" i="18"/>
  <c r="N70" i="18" s="1"/>
  <c r="H70" i="18"/>
  <c r="D70" i="18"/>
  <c r="B70" i="18"/>
  <c r="T69" i="18"/>
  <c r="P69" i="18"/>
  <c r="X69" i="18" s="1"/>
  <c r="L69" i="18"/>
  <c r="N69" i="18" s="1"/>
  <c r="H69" i="18"/>
  <c r="D69" i="18"/>
  <c r="B69" i="18"/>
  <c r="T68" i="18"/>
  <c r="P68" i="18"/>
  <c r="L68" i="18"/>
  <c r="H68" i="18"/>
  <c r="N68" i="18" s="1"/>
  <c r="D68" i="18"/>
  <c r="B68" i="18"/>
  <c r="T67" i="18"/>
  <c r="P67" i="18"/>
  <c r="L67" i="18"/>
  <c r="N67" i="18" s="1"/>
  <c r="H67" i="18"/>
  <c r="D67" i="18"/>
  <c r="B67" i="18"/>
  <c r="T66" i="18"/>
  <c r="P66" i="18"/>
  <c r="L66" i="18"/>
  <c r="N66" i="18" s="1"/>
  <c r="H66" i="18"/>
  <c r="D66" i="18"/>
  <c r="B66" i="18"/>
  <c r="T65" i="18"/>
  <c r="Z65" i="18" s="1"/>
  <c r="P65" i="18"/>
  <c r="X65" i="18" s="1"/>
  <c r="N65" i="18"/>
  <c r="L65" i="18"/>
  <c r="H65" i="18"/>
  <c r="D65" i="18"/>
  <c r="B65" i="18"/>
  <c r="T64" i="18"/>
  <c r="P64" i="18"/>
  <c r="L64" i="18"/>
  <c r="H64" i="18"/>
  <c r="D64" i="18"/>
  <c r="B64" i="18"/>
  <c r="T63" i="18"/>
  <c r="P63" i="18"/>
  <c r="L63" i="18"/>
  <c r="N63" i="18" s="1"/>
  <c r="H63" i="18"/>
  <c r="D63" i="18"/>
  <c r="B63" i="18"/>
  <c r="T62" i="18"/>
  <c r="P62" i="18"/>
  <c r="L62" i="18"/>
  <c r="N62" i="18" s="1"/>
  <c r="H62" i="18"/>
  <c r="D62" i="18"/>
  <c r="B62" i="18"/>
  <c r="T61" i="18"/>
  <c r="P61" i="18"/>
  <c r="N61" i="18"/>
  <c r="L61" i="18"/>
  <c r="H61" i="18"/>
  <c r="D61" i="18"/>
  <c r="B61" i="18"/>
  <c r="T60" i="18"/>
  <c r="P60" i="18"/>
  <c r="L60" i="18"/>
  <c r="H60" i="18"/>
  <c r="N60" i="18" s="1"/>
  <c r="D60" i="18"/>
  <c r="B60" i="18"/>
  <c r="T59" i="18"/>
  <c r="P59" i="18"/>
  <c r="L59" i="18"/>
  <c r="N59" i="18" s="1"/>
  <c r="H59" i="18"/>
  <c r="D59" i="18"/>
  <c r="B59" i="18"/>
  <c r="T58" i="18"/>
  <c r="P58" i="18"/>
  <c r="N58" i="18"/>
  <c r="L58" i="18"/>
  <c r="H58" i="18"/>
  <c r="D58" i="18"/>
  <c r="B58" i="18"/>
  <c r="T57" i="18"/>
  <c r="P57" i="18"/>
  <c r="X57" i="18" s="1"/>
  <c r="L57" i="18"/>
  <c r="N57" i="18" s="1"/>
  <c r="H57" i="18"/>
  <c r="D57" i="18"/>
  <c r="B57" i="18"/>
  <c r="T56" i="18"/>
  <c r="P56" i="18"/>
  <c r="L56" i="18"/>
  <c r="H56" i="18"/>
  <c r="N56" i="18" s="1"/>
  <c r="D56" i="18"/>
  <c r="B56" i="18"/>
  <c r="T55" i="18"/>
  <c r="P55" i="18"/>
  <c r="L55" i="18"/>
  <c r="N55" i="18" s="1"/>
  <c r="H55" i="18"/>
  <c r="D55" i="18"/>
  <c r="B55" i="18"/>
  <c r="T54" i="18"/>
  <c r="P54" i="18"/>
  <c r="L54" i="18"/>
  <c r="N54" i="18" s="1"/>
  <c r="H54" i="18"/>
  <c r="D54" i="18"/>
  <c r="B54" i="18"/>
  <c r="T53" i="18"/>
  <c r="P53" i="18"/>
  <c r="X53" i="18" s="1"/>
  <c r="N53" i="18"/>
  <c r="L53" i="18"/>
  <c r="H53" i="18"/>
  <c r="D53" i="18"/>
  <c r="B53" i="18"/>
  <c r="T52" i="18"/>
  <c r="P52" i="18"/>
  <c r="L52" i="18"/>
  <c r="H52" i="18"/>
  <c r="N52" i="18" s="1"/>
  <c r="D52" i="18"/>
  <c r="B52" i="18"/>
  <c r="T51" i="18"/>
  <c r="P51" i="18"/>
  <c r="L51" i="18"/>
  <c r="N51" i="18" s="1"/>
  <c r="H51" i="18"/>
  <c r="D51" i="18"/>
  <c r="B51" i="18"/>
  <c r="T50" i="18"/>
  <c r="P50" i="18"/>
  <c r="L50" i="18"/>
  <c r="N50" i="18" s="1"/>
  <c r="H50" i="18"/>
  <c r="D50" i="18"/>
  <c r="B50" i="18"/>
  <c r="T49" i="18"/>
  <c r="P49" i="18"/>
  <c r="L49" i="18"/>
  <c r="N49" i="18" s="1"/>
  <c r="H49" i="18"/>
  <c r="D49" i="18"/>
  <c r="B49" i="18"/>
  <c r="T48" i="18"/>
  <c r="P48" i="18"/>
  <c r="L48" i="18"/>
  <c r="H48" i="18"/>
  <c r="N48" i="18" s="1"/>
  <c r="D48" i="18"/>
  <c r="B48" i="18"/>
  <c r="T47" i="18"/>
  <c r="P47" i="18"/>
  <c r="L47" i="18"/>
  <c r="N47" i="18" s="1"/>
  <c r="H47" i="18"/>
  <c r="D47" i="18"/>
  <c r="B47" i="18"/>
  <c r="T46" i="18"/>
  <c r="P46" i="18"/>
  <c r="L46" i="18"/>
  <c r="N46" i="18" s="1"/>
  <c r="H46" i="18"/>
  <c r="D46" i="18"/>
  <c r="B46" i="18"/>
  <c r="T45" i="18"/>
  <c r="P45" i="18"/>
  <c r="N45" i="18"/>
  <c r="L45" i="18"/>
  <c r="H45" i="18"/>
  <c r="D45" i="18"/>
  <c r="B45" i="18"/>
  <c r="T44" i="18"/>
  <c r="P44" i="18"/>
  <c r="L44" i="18"/>
  <c r="H44" i="18"/>
  <c r="N44" i="18" s="1"/>
  <c r="D44" i="18"/>
  <c r="B44" i="18"/>
  <c r="T43" i="18"/>
  <c r="P43" i="18"/>
  <c r="L43" i="18"/>
  <c r="N43" i="18" s="1"/>
  <c r="H43" i="18"/>
  <c r="D43" i="18"/>
  <c r="B43" i="18"/>
  <c r="T42" i="18"/>
  <c r="P42" i="18"/>
  <c r="L42" i="18"/>
  <c r="N42" i="18" s="1"/>
  <c r="H42" i="18"/>
  <c r="D42" i="18"/>
  <c r="B42" i="18"/>
  <c r="T41" i="18"/>
  <c r="P41" i="18"/>
  <c r="X41" i="18" s="1"/>
  <c r="L41" i="18"/>
  <c r="N41" i="18" s="1"/>
  <c r="H41" i="18"/>
  <c r="D41" i="18"/>
  <c r="B41" i="18"/>
  <c r="T40" i="18"/>
  <c r="P40" i="18"/>
  <c r="L40" i="18"/>
  <c r="H40" i="18"/>
  <c r="D40" i="18"/>
  <c r="B40" i="18"/>
  <c r="T39" i="18"/>
  <c r="P39" i="18"/>
  <c r="L39" i="18"/>
  <c r="N39" i="18" s="1"/>
  <c r="H39" i="18"/>
  <c r="D39" i="18"/>
  <c r="B39" i="18"/>
  <c r="T38" i="18"/>
  <c r="P38" i="18"/>
  <c r="L38" i="18"/>
  <c r="N38" i="18" s="1"/>
  <c r="H38" i="18"/>
  <c r="D38" i="18"/>
  <c r="B38" i="18"/>
  <c r="T37" i="18"/>
  <c r="P37" i="18"/>
  <c r="X37" i="18" s="1"/>
  <c r="L37" i="18"/>
  <c r="N37" i="18" s="1"/>
  <c r="H37" i="18"/>
  <c r="D37" i="18"/>
  <c r="B37" i="18"/>
  <c r="T36" i="18"/>
  <c r="P36" i="18"/>
  <c r="L36" i="18"/>
  <c r="H36" i="18"/>
  <c r="D36" i="18"/>
  <c r="B36" i="18"/>
  <c r="T35" i="18"/>
  <c r="P35" i="18"/>
  <c r="L35" i="18"/>
  <c r="N35" i="18" s="1"/>
  <c r="H35" i="18"/>
  <c r="D35" i="18"/>
  <c r="B35" i="18"/>
  <c r="T34" i="18"/>
  <c r="P34" i="18"/>
  <c r="L34" i="18"/>
  <c r="N34" i="18" s="1"/>
  <c r="H34" i="18"/>
  <c r="D34" i="18"/>
  <c r="B34" i="18"/>
  <c r="T33" i="18"/>
  <c r="P33" i="18"/>
  <c r="X33" i="18" s="1"/>
  <c r="L33" i="18"/>
  <c r="N33" i="18" s="1"/>
  <c r="H33" i="18"/>
  <c r="D33" i="18"/>
  <c r="B33" i="18"/>
  <c r="T32" i="18"/>
  <c r="P32" i="18"/>
  <c r="L32" i="18"/>
  <c r="H32" i="18"/>
  <c r="D32" i="18"/>
  <c r="B32" i="18"/>
  <c r="T31" i="18"/>
  <c r="P31" i="18"/>
  <c r="L31" i="18"/>
  <c r="N31" i="18" s="1"/>
  <c r="H31" i="18"/>
  <c r="D31" i="18"/>
  <c r="B31" i="18"/>
  <c r="T30" i="18"/>
  <c r="P30" i="18"/>
  <c r="L30" i="18"/>
  <c r="N30" i="18" s="1"/>
  <c r="H30" i="18"/>
  <c r="D30" i="18"/>
  <c r="B30" i="18"/>
  <c r="T29" i="18"/>
  <c r="P29" i="18"/>
  <c r="X29" i="18" s="1"/>
  <c r="L29" i="18"/>
  <c r="N29" i="18" s="1"/>
  <c r="H29" i="18"/>
  <c r="D29" i="18"/>
  <c r="B29" i="18"/>
  <c r="T28" i="18"/>
  <c r="P28" i="18"/>
  <c r="L28" i="18"/>
  <c r="H28" i="18"/>
  <c r="D28" i="18"/>
  <c r="B28" i="18"/>
  <c r="T27" i="18"/>
  <c r="P27" i="18"/>
  <c r="L27" i="18"/>
  <c r="N27" i="18" s="1"/>
  <c r="H27" i="18"/>
  <c r="D27" i="18"/>
  <c r="B27" i="18"/>
  <c r="T26" i="18"/>
  <c r="P26" i="18"/>
  <c r="L26" i="18"/>
  <c r="N26" i="18" s="1"/>
  <c r="H26" i="18"/>
  <c r="D26" i="18"/>
  <c r="B26" i="18"/>
  <c r="T25" i="18"/>
  <c r="P25" i="18"/>
  <c r="X25" i="18" s="1"/>
  <c r="L25" i="18"/>
  <c r="N25" i="18" s="1"/>
  <c r="H25" i="18"/>
  <c r="D25" i="18"/>
  <c r="B25" i="18"/>
  <c r="T24" i="18"/>
  <c r="P24" i="18"/>
  <c r="L24" i="18"/>
  <c r="H24" i="18"/>
  <c r="D24" i="18"/>
  <c r="B24" i="18"/>
  <c r="T23" i="18"/>
  <c r="P23" i="18"/>
  <c r="L23" i="18"/>
  <c r="N23" i="18" s="1"/>
  <c r="H23" i="18"/>
  <c r="D23" i="18"/>
  <c r="B23" i="18"/>
  <c r="T22" i="18"/>
  <c r="P22" i="18"/>
  <c r="L22" i="18"/>
  <c r="N22" i="18" s="1"/>
  <c r="H22" i="18"/>
  <c r="D22" i="18"/>
  <c r="B22" i="18"/>
  <c r="T21" i="18"/>
  <c r="P21" i="18"/>
  <c r="L21" i="18"/>
  <c r="N21" i="18" s="1"/>
  <c r="H21" i="18"/>
  <c r="D21" i="18"/>
  <c r="B21" i="18"/>
  <c r="T20" i="18"/>
  <c r="P20" i="18"/>
  <c r="L20" i="18"/>
  <c r="N20" i="18" s="1"/>
  <c r="H20" i="18"/>
  <c r="D20" i="18"/>
  <c r="B20" i="18"/>
  <c r="T19" i="18"/>
  <c r="P19" i="18"/>
  <c r="L19" i="18"/>
  <c r="N19" i="18" s="1"/>
  <c r="H19" i="18"/>
  <c r="D19" i="18"/>
  <c r="B19" i="18"/>
  <c r="T18" i="18"/>
  <c r="P18" i="18"/>
  <c r="N18" i="18"/>
  <c r="L18" i="18"/>
  <c r="H18" i="18"/>
  <c r="D18" i="18"/>
  <c r="B18" i="18"/>
  <c r="T17" i="18"/>
  <c r="P17" i="18"/>
  <c r="L17" i="18"/>
  <c r="N17" i="18" s="1"/>
  <c r="H17" i="18"/>
  <c r="D17" i="18"/>
  <c r="B17" i="18"/>
  <c r="T16" i="18"/>
  <c r="P16" i="18"/>
  <c r="N16" i="18"/>
  <c r="L16" i="18"/>
  <c r="H16" i="18"/>
  <c r="D16" i="18"/>
  <c r="B16" i="18"/>
  <c r="T15" i="18"/>
  <c r="P15" i="18"/>
  <c r="L15" i="18"/>
  <c r="N15" i="18" s="1"/>
  <c r="H15" i="18"/>
  <c r="D15" i="18"/>
  <c r="B15" i="18"/>
  <c r="T14" i="18"/>
  <c r="P14" i="18"/>
  <c r="L14" i="18"/>
  <c r="N14" i="18" s="1"/>
  <c r="H14" i="18"/>
  <c r="D14" i="18"/>
  <c r="B14" i="18"/>
  <c r="T13" i="18"/>
  <c r="T12" i="18" s="1"/>
  <c r="V171" i="18" s="1"/>
  <c r="P13" i="18"/>
  <c r="P12" i="18" s="1"/>
  <c r="R236" i="18" s="1"/>
  <c r="N13" i="18"/>
  <c r="L13" i="18"/>
  <c r="H13" i="18"/>
  <c r="D13" i="18"/>
  <c r="D12" i="18" s="1"/>
  <c r="B13" i="18"/>
  <c r="L12" i="18"/>
  <c r="H12" i="18"/>
  <c r="J277" i="18" s="1"/>
  <c r="D4" i="18"/>
  <c r="Z262" i="15"/>
  <c r="X262" i="15"/>
  <c r="L262" i="15"/>
  <c r="N262" i="15" s="1"/>
  <c r="X258" i="15"/>
  <c r="T258" i="15"/>
  <c r="Z258" i="15" s="1"/>
  <c r="P258" i="15"/>
  <c r="L258" i="15"/>
  <c r="H258" i="15"/>
  <c r="N258" i="15" s="1"/>
  <c r="D258" i="15"/>
  <c r="B258" i="15"/>
  <c r="T257" i="15"/>
  <c r="P257" i="15"/>
  <c r="N257" i="15"/>
  <c r="L257" i="15"/>
  <c r="H257" i="15"/>
  <c r="D257" i="15"/>
  <c r="B257" i="15"/>
  <c r="T256" i="15"/>
  <c r="P256" i="15"/>
  <c r="X256" i="15" s="1"/>
  <c r="Z256" i="15" s="1"/>
  <c r="H256" i="15"/>
  <c r="N256" i="15" s="1"/>
  <c r="D256" i="15"/>
  <c r="L256" i="15" s="1"/>
  <c r="B256" i="15"/>
  <c r="X255" i="15"/>
  <c r="Z255" i="15" s="1"/>
  <c r="T255" i="15"/>
  <c r="P255" i="15"/>
  <c r="H255" i="15"/>
  <c r="D255" i="15"/>
  <c r="L255" i="15" s="1"/>
  <c r="N255" i="15" s="1"/>
  <c r="B255" i="15"/>
  <c r="T254" i="15"/>
  <c r="P254" i="15"/>
  <c r="X254" i="15" s="1"/>
  <c r="Z254" i="15" s="1"/>
  <c r="H254" i="15"/>
  <c r="N254" i="15" s="1"/>
  <c r="D254" i="15"/>
  <c r="B254" i="15"/>
  <c r="T253" i="15"/>
  <c r="X253" i="15" s="1"/>
  <c r="P253" i="15"/>
  <c r="H253" i="15"/>
  <c r="D253" i="15"/>
  <c r="L253" i="15" s="1"/>
  <c r="N253" i="15" s="1"/>
  <c r="B253" i="15"/>
  <c r="X252" i="15"/>
  <c r="T252" i="15"/>
  <c r="Z252" i="15" s="1"/>
  <c r="P252" i="15"/>
  <c r="L252" i="15"/>
  <c r="H252" i="15"/>
  <c r="N252" i="15" s="1"/>
  <c r="D252" i="15"/>
  <c r="B252" i="15"/>
  <c r="Z251" i="15"/>
  <c r="X251" i="15"/>
  <c r="T251" i="15"/>
  <c r="P251" i="15"/>
  <c r="H251" i="15"/>
  <c r="D251" i="15"/>
  <c r="B251" i="15"/>
  <c r="T250" i="15"/>
  <c r="Z250" i="15" s="1"/>
  <c r="P250" i="15"/>
  <c r="X250" i="15" s="1"/>
  <c r="N250" i="15"/>
  <c r="H250" i="15"/>
  <c r="D250" i="15"/>
  <c r="D249" i="15" s="1"/>
  <c r="B250" i="15"/>
  <c r="Z247" i="15"/>
  <c r="X247" i="15"/>
  <c r="N247" i="15"/>
  <c r="L247" i="15"/>
  <c r="F247" i="15"/>
  <c r="B247" i="15"/>
  <c r="X246" i="15"/>
  <c r="T246" i="15"/>
  <c r="Z246" i="15" s="1"/>
  <c r="P246" i="15"/>
  <c r="L246" i="15"/>
  <c r="H246" i="15"/>
  <c r="N246" i="15" s="1"/>
  <c r="D246" i="15"/>
  <c r="B246" i="15"/>
  <c r="Z245" i="15"/>
  <c r="X245" i="15"/>
  <c r="N245" i="15"/>
  <c r="L245" i="15"/>
  <c r="B245" i="15"/>
  <c r="Z244" i="15"/>
  <c r="X244" i="15"/>
  <c r="L244" i="15"/>
  <c r="N244" i="15" s="1"/>
  <c r="B244" i="15"/>
  <c r="Z243" i="15"/>
  <c r="X243" i="15"/>
  <c r="L243" i="15"/>
  <c r="N243" i="15" s="1"/>
  <c r="B243" i="15"/>
  <c r="T242" i="15"/>
  <c r="P242" i="15"/>
  <c r="H242" i="15"/>
  <c r="D242" i="15"/>
  <c r="L242" i="15" s="1"/>
  <c r="N242" i="15" s="1"/>
  <c r="B242" i="15"/>
  <c r="Z241" i="15"/>
  <c r="X241" i="15"/>
  <c r="L241" i="15"/>
  <c r="N241" i="15" s="1"/>
  <c r="B241" i="15"/>
  <c r="T240" i="15"/>
  <c r="Z240" i="15" s="1"/>
  <c r="P240" i="15"/>
  <c r="X240" i="15" s="1"/>
  <c r="H240" i="15"/>
  <c r="D240" i="15"/>
  <c r="L240" i="15" s="1"/>
  <c r="N240" i="15" s="1"/>
  <c r="B240" i="15"/>
  <c r="Z239" i="15"/>
  <c r="X239" i="15"/>
  <c r="N239" i="15"/>
  <c r="L239" i="15"/>
  <c r="B239" i="15"/>
  <c r="X238" i="15"/>
  <c r="Z238" i="15" s="1"/>
  <c r="L238" i="15"/>
  <c r="N238" i="15" s="1"/>
  <c r="B238" i="15"/>
  <c r="X237" i="15"/>
  <c r="Z237" i="15" s="1"/>
  <c r="T237" i="15"/>
  <c r="P237" i="15"/>
  <c r="H237" i="15"/>
  <c r="D237" i="15"/>
  <c r="L237" i="15" s="1"/>
  <c r="N237" i="15" s="1"/>
  <c r="B237" i="15"/>
  <c r="Z236" i="15"/>
  <c r="X236" i="15"/>
  <c r="L236" i="15"/>
  <c r="N236" i="15" s="1"/>
  <c r="B236" i="15"/>
  <c r="Z235" i="15"/>
  <c r="X235" i="15"/>
  <c r="L235" i="15"/>
  <c r="N235" i="15" s="1"/>
  <c r="B235" i="15"/>
  <c r="X234" i="15"/>
  <c r="Z234" i="15" s="1"/>
  <c r="N234" i="15"/>
  <c r="L234" i="15"/>
  <c r="B234" i="15"/>
  <c r="Z233" i="15"/>
  <c r="X233" i="15"/>
  <c r="N233" i="15"/>
  <c r="L233" i="15"/>
  <c r="B233" i="15"/>
  <c r="Z232" i="15"/>
  <c r="X232" i="15"/>
  <c r="L232" i="15"/>
  <c r="N232" i="15" s="1"/>
  <c r="B232" i="15"/>
  <c r="Z231" i="15"/>
  <c r="X231" i="15"/>
  <c r="N231" i="15"/>
  <c r="L231" i="15"/>
  <c r="B231" i="15"/>
  <c r="X230" i="15"/>
  <c r="Z230" i="15" s="1"/>
  <c r="N230" i="15"/>
  <c r="L230" i="15"/>
  <c r="B230" i="15"/>
  <c r="Z229" i="15"/>
  <c r="X229" i="15"/>
  <c r="T229" i="15"/>
  <c r="P229" i="15"/>
  <c r="H229" i="15"/>
  <c r="D229" i="15"/>
  <c r="B229" i="15"/>
  <c r="X228" i="15"/>
  <c r="Z228" i="15" s="1"/>
  <c r="L228" i="15"/>
  <c r="N228" i="15" s="1"/>
  <c r="B228" i="15"/>
  <c r="X227" i="15"/>
  <c r="Z227" i="15" s="1"/>
  <c r="N227" i="15"/>
  <c r="L227" i="15"/>
  <c r="B227" i="15"/>
  <c r="T226" i="15"/>
  <c r="P226" i="15"/>
  <c r="X226" i="15" s="1"/>
  <c r="Z226" i="15" s="1"/>
  <c r="H226" i="15"/>
  <c r="N226" i="15" s="1"/>
  <c r="D226" i="15"/>
  <c r="L226" i="15" s="1"/>
  <c r="B226" i="15"/>
  <c r="X225" i="15"/>
  <c r="Z225" i="15" s="1"/>
  <c r="N225" i="15"/>
  <c r="L225" i="15"/>
  <c r="B225" i="15"/>
  <c r="X224" i="15"/>
  <c r="Z224" i="15" s="1"/>
  <c r="N224" i="15"/>
  <c r="L224" i="15"/>
  <c r="B224" i="15"/>
  <c r="Z223" i="15"/>
  <c r="X223" i="15"/>
  <c r="N223" i="15"/>
  <c r="L223" i="15"/>
  <c r="B223" i="15"/>
  <c r="X222" i="15"/>
  <c r="Z222" i="15" s="1"/>
  <c r="L222" i="15"/>
  <c r="N222" i="15" s="1"/>
  <c r="B222" i="15"/>
  <c r="X221" i="15"/>
  <c r="Z221" i="15" s="1"/>
  <c r="T221" i="15"/>
  <c r="P221" i="15"/>
  <c r="H221" i="15"/>
  <c r="D221" i="15"/>
  <c r="L221" i="15" s="1"/>
  <c r="N221" i="15" s="1"/>
  <c r="B221" i="15"/>
  <c r="Z220" i="15"/>
  <c r="X220" i="15"/>
  <c r="L220" i="15"/>
  <c r="N220" i="15" s="1"/>
  <c r="B220" i="15"/>
  <c r="Z219" i="15"/>
  <c r="X219" i="15"/>
  <c r="L219" i="15"/>
  <c r="N219" i="15" s="1"/>
  <c r="B219" i="15"/>
  <c r="X218" i="15"/>
  <c r="Z218" i="15" s="1"/>
  <c r="N218" i="15"/>
  <c r="L218" i="15"/>
  <c r="B218" i="15"/>
  <c r="Z217" i="15"/>
  <c r="X217" i="15"/>
  <c r="T217" i="15"/>
  <c r="P217" i="15"/>
  <c r="H217" i="15"/>
  <c r="D217" i="15"/>
  <c r="B217" i="15"/>
  <c r="X216" i="15"/>
  <c r="Z216" i="15" s="1"/>
  <c r="L216" i="15"/>
  <c r="N216" i="15" s="1"/>
  <c r="B216" i="15"/>
  <c r="X215" i="15"/>
  <c r="Z215" i="15" s="1"/>
  <c r="N215" i="15"/>
  <c r="L215" i="15"/>
  <c r="B215" i="15"/>
  <c r="Z214" i="15"/>
  <c r="X214" i="15"/>
  <c r="N214" i="15"/>
  <c r="L214" i="15"/>
  <c r="B214" i="15"/>
  <c r="Z213" i="15"/>
  <c r="X213" i="15"/>
  <c r="L213" i="15"/>
  <c r="N213" i="15" s="1"/>
  <c r="B213" i="15"/>
  <c r="T212" i="15"/>
  <c r="P212" i="15"/>
  <c r="X212" i="15" s="1"/>
  <c r="H212" i="15"/>
  <c r="D212" i="15"/>
  <c r="L212" i="15" s="1"/>
  <c r="N212" i="15" s="1"/>
  <c r="B212" i="15"/>
  <c r="Z211" i="15"/>
  <c r="X211" i="15"/>
  <c r="N211" i="15"/>
  <c r="L211" i="15"/>
  <c r="F211" i="15"/>
  <c r="B211" i="15"/>
  <c r="X210" i="15"/>
  <c r="T210" i="15"/>
  <c r="Z210" i="15" s="1"/>
  <c r="P210" i="15"/>
  <c r="L210" i="15"/>
  <c r="H210" i="15"/>
  <c r="N210" i="15" s="1"/>
  <c r="D210" i="15"/>
  <c r="B210" i="15"/>
  <c r="Z209" i="15"/>
  <c r="X209" i="15"/>
  <c r="N209" i="15"/>
  <c r="L209" i="15"/>
  <c r="B209" i="15"/>
  <c r="T208" i="15"/>
  <c r="P208" i="15"/>
  <c r="X208" i="15" s="1"/>
  <c r="Z208" i="15" s="1"/>
  <c r="H208" i="15"/>
  <c r="N208" i="15" s="1"/>
  <c r="D208" i="15"/>
  <c r="B208" i="15"/>
  <c r="X207" i="15"/>
  <c r="Z207" i="15" s="1"/>
  <c r="N207" i="15"/>
  <c r="L207" i="15"/>
  <c r="B207" i="15"/>
  <c r="T206" i="15"/>
  <c r="P206" i="15"/>
  <c r="X206" i="15" s="1"/>
  <c r="Z206" i="15" s="1"/>
  <c r="H206" i="15"/>
  <c r="D206" i="15"/>
  <c r="L206" i="15" s="1"/>
  <c r="B206" i="15"/>
  <c r="X205" i="15"/>
  <c r="Z205" i="15" s="1"/>
  <c r="N205" i="15"/>
  <c r="L205" i="15"/>
  <c r="B205" i="15"/>
  <c r="X204" i="15"/>
  <c r="T204" i="15"/>
  <c r="Z204" i="15" s="1"/>
  <c r="P204" i="15"/>
  <c r="L204" i="15"/>
  <c r="H204" i="15"/>
  <c r="N204" i="15" s="1"/>
  <c r="D204" i="15"/>
  <c r="B204" i="15"/>
  <c r="Z203" i="15"/>
  <c r="X203" i="15"/>
  <c r="L203" i="15"/>
  <c r="N203" i="15" s="1"/>
  <c r="B203" i="15"/>
  <c r="T202" i="15"/>
  <c r="P202" i="15"/>
  <c r="H202" i="15"/>
  <c r="D202" i="15"/>
  <c r="L202" i="15" s="1"/>
  <c r="N202" i="15" s="1"/>
  <c r="B202" i="15"/>
  <c r="Z201" i="15"/>
  <c r="X201" i="15"/>
  <c r="L201" i="15"/>
  <c r="N201" i="15" s="1"/>
  <c r="B201" i="15"/>
  <c r="X200" i="15"/>
  <c r="Z200" i="15" s="1"/>
  <c r="L200" i="15"/>
  <c r="N200" i="15" s="1"/>
  <c r="B200" i="15"/>
  <c r="T199" i="15"/>
  <c r="Z199" i="15" s="1"/>
  <c r="P199" i="15"/>
  <c r="X199" i="15" s="1"/>
  <c r="H199" i="15"/>
  <c r="D199" i="15"/>
  <c r="L199" i="15" s="1"/>
  <c r="N199" i="15" s="1"/>
  <c r="B199" i="15"/>
  <c r="X198" i="15"/>
  <c r="Z198" i="15" s="1"/>
  <c r="L198" i="15"/>
  <c r="N198" i="15" s="1"/>
  <c r="B198" i="15"/>
  <c r="X197" i="15"/>
  <c r="Z197" i="15" s="1"/>
  <c r="T197" i="15"/>
  <c r="P197" i="15"/>
  <c r="H197" i="15"/>
  <c r="D197" i="15"/>
  <c r="L197" i="15" s="1"/>
  <c r="N197" i="15" s="1"/>
  <c r="B197" i="15"/>
  <c r="Z196" i="15"/>
  <c r="X196" i="15"/>
  <c r="L196" i="15"/>
  <c r="N196" i="15" s="1"/>
  <c r="B196" i="15"/>
  <c r="T195" i="15"/>
  <c r="P195" i="15"/>
  <c r="N195" i="15"/>
  <c r="L195" i="15"/>
  <c r="H195" i="15"/>
  <c r="D195" i="15"/>
  <c r="B195" i="15"/>
  <c r="Z194" i="15"/>
  <c r="X194" i="15"/>
  <c r="L194" i="15"/>
  <c r="N194" i="15" s="1"/>
  <c r="B194" i="15"/>
  <c r="T193" i="15"/>
  <c r="P193" i="15"/>
  <c r="X193" i="15" s="1"/>
  <c r="Z193" i="15" s="1"/>
  <c r="H193" i="15"/>
  <c r="D193" i="15"/>
  <c r="L193" i="15" s="1"/>
  <c r="B193" i="15"/>
  <c r="X192" i="15"/>
  <c r="Z192" i="15" s="1"/>
  <c r="N192" i="15"/>
  <c r="L192" i="15"/>
  <c r="B192" i="15"/>
  <c r="Z191" i="15"/>
  <c r="X191" i="15"/>
  <c r="N191" i="15"/>
  <c r="L191" i="15"/>
  <c r="B191" i="15"/>
  <c r="X190" i="15"/>
  <c r="T190" i="15"/>
  <c r="Z190" i="15" s="1"/>
  <c r="P190" i="15"/>
  <c r="L190" i="15"/>
  <c r="H190" i="15"/>
  <c r="N190" i="15" s="1"/>
  <c r="D190" i="15"/>
  <c r="B190" i="15"/>
  <c r="Z189" i="15"/>
  <c r="X189" i="15"/>
  <c r="N189" i="15"/>
  <c r="L189" i="15"/>
  <c r="B189" i="15"/>
  <c r="Z188" i="15"/>
  <c r="X188" i="15"/>
  <c r="L188" i="15"/>
  <c r="N188" i="15" s="1"/>
  <c r="B188" i="15"/>
  <c r="T187" i="15"/>
  <c r="P187" i="15"/>
  <c r="N187" i="15"/>
  <c r="L187" i="15"/>
  <c r="H187" i="15"/>
  <c r="D187" i="15"/>
  <c r="B187" i="15"/>
  <c r="Z186" i="15"/>
  <c r="X186" i="15"/>
  <c r="V186" i="15"/>
  <c r="L186" i="15"/>
  <c r="N186" i="15" s="1"/>
  <c r="B186" i="15"/>
  <c r="T185" i="15"/>
  <c r="P185" i="15"/>
  <c r="X185" i="15" s="1"/>
  <c r="Z185" i="15" s="1"/>
  <c r="H185" i="15"/>
  <c r="N185" i="15" s="1"/>
  <c r="D185" i="15"/>
  <c r="L185" i="15" s="1"/>
  <c r="B185" i="15"/>
  <c r="X184" i="15"/>
  <c r="Z184" i="15" s="1"/>
  <c r="N184" i="15"/>
  <c r="L184" i="15"/>
  <c r="B184" i="15"/>
  <c r="Z183" i="15"/>
  <c r="X183" i="15"/>
  <c r="N183" i="15"/>
  <c r="L183" i="15"/>
  <c r="B183" i="15"/>
  <c r="X182" i="15"/>
  <c r="T182" i="15"/>
  <c r="Z182" i="15" s="1"/>
  <c r="P182" i="15"/>
  <c r="L182" i="15"/>
  <c r="H182" i="15"/>
  <c r="N182" i="15" s="1"/>
  <c r="D182" i="15"/>
  <c r="B182" i="15"/>
  <c r="Z181" i="15"/>
  <c r="X181" i="15"/>
  <c r="N181" i="15"/>
  <c r="L181" i="15"/>
  <c r="B181" i="15"/>
  <c r="Z180" i="15"/>
  <c r="T180" i="15"/>
  <c r="P180" i="15"/>
  <c r="X180" i="15" s="1"/>
  <c r="H180" i="15"/>
  <c r="D180" i="15"/>
  <c r="B180" i="15"/>
  <c r="X179" i="15"/>
  <c r="Z179" i="15" s="1"/>
  <c r="N179" i="15"/>
  <c r="L179" i="15"/>
  <c r="B179" i="15"/>
  <c r="X178" i="15"/>
  <c r="Z178" i="15" s="1"/>
  <c r="L178" i="15"/>
  <c r="N178" i="15" s="1"/>
  <c r="B178" i="15"/>
  <c r="Z177" i="15"/>
  <c r="X177" i="15"/>
  <c r="L177" i="15"/>
  <c r="N177" i="15" s="1"/>
  <c r="B177" i="15"/>
  <c r="X176" i="15"/>
  <c r="Z176" i="15" s="1"/>
  <c r="L176" i="15"/>
  <c r="N176" i="15" s="1"/>
  <c r="B176" i="15"/>
  <c r="X175" i="15"/>
  <c r="Z175" i="15" s="1"/>
  <c r="N175" i="15"/>
  <c r="L175" i="15"/>
  <c r="B175" i="15"/>
  <c r="X174" i="15"/>
  <c r="Z174" i="15" s="1"/>
  <c r="L174" i="15"/>
  <c r="N174" i="15" s="1"/>
  <c r="B174" i="15"/>
  <c r="Z173" i="15"/>
  <c r="X173" i="15"/>
  <c r="L173" i="15"/>
  <c r="N173" i="15" s="1"/>
  <c r="B173" i="15"/>
  <c r="T172" i="15"/>
  <c r="P172" i="15"/>
  <c r="X172" i="15" s="1"/>
  <c r="H172" i="15"/>
  <c r="D172" i="15"/>
  <c r="L172" i="15" s="1"/>
  <c r="N172" i="15" s="1"/>
  <c r="B172" i="15"/>
  <c r="Z171" i="15"/>
  <c r="X171" i="15"/>
  <c r="N171" i="15"/>
  <c r="L171" i="15"/>
  <c r="B171" i="15"/>
  <c r="X170" i="15"/>
  <c r="Z170" i="15" s="1"/>
  <c r="L170" i="15"/>
  <c r="N170" i="15" s="1"/>
  <c r="B170" i="15"/>
  <c r="X169" i="15"/>
  <c r="Z169" i="15" s="1"/>
  <c r="N169" i="15"/>
  <c r="L169" i="15"/>
  <c r="B169" i="15"/>
  <c r="X168" i="15"/>
  <c r="Z168" i="15" s="1"/>
  <c r="N168" i="15"/>
  <c r="L168" i="15"/>
  <c r="B168" i="15"/>
  <c r="Z167" i="15"/>
  <c r="X167" i="15"/>
  <c r="N167" i="15"/>
  <c r="L167" i="15"/>
  <c r="F167" i="15"/>
  <c r="B167" i="15"/>
  <c r="X166" i="15"/>
  <c r="Z166" i="15" s="1"/>
  <c r="L166" i="15"/>
  <c r="N166" i="15" s="1"/>
  <c r="B166" i="15"/>
  <c r="X165" i="15"/>
  <c r="Z165" i="15" s="1"/>
  <c r="N165" i="15"/>
  <c r="L165" i="15"/>
  <c r="B165" i="15"/>
  <c r="X164" i="15"/>
  <c r="Z164" i="15" s="1"/>
  <c r="N164" i="15"/>
  <c r="L164" i="15"/>
  <c r="B164" i="15"/>
  <c r="Z163" i="15"/>
  <c r="X163" i="15"/>
  <c r="N163" i="15"/>
  <c r="L163" i="15"/>
  <c r="F163" i="15"/>
  <c r="B163" i="15"/>
  <c r="X162" i="15"/>
  <c r="Z162" i="15" s="1"/>
  <c r="L162" i="15"/>
  <c r="N162" i="15" s="1"/>
  <c r="B162" i="15"/>
  <c r="X161" i="15"/>
  <c r="Z161" i="15" s="1"/>
  <c r="T161" i="15"/>
  <c r="P161" i="15"/>
  <c r="H161" i="15"/>
  <c r="D161" i="15"/>
  <c r="L161" i="15" s="1"/>
  <c r="N161" i="15" s="1"/>
  <c r="B161" i="15"/>
  <c r="T160" i="15"/>
  <c r="P160" i="15"/>
  <c r="H160" i="15"/>
  <c r="D160" i="15"/>
  <c r="Z156" i="15"/>
  <c r="X156" i="15"/>
  <c r="L156" i="15"/>
  <c r="N156" i="15" s="1"/>
  <c r="B156" i="15"/>
  <c r="Z155" i="15"/>
  <c r="X155" i="15"/>
  <c r="N155" i="15"/>
  <c r="L155" i="15"/>
  <c r="B155" i="15"/>
  <c r="X154" i="15"/>
  <c r="Z154" i="15" s="1"/>
  <c r="L154" i="15"/>
  <c r="N154" i="15" s="1"/>
  <c r="B154" i="15"/>
  <c r="Z153" i="15"/>
  <c r="X153" i="15"/>
  <c r="N153" i="15"/>
  <c r="L153" i="15"/>
  <c r="B153" i="15"/>
  <c r="Z152" i="15"/>
  <c r="X152" i="15"/>
  <c r="L152" i="15"/>
  <c r="N152" i="15" s="1"/>
  <c r="B152" i="15"/>
  <c r="Z151" i="15"/>
  <c r="X151" i="15"/>
  <c r="N151" i="15"/>
  <c r="L151" i="15"/>
  <c r="B151" i="15"/>
  <c r="X150" i="15"/>
  <c r="Z150" i="15" s="1"/>
  <c r="L150" i="15"/>
  <c r="N150" i="15" s="1"/>
  <c r="B150" i="15"/>
  <c r="Z149" i="15"/>
  <c r="X149" i="15"/>
  <c r="N149" i="15"/>
  <c r="L149" i="15"/>
  <c r="B149" i="15"/>
  <c r="Z148" i="15"/>
  <c r="X148" i="15"/>
  <c r="L148" i="15"/>
  <c r="N148" i="15" s="1"/>
  <c r="B148" i="15"/>
  <c r="Z147" i="15"/>
  <c r="X147" i="15"/>
  <c r="L147" i="15"/>
  <c r="N147" i="15" s="1"/>
  <c r="B147" i="15"/>
  <c r="X146" i="15"/>
  <c r="Z146" i="15" s="1"/>
  <c r="L146" i="15"/>
  <c r="N146" i="15" s="1"/>
  <c r="B146" i="15"/>
  <c r="Z145" i="15"/>
  <c r="X145" i="15"/>
  <c r="N145" i="15"/>
  <c r="L145" i="15"/>
  <c r="B145" i="15"/>
  <c r="Z144" i="15"/>
  <c r="X144" i="15"/>
  <c r="L144" i="15"/>
  <c r="N144" i="15" s="1"/>
  <c r="B144" i="15"/>
  <c r="Z143" i="15"/>
  <c r="X143" i="15"/>
  <c r="L143" i="15"/>
  <c r="N143" i="15" s="1"/>
  <c r="B143" i="15"/>
  <c r="X142" i="15"/>
  <c r="Z142" i="15" s="1"/>
  <c r="L142" i="15"/>
  <c r="N142" i="15" s="1"/>
  <c r="B142" i="15"/>
  <c r="Z141" i="15"/>
  <c r="X141" i="15"/>
  <c r="N141" i="15"/>
  <c r="L141" i="15"/>
  <c r="B141" i="15"/>
  <c r="Z140" i="15"/>
  <c r="X140" i="15"/>
  <c r="N140" i="15"/>
  <c r="L140" i="15"/>
  <c r="B140" i="15"/>
  <c r="Z139" i="15"/>
  <c r="X139" i="15"/>
  <c r="L139" i="15"/>
  <c r="N139" i="15" s="1"/>
  <c r="B139" i="15"/>
  <c r="X138" i="15"/>
  <c r="Z138" i="15" s="1"/>
  <c r="L138" i="15"/>
  <c r="N138" i="15" s="1"/>
  <c r="B138" i="15"/>
  <c r="Z137" i="15"/>
  <c r="X137" i="15"/>
  <c r="N137" i="15"/>
  <c r="L137" i="15"/>
  <c r="B137" i="15"/>
  <c r="Z136" i="15"/>
  <c r="X136" i="15"/>
  <c r="L136" i="15"/>
  <c r="N136" i="15" s="1"/>
  <c r="B136" i="15"/>
  <c r="Z135" i="15"/>
  <c r="X135" i="15"/>
  <c r="L135" i="15"/>
  <c r="N135" i="15" s="1"/>
  <c r="B135" i="15"/>
  <c r="X134" i="15"/>
  <c r="Z134" i="15" s="1"/>
  <c r="N134" i="15"/>
  <c r="L134" i="15"/>
  <c r="B134" i="15"/>
  <c r="Z133" i="15"/>
  <c r="X133" i="15"/>
  <c r="N133" i="15"/>
  <c r="L133" i="15"/>
  <c r="B133" i="15"/>
  <c r="Z132" i="15"/>
  <c r="X132" i="15"/>
  <c r="L132" i="15"/>
  <c r="N132" i="15" s="1"/>
  <c r="B132" i="15"/>
  <c r="Z131" i="15"/>
  <c r="X131" i="15"/>
  <c r="L131" i="15"/>
  <c r="N131" i="15" s="1"/>
  <c r="B131" i="15"/>
  <c r="X130" i="15"/>
  <c r="Z130" i="15" s="1"/>
  <c r="L130" i="15"/>
  <c r="N130" i="15" s="1"/>
  <c r="B130" i="15"/>
  <c r="Z129" i="15"/>
  <c r="X129" i="15"/>
  <c r="N129" i="15"/>
  <c r="L129" i="15"/>
  <c r="B129" i="15"/>
  <c r="Z128" i="15"/>
  <c r="X128" i="15"/>
  <c r="L128" i="15"/>
  <c r="N128" i="15" s="1"/>
  <c r="B128" i="15"/>
  <c r="Z127" i="15"/>
  <c r="X127" i="15"/>
  <c r="L127" i="15"/>
  <c r="N127" i="15" s="1"/>
  <c r="B127" i="15"/>
  <c r="X126" i="15"/>
  <c r="Z126" i="15" s="1"/>
  <c r="L126" i="15"/>
  <c r="N126" i="15" s="1"/>
  <c r="B126" i="15"/>
  <c r="Z125" i="15"/>
  <c r="X125" i="15"/>
  <c r="N125" i="15"/>
  <c r="L125" i="15"/>
  <c r="B125" i="15"/>
  <c r="Z124" i="15"/>
  <c r="X124" i="15"/>
  <c r="L124" i="15"/>
  <c r="N124" i="15" s="1"/>
  <c r="B124" i="15"/>
  <c r="Z123" i="15"/>
  <c r="X123" i="15"/>
  <c r="L123" i="15"/>
  <c r="N123" i="15" s="1"/>
  <c r="B123" i="15"/>
  <c r="X122" i="15"/>
  <c r="Z122" i="15" s="1"/>
  <c r="L122" i="15"/>
  <c r="N122" i="15" s="1"/>
  <c r="B122" i="15"/>
  <c r="Z121" i="15"/>
  <c r="X121" i="15"/>
  <c r="N121" i="15"/>
  <c r="L121" i="15"/>
  <c r="B121" i="15"/>
  <c r="Z120" i="15"/>
  <c r="X120" i="15"/>
  <c r="L120" i="15"/>
  <c r="N120" i="15" s="1"/>
  <c r="B120" i="15"/>
  <c r="Z119" i="15"/>
  <c r="X119" i="15"/>
  <c r="L119" i="15"/>
  <c r="N119" i="15" s="1"/>
  <c r="B119" i="15"/>
  <c r="X118" i="15"/>
  <c r="Z118" i="15" s="1"/>
  <c r="L118" i="15"/>
  <c r="N118" i="15" s="1"/>
  <c r="B118" i="15"/>
  <c r="Z117" i="15"/>
  <c r="X117" i="15"/>
  <c r="N117" i="15"/>
  <c r="L117" i="15"/>
  <c r="B117" i="15"/>
  <c r="Z116" i="15"/>
  <c r="X116" i="15"/>
  <c r="L116" i="15"/>
  <c r="N116" i="15" s="1"/>
  <c r="B116" i="15"/>
  <c r="Z115" i="15"/>
  <c r="X115" i="15"/>
  <c r="N115" i="15"/>
  <c r="L115" i="15"/>
  <c r="B115" i="15"/>
  <c r="Z114" i="15"/>
  <c r="X114" i="15"/>
  <c r="N114" i="15"/>
  <c r="L114" i="15"/>
  <c r="B114" i="15"/>
  <c r="Z113" i="15"/>
  <c r="X113" i="15"/>
  <c r="N113" i="15"/>
  <c r="L113" i="15"/>
  <c r="B113" i="15"/>
  <c r="Z112" i="15"/>
  <c r="X112" i="15"/>
  <c r="L112" i="15"/>
  <c r="N112" i="15" s="1"/>
  <c r="B112" i="15"/>
  <c r="Z111" i="15"/>
  <c r="X111" i="15"/>
  <c r="L111" i="15"/>
  <c r="N111" i="15" s="1"/>
  <c r="B111" i="15"/>
  <c r="X110" i="15"/>
  <c r="Z110" i="15" s="1"/>
  <c r="L110" i="15"/>
  <c r="N110" i="15" s="1"/>
  <c r="B110" i="15"/>
  <c r="Z109" i="15"/>
  <c r="X109" i="15"/>
  <c r="N109" i="15"/>
  <c r="L109" i="15"/>
  <c r="B109" i="15"/>
  <c r="Z108" i="15"/>
  <c r="X108" i="15"/>
  <c r="L108" i="15"/>
  <c r="N108" i="15" s="1"/>
  <c r="B108" i="15"/>
  <c r="Z107" i="15"/>
  <c r="X107" i="15"/>
  <c r="L107" i="15"/>
  <c r="N107" i="15" s="1"/>
  <c r="B107" i="15"/>
  <c r="T106" i="15"/>
  <c r="P106" i="15"/>
  <c r="X106" i="15" s="1"/>
  <c r="H106" i="15"/>
  <c r="D106" i="15"/>
  <c r="L106" i="15" s="1"/>
  <c r="N106" i="15" s="1"/>
  <c r="T104" i="15"/>
  <c r="P104" i="15"/>
  <c r="X104" i="15" s="1"/>
  <c r="H104" i="15"/>
  <c r="D104" i="15"/>
  <c r="B104" i="15"/>
  <c r="T103" i="15"/>
  <c r="P103" i="15"/>
  <c r="H103" i="15"/>
  <c r="D103" i="15"/>
  <c r="B103" i="15"/>
  <c r="Z102" i="15"/>
  <c r="T102" i="15"/>
  <c r="P102" i="15"/>
  <c r="X102" i="15" s="1"/>
  <c r="N102" i="15"/>
  <c r="L102" i="15"/>
  <c r="H102" i="15"/>
  <c r="D102" i="15"/>
  <c r="B102" i="15"/>
  <c r="T101" i="15"/>
  <c r="P101" i="15"/>
  <c r="X101" i="15" s="1"/>
  <c r="Z101" i="15" s="1"/>
  <c r="H101" i="15"/>
  <c r="L101" i="15" s="1"/>
  <c r="D101" i="15"/>
  <c r="B101" i="15"/>
  <c r="T100" i="15"/>
  <c r="P100" i="15"/>
  <c r="X100" i="15" s="1"/>
  <c r="H100" i="15"/>
  <c r="D100" i="15"/>
  <c r="B100" i="15"/>
  <c r="T99" i="15"/>
  <c r="P99" i="15"/>
  <c r="H99" i="15"/>
  <c r="N99" i="15" s="1"/>
  <c r="D99" i="15"/>
  <c r="B99" i="15"/>
  <c r="T98" i="15"/>
  <c r="P98" i="15"/>
  <c r="X98" i="15" s="1"/>
  <c r="Z98" i="15" s="1"/>
  <c r="L98" i="15"/>
  <c r="N98" i="15" s="1"/>
  <c r="H98" i="15"/>
  <c r="D98" i="15"/>
  <c r="B98" i="15"/>
  <c r="T97" i="15"/>
  <c r="P97" i="15"/>
  <c r="X97" i="15" s="1"/>
  <c r="Z97" i="15" s="1"/>
  <c r="H97" i="15"/>
  <c r="L97" i="15" s="1"/>
  <c r="D97" i="15"/>
  <c r="B97" i="15"/>
  <c r="T96" i="15"/>
  <c r="P96" i="15"/>
  <c r="X96" i="15" s="1"/>
  <c r="H96" i="15"/>
  <c r="D96" i="15"/>
  <c r="B96" i="15"/>
  <c r="T95" i="15"/>
  <c r="P95" i="15"/>
  <c r="H95" i="15"/>
  <c r="N95" i="15" s="1"/>
  <c r="D95" i="15"/>
  <c r="B95" i="15"/>
  <c r="Z94" i="15"/>
  <c r="T94" i="15"/>
  <c r="P94" i="15"/>
  <c r="X94" i="15" s="1"/>
  <c r="N94" i="15"/>
  <c r="L94" i="15"/>
  <c r="H94" i="15"/>
  <c r="D94" i="15"/>
  <c r="B94" i="15"/>
  <c r="T93" i="15"/>
  <c r="P93" i="15"/>
  <c r="X93" i="15" s="1"/>
  <c r="Z93" i="15" s="1"/>
  <c r="H93" i="15"/>
  <c r="L93" i="15" s="1"/>
  <c r="D93" i="15"/>
  <c r="B93" i="15"/>
  <c r="T92" i="15"/>
  <c r="Z92" i="15" s="1"/>
  <c r="P92" i="15"/>
  <c r="X92" i="15" s="1"/>
  <c r="H92" i="15"/>
  <c r="D92" i="15"/>
  <c r="B92" i="15"/>
  <c r="T91" i="15"/>
  <c r="P91" i="15"/>
  <c r="H91" i="15"/>
  <c r="N91" i="15" s="1"/>
  <c r="D91" i="15"/>
  <c r="B91" i="15"/>
  <c r="T90" i="15"/>
  <c r="P90" i="15"/>
  <c r="X90" i="15" s="1"/>
  <c r="Z90" i="15" s="1"/>
  <c r="L90" i="15"/>
  <c r="N90" i="15" s="1"/>
  <c r="H90" i="15"/>
  <c r="D90" i="15"/>
  <c r="B90" i="15"/>
  <c r="T89" i="15"/>
  <c r="P89" i="15"/>
  <c r="X89" i="15" s="1"/>
  <c r="Z89" i="15" s="1"/>
  <c r="H89" i="15"/>
  <c r="L89" i="15" s="1"/>
  <c r="D89" i="15"/>
  <c r="B89" i="15"/>
  <c r="T88" i="15"/>
  <c r="Z88" i="15" s="1"/>
  <c r="P88" i="15"/>
  <c r="X88" i="15" s="1"/>
  <c r="H88" i="15"/>
  <c r="D88" i="15"/>
  <c r="B88" i="15"/>
  <c r="T87" i="15"/>
  <c r="P87" i="15"/>
  <c r="H87" i="15"/>
  <c r="D87" i="15"/>
  <c r="B87" i="15"/>
  <c r="T86" i="15"/>
  <c r="P86" i="15"/>
  <c r="X86" i="15" s="1"/>
  <c r="Z86" i="15" s="1"/>
  <c r="L86" i="15"/>
  <c r="N86" i="15" s="1"/>
  <c r="H86" i="15"/>
  <c r="D86" i="15"/>
  <c r="B86" i="15"/>
  <c r="T85" i="15"/>
  <c r="P85" i="15"/>
  <c r="X85" i="15" s="1"/>
  <c r="Z85" i="15" s="1"/>
  <c r="H85" i="15"/>
  <c r="L85" i="15" s="1"/>
  <c r="D85" i="15"/>
  <c r="B85" i="15"/>
  <c r="T84" i="15"/>
  <c r="P84" i="15"/>
  <c r="X84" i="15" s="1"/>
  <c r="H84" i="15"/>
  <c r="D84" i="15"/>
  <c r="B84" i="15"/>
  <c r="T83" i="15"/>
  <c r="P83" i="15"/>
  <c r="H83" i="15"/>
  <c r="D83" i="15"/>
  <c r="B83" i="15"/>
  <c r="Z82" i="15"/>
  <c r="T82" i="15"/>
  <c r="P82" i="15"/>
  <c r="X82" i="15" s="1"/>
  <c r="L82" i="15"/>
  <c r="N82" i="15" s="1"/>
  <c r="H82" i="15"/>
  <c r="D82" i="15"/>
  <c r="B82" i="15"/>
  <c r="T81" i="15"/>
  <c r="P81" i="15"/>
  <c r="X81" i="15" s="1"/>
  <c r="Z81" i="15" s="1"/>
  <c r="H81" i="15"/>
  <c r="L81" i="15" s="1"/>
  <c r="D81" i="15"/>
  <c r="B81" i="15"/>
  <c r="T80" i="15"/>
  <c r="P80" i="15"/>
  <c r="X80" i="15" s="1"/>
  <c r="H80" i="15"/>
  <c r="D80" i="15"/>
  <c r="B80" i="15"/>
  <c r="T79" i="15"/>
  <c r="P79" i="15"/>
  <c r="H79" i="15"/>
  <c r="N79" i="15" s="1"/>
  <c r="D79" i="15"/>
  <c r="B79" i="15"/>
  <c r="T78" i="15"/>
  <c r="P78" i="15"/>
  <c r="X78" i="15" s="1"/>
  <c r="Z78" i="15" s="1"/>
  <c r="L78" i="15"/>
  <c r="N78" i="15" s="1"/>
  <c r="H78" i="15"/>
  <c r="D78" i="15"/>
  <c r="B78" i="15"/>
  <c r="T77" i="15"/>
  <c r="P77" i="15"/>
  <c r="X77" i="15" s="1"/>
  <c r="H77" i="15"/>
  <c r="L77" i="15" s="1"/>
  <c r="D77" i="15"/>
  <c r="B77" i="15"/>
  <c r="T76" i="15"/>
  <c r="P76" i="15"/>
  <c r="X76" i="15" s="1"/>
  <c r="H76" i="15"/>
  <c r="D76" i="15"/>
  <c r="B76" i="15"/>
  <c r="T75" i="15"/>
  <c r="P75" i="15"/>
  <c r="H75" i="15"/>
  <c r="D75" i="15"/>
  <c r="B75" i="15"/>
  <c r="Z74" i="15"/>
  <c r="T74" i="15"/>
  <c r="P74" i="15"/>
  <c r="X74" i="15" s="1"/>
  <c r="L74" i="15"/>
  <c r="N74" i="15" s="1"/>
  <c r="H74" i="15"/>
  <c r="D74" i="15"/>
  <c r="B74" i="15"/>
  <c r="T73" i="15"/>
  <c r="Z73" i="15" s="1"/>
  <c r="P73" i="15"/>
  <c r="X73" i="15" s="1"/>
  <c r="H73" i="15"/>
  <c r="L73" i="15" s="1"/>
  <c r="D73" i="15"/>
  <c r="B73" i="15"/>
  <c r="T72" i="15"/>
  <c r="Z72" i="15" s="1"/>
  <c r="P72" i="15"/>
  <c r="X72" i="15" s="1"/>
  <c r="H72" i="15"/>
  <c r="D72" i="15"/>
  <c r="B72" i="15"/>
  <c r="T71" i="15"/>
  <c r="P71" i="15"/>
  <c r="H71" i="15"/>
  <c r="D71" i="15"/>
  <c r="B71" i="15"/>
  <c r="T70" i="15"/>
  <c r="P70" i="15"/>
  <c r="X70" i="15" s="1"/>
  <c r="Z70" i="15" s="1"/>
  <c r="L70" i="15"/>
  <c r="N70" i="15" s="1"/>
  <c r="H70" i="15"/>
  <c r="D70" i="15"/>
  <c r="B70" i="15"/>
  <c r="T69" i="15"/>
  <c r="Z69" i="15" s="1"/>
  <c r="P69" i="15"/>
  <c r="X69" i="15" s="1"/>
  <c r="H69" i="15"/>
  <c r="L69" i="15" s="1"/>
  <c r="D69" i="15"/>
  <c r="B69" i="15"/>
  <c r="T68" i="15"/>
  <c r="Z68" i="15" s="1"/>
  <c r="P68" i="15"/>
  <c r="X68" i="15" s="1"/>
  <c r="H68" i="15"/>
  <c r="D68" i="15"/>
  <c r="B68" i="15"/>
  <c r="T67" i="15"/>
  <c r="P67" i="15"/>
  <c r="H67" i="15"/>
  <c r="D67" i="15"/>
  <c r="B67" i="15"/>
  <c r="T66" i="15"/>
  <c r="P66" i="15"/>
  <c r="X66" i="15" s="1"/>
  <c r="Z66" i="15" s="1"/>
  <c r="L66" i="15"/>
  <c r="N66" i="15" s="1"/>
  <c r="H66" i="15"/>
  <c r="D66" i="15"/>
  <c r="B66" i="15"/>
  <c r="T65" i="15"/>
  <c r="P65" i="15"/>
  <c r="X65" i="15" s="1"/>
  <c r="H65" i="15"/>
  <c r="L65" i="15" s="1"/>
  <c r="D65" i="15"/>
  <c r="B65" i="15"/>
  <c r="T64" i="15"/>
  <c r="Z64" i="15" s="1"/>
  <c r="P64" i="15"/>
  <c r="X64" i="15" s="1"/>
  <c r="H64" i="15"/>
  <c r="D64" i="15"/>
  <c r="B64" i="15"/>
  <c r="T63" i="15"/>
  <c r="P63" i="15"/>
  <c r="H63" i="15"/>
  <c r="D63" i="15"/>
  <c r="B63" i="15"/>
  <c r="Z62" i="15"/>
  <c r="T62" i="15"/>
  <c r="P62" i="15"/>
  <c r="X62" i="15" s="1"/>
  <c r="N62" i="15"/>
  <c r="L62" i="15"/>
  <c r="H62" i="15"/>
  <c r="D62" i="15"/>
  <c r="B62" i="15"/>
  <c r="T61" i="15"/>
  <c r="P61" i="15"/>
  <c r="X61" i="15" s="1"/>
  <c r="H61" i="15"/>
  <c r="L61" i="15" s="1"/>
  <c r="D61" i="15"/>
  <c r="B61" i="15"/>
  <c r="T60" i="15"/>
  <c r="Z60" i="15" s="1"/>
  <c r="P60" i="15"/>
  <c r="X60" i="15" s="1"/>
  <c r="H60" i="15"/>
  <c r="D60" i="15"/>
  <c r="B60" i="15"/>
  <c r="T59" i="15"/>
  <c r="P59" i="15"/>
  <c r="H59" i="15"/>
  <c r="D59" i="15"/>
  <c r="B59" i="15"/>
  <c r="Z58" i="15"/>
  <c r="T58" i="15"/>
  <c r="P58" i="15"/>
  <c r="X58" i="15" s="1"/>
  <c r="N58" i="15"/>
  <c r="L58" i="15"/>
  <c r="H58" i="15"/>
  <c r="D58" i="15"/>
  <c r="B58" i="15"/>
  <c r="T57" i="15"/>
  <c r="P57" i="15"/>
  <c r="X57" i="15" s="1"/>
  <c r="H57" i="15"/>
  <c r="L57" i="15" s="1"/>
  <c r="D57" i="15"/>
  <c r="B57" i="15"/>
  <c r="T56" i="15"/>
  <c r="P56" i="15"/>
  <c r="X56" i="15" s="1"/>
  <c r="H56" i="15"/>
  <c r="D56" i="15"/>
  <c r="B56" i="15"/>
  <c r="T55" i="15"/>
  <c r="P55" i="15"/>
  <c r="H55" i="15"/>
  <c r="N55" i="15" s="1"/>
  <c r="D55" i="15"/>
  <c r="B55" i="15"/>
  <c r="Z54" i="15"/>
  <c r="T54" i="15"/>
  <c r="P54" i="15"/>
  <c r="X54" i="15" s="1"/>
  <c r="L54" i="15"/>
  <c r="N54" i="15" s="1"/>
  <c r="H54" i="15"/>
  <c r="D54" i="15"/>
  <c r="B54" i="15"/>
  <c r="T53" i="15"/>
  <c r="P53" i="15"/>
  <c r="X53" i="15" s="1"/>
  <c r="H53" i="15"/>
  <c r="L53" i="15" s="1"/>
  <c r="D53" i="15"/>
  <c r="B53" i="15"/>
  <c r="T52" i="15"/>
  <c r="P52" i="15"/>
  <c r="X52" i="15" s="1"/>
  <c r="H52" i="15"/>
  <c r="D52" i="15"/>
  <c r="B52" i="15"/>
  <c r="T51" i="15"/>
  <c r="P51" i="15"/>
  <c r="H51" i="15"/>
  <c r="D51" i="15"/>
  <c r="B51" i="15"/>
  <c r="T50" i="15"/>
  <c r="P50" i="15"/>
  <c r="X50" i="15" s="1"/>
  <c r="Z50" i="15" s="1"/>
  <c r="N50" i="15"/>
  <c r="L50" i="15"/>
  <c r="H50" i="15"/>
  <c r="D50" i="15"/>
  <c r="B50" i="15"/>
  <c r="T49" i="15"/>
  <c r="Z49" i="15" s="1"/>
  <c r="P49" i="15"/>
  <c r="X49" i="15" s="1"/>
  <c r="H49" i="15"/>
  <c r="L49" i="15" s="1"/>
  <c r="D49" i="15"/>
  <c r="B49" i="15"/>
  <c r="T48" i="15"/>
  <c r="P48" i="15"/>
  <c r="X48" i="15" s="1"/>
  <c r="H48" i="15"/>
  <c r="D48" i="15"/>
  <c r="B48" i="15"/>
  <c r="T47" i="15"/>
  <c r="P47" i="15"/>
  <c r="H47" i="15"/>
  <c r="D47" i="15"/>
  <c r="B47" i="15"/>
  <c r="T46" i="15"/>
  <c r="P46" i="15"/>
  <c r="X46" i="15" s="1"/>
  <c r="Z46" i="15" s="1"/>
  <c r="L46" i="15"/>
  <c r="N46" i="15" s="1"/>
  <c r="H46" i="15"/>
  <c r="D46" i="15"/>
  <c r="B46" i="15"/>
  <c r="T45" i="15"/>
  <c r="Z45" i="15" s="1"/>
  <c r="P45" i="15"/>
  <c r="X45" i="15" s="1"/>
  <c r="H45" i="15"/>
  <c r="L45" i="15" s="1"/>
  <c r="D45" i="15"/>
  <c r="B45" i="15"/>
  <c r="T44" i="15"/>
  <c r="P44" i="15"/>
  <c r="X44" i="15" s="1"/>
  <c r="H44" i="15"/>
  <c r="D44" i="15"/>
  <c r="B44" i="15"/>
  <c r="T43" i="15"/>
  <c r="P43" i="15"/>
  <c r="H43" i="15"/>
  <c r="D43" i="15"/>
  <c r="B43" i="15"/>
  <c r="T42" i="15"/>
  <c r="P42" i="15"/>
  <c r="X42" i="15" s="1"/>
  <c r="Z42" i="15" s="1"/>
  <c r="N42" i="15"/>
  <c r="L42" i="15"/>
  <c r="H42" i="15"/>
  <c r="D42" i="15"/>
  <c r="B42" i="15"/>
  <c r="T41" i="15"/>
  <c r="Z41" i="15" s="1"/>
  <c r="P41" i="15"/>
  <c r="X41" i="15" s="1"/>
  <c r="H41" i="15"/>
  <c r="L41" i="15" s="1"/>
  <c r="D41" i="15"/>
  <c r="B41" i="15"/>
  <c r="T40" i="15"/>
  <c r="Z40" i="15" s="1"/>
  <c r="P40" i="15"/>
  <c r="X40" i="15" s="1"/>
  <c r="H40" i="15"/>
  <c r="D40" i="15"/>
  <c r="B40" i="15"/>
  <c r="T39" i="15"/>
  <c r="P39" i="15"/>
  <c r="H39" i="15"/>
  <c r="D39" i="15"/>
  <c r="B39" i="15"/>
  <c r="T38" i="15"/>
  <c r="P38" i="15"/>
  <c r="X38" i="15" s="1"/>
  <c r="Z38" i="15" s="1"/>
  <c r="L38" i="15"/>
  <c r="N38" i="15" s="1"/>
  <c r="H38" i="15"/>
  <c r="D38" i="15"/>
  <c r="B38" i="15"/>
  <c r="T37" i="15"/>
  <c r="Z37" i="15" s="1"/>
  <c r="P37" i="15"/>
  <c r="X37" i="15" s="1"/>
  <c r="H37" i="15"/>
  <c r="L37" i="15" s="1"/>
  <c r="D37" i="15"/>
  <c r="B37" i="15"/>
  <c r="T36" i="15"/>
  <c r="Z36" i="15" s="1"/>
  <c r="P36" i="15"/>
  <c r="X36" i="15" s="1"/>
  <c r="H36" i="15"/>
  <c r="D36" i="15"/>
  <c r="B36" i="15"/>
  <c r="T35" i="15"/>
  <c r="P35" i="15"/>
  <c r="H35" i="15"/>
  <c r="D35" i="15"/>
  <c r="B35" i="15"/>
  <c r="T34" i="15"/>
  <c r="P34" i="15"/>
  <c r="X34" i="15" s="1"/>
  <c r="Z34" i="15" s="1"/>
  <c r="L34" i="15"/>
  <c r="N34" i="15" s="1"/>
  <c r="H34" i="15"/>
  <c r="D34" i="15"/>
  <c r="B34" i="15"/>
  <c r="T33" i="15"/>
  <c r="P33" i="15"/>
  <c r="X33" i="15" s="1"/>
  <c r="H33" i="15"/>
  <c r="L33" i="15" s="1"/>
  <c r="D33" i="15"/>
  <c r="B33" i="15"/>
  <c r="T32" i="15"/>
  <c r="Z32" i="15" s="1"/>
  <c r="P32" i="15"/>
  <c r="X32" i="15" s="1"/>
  <c r="H32" i="15"/>
  <c r="D32" i="15"/>
  <c r="B32" i="15"/>
  <c r="T31" i="15"/>
  <c r="P31" i="15"/>
  <c r="H31" i="15"/>
  <c r="D31" i="15"/>
  <c r="B31" i="15"/>
  <c r="T30" i="15"/>
  <c r="P30" i="15"/>
  <c r="X30" i="15" s="1"/>
  <c r="Z30" i="15" s="1"/>
  <c r="L30" i="15"/>
  <c r="N30" i="15" s="1"/>
  <c r="H30" i="15"/>
  <c r="D30" i="15"/>
  <c r="B30" i="15"/>
  <c r="T29" i="15"/>
  <c r="P29" i="15"/>
  <c r="X29" i="15" s="1"/>
  <c r="H29" i="15"/>
  <c r="L29" i="15" s="1"/>
  <c r="D29" i="15"/>
  <c r="B29" i="15"/>
  <c r="T28" i="15"/>
  <c r="P28" i="15"/>
  <c r="X28" i="15" s="1"/>
  <c r="H28" i="15"/>
  <c r="D28" i="15"/>
  <c r="B28" i="15"/>
  <c r="T27" i="15"/>
  <c r="P27" i="15"/>
  <c r="H27" i="15"/>
  <c r="D27" i="15"/>
  <c r="B27" i="15"/>
  <c r="Z26" i="15"/>
  <c r="T26" i="15"/>
  <c r="P26" i="15"/>
  <c r="X26" i="15" s="1"/>
  <c r="L26" i="15"/>
  <c r="N26" i="15" s="1"/>
  <c r="H26" i="15"/>
  <c r="D26" i="15"/>
  <c r="B26" i="15"/>
  <c r="T25" i="15"/>
  <c r="P25" i="15"/>
  <c r="X25" i="15" s="1"/>
  <c r="L25" i="15"/>
  <c r="H25" i="15"/>
  <c r="N25" i="15" s="1"/>
  <c r="D25" i="15"/>
  <c r="B25" i="15"/>
  <c r="T24" i="15"/>
  <c r="Z24" i="15" s="1"/>
  <c r="P24" i="15"/>
  <c r="X24" i="15" s="1"/>
  <c r="H24" i="15"/>
  <c r="D24" i="15"/>
  <c r="B24" i="15"/>
  <c r="T23" i="15"/>
  <c r="P23" i="15"/>
  <c r="H23" i="15"/>
  <c r="D23" i="15"/>
  <c r="B23" i="15"/>
  <c r="T22" i="15"/>
  <c r="P22" i="15"/>
  <c r="X22" i="15" s="1"/>
  <c r="Z22" i="15" s="1"/>
  <c r="L22" i="15"/>
  <c r="N22" i="15" s="1"/>
  <c r="H22" i="15"/>
  <c r="D22" i="15"/>
  <c r="B22" i="15"/>
  <c r="T21" i="15"/>
  <c r="Z21" i="15" s="1"/>
  <c r="P21" i="15"/>
  <c r="X21" i="15" s="1"/>
  <c r="L21" i="15"/>
  <c r="H21" i="15"/>
  <c r="N21" i="15" s="1"/>
  <c r="D21" i="15"/>
  <c r="B21" i="15"/>
  <c r="T20" i="15"/>
  <c r="P20" i="15"/>
  <c r="X20" i="15" s="1"/>
  <c r="H20" i="15"/>
  <c r="D20" i="15"/>
  <c r="B20" i="15"/>
  <c r="T19" i="15"/>
  <c r="P19" i="15"/>
  <c r="H19" i="15"/>
  <c r="D19" i="15"/>
  <c r="B19" i="15"/>
  <c r="T18" i="15"/>
  <c r="P18" i="15"/>
  <c r="X18" i="15" s="1"/>
  <c r="Z18" i="15" s="1"/>
  <c r="N18" i="15"/>
  <c r="L18" i="15"/>
  <c r="H18" i="15"/>
  <c r="D18" i="15"/>
  <c r="B18" i="15"/>
  <c r="T17" i="15"/>
  <c r="Z17" i="15" s="1"/>
  <c r="P17" i="15"/>
  <c r="X17" i="15" s="1"/>
  <c r="L17" i="15"/>
  <c r="H17" i="15"/>
  <c r="N17" i="15" s="1"/>
  <c r="D17" i="15"/>
  <c r="B17" i="15"/>
  <c r="T16" i="15"/>
  <c r="P16" i="15"/>
  <c r="X16" i="15" s="1"/>
  <c r="H16" i="15"/>
  <c r="D16" i="15"/>
  <c r="B16" i="15"/>
  <c r="T15" i="15"/>
  <c r="P15" i="15"/>
  <c r="L15" i="15"/>
  <c r="H15" i="15"/>
  <c r="N15" i="15" s="1"/>
  <c r="D15" i="15"/>
  <c r="B15" i="15"/>
  <c r="T14" i="15"/>
  <c r="P14" i="15"/>
  <c r="X14" i="15" s="1"/>
  <c r="Z14" i="15" s="1"/>
  <c r="L14" i="15"/>
  <c r="N14" i="15" s="1"/>
  <c r="H14" i="15"/>
  <c r="D14" i="15"/>
  <c r="B14" i="15"/>
  <c r="T13" i="15"/>
  <c r="T12" i="15" s="1"/>
  <c r="V194" i="15" s="1"/>
  <c r="P13" i="15"/>
  <c r="L13" i="15"/>
  <c r="H13" i="15"/>
  <c r="N13" i="15" s="1"/>
  <c r="D13" i="15"/>
  <c r="D12" i="15" s="1"/>
  <c r="F190" i="15" s="1"/>
  <c r="B13" i="15"/>
  <c r="D4" i="15"/>
  <c r="Z270" i="12"/>
  <c r="X270" i="12"/>
  <c r="N270" i="12"/>
  <c r="L270" i="12"/>
  <c r="X266" i="12"/>
  <c r="T266" i="12"/>
  <c r="Z266" i="12" s="1"/>
  <c r="P266" i="12"/>
  <c r="N266" i="12"/>
  <c r="H266" i="12"/>
  <c r="D266" i="12"/>
  <c r="L266" i="12" s="1"/>
  <c r="B266" i="12"/>
  <c r="T265" i="12"/>
  <c r="P265" i="12"/>
  <c r="H265" i="12"/>
  <c r="D265" i="12"/>
  <c r="B265" i="12"/>
  <c r="T264" i="12"/>
  <c r="P264" i="12"/>
  <c r="X264" i="12" s="1"/>
  <c r="Z264" i="12" s="1"/>
  <c r="H264" i="12"/>
  <c r="D264" i="12"/>
  <c r="L264" i="12" s="1"/>
  <c r="B264" i="12"/>
  <c r="X263" i="12"/>
  <c r="T263" i="12"/>
  <c r="Z263" i="12" s="1"/>
  <c r="P263" i="12"/>
  <c r="L263" i="12"/>
  <c r="N263" i="12" s="1"/>
  <c r="H263" i="12"/>
  <c r="D263" i="12"/>
  <c r="B263" i="12"/>
  <c r="T262" i="12"/>
  <c r="P262" i="12"/>
  <c r="X262" i="12" s="1"/>
  <c r="Z262" i="12" s="1"/>
  <c r="N262" i="12"/>
  <c r="L262" i="12"/>
  <c r="H262" i="12"/>
  <c r="D262" i="12"/>
  <c r="B262" i="12"/>
  <c r="T261" i="12"/>
  <c r="Z261" i="12" s="1"/>
  <c r="P261" i="12"/>
  <c r="X261" i="12" s="1"/>
  <c r="N261" i="12"/>
  <c r="H261" i="12"/>
  <c r="D261" i="12"/>
  <c r="L261" i="12" s="1"/>
  <c r="B261" i="12"/>
  <c r="T260" i="12"/>
  <c r="P260" i="12"/>
  <c r="X260" i="12" s="1"/>
  <c r="Z260" i="12" s="1"/>
  <c r="L260" i="12"/>
  <c r="H260" i="12"/>
  <c r="N260" i="12" s="1"/>
  <c r="D260" i="12"/>
  <c r="B260" i="12"/>
  <c r="T259" i="12"/>
  <c r="P259" i="12"/>
  <c r="H259" i="12"/>
  <c r="N259" i="12" s="1"/>
  <c r="D259" i="12"/>
  <c r="B259" i="12"/>
  <c r="T258" i="12"/>
  <c r="P258" i="12"/>
  <c r="P257" i="12" s="1"/>
  <c r="N258" i="12"/>
  <c r="H258" i="12"/>
  <c r="D258" i="12"/>
  <c r="L258" i="12" s="1"/>
  <c r="B258" i="12"/>
  <c r="X255" i="12"/>
  <c r="Z255" i="12" s="1"/>
  <c r="N255" i="12"/>
  <c r="L255" i="12"/>
  <c r="B255" i="12"/>
  <c r="T254" i="12"/>
  <c r="P254" i="12"/>
  <c r="X254" i="12" s="1"/>
  <c r="Z254" i="12" s="1"/>
  <c r="L254" i="12"/>
  <c r="H254" i="12"/>
  <c r="N254" i="12" s="1"/>
  <c r="D254" i="12"/>
  <c r="B254" i="12"/>
  <c r="Z253" i="12"/>
  <c r="X253" i="12"/>
  <c r="N253" i="12"/>
  <c r="L253" i="12"/>
  <c r="B253" i="12"/>
  <c r="Z252" i="12"/>
  <c r="X252" i="12"/>
  <c r="N252" i="12"/>
  <c r="L252" i="12"/>
  <c r="B252" i="12"/>
  <c r="Z251" i="12"/>
  <c r="X251" i="12"/>
  <c r="L251" i="12"/>
  <c r="N251" i="12" s="1"/>
  <c r="B251" i="12"/>
  <c r="X250" i="12"/>
  <c r="Z250" i="12" s="1"/>
  <c r="T250" i="12"/>
  <c r="P250" i="12"/>
  <c r="H250" i="12"/>
  <c r="D250" i="12"/>
  <c r="L250" i="12" s="1"/>
  <c r="N250" i="12" s="1"/>
  <c r="B250" i="12"/>
  <c r="Z249" i="12"/>
  <c r="X249" i="12"/>
  <c r="L249" i="12"/>
  <c r="N249" i="12" s="1"/>
  <c r="B249" i="12"/>
  <c r="T248" i="12"/>
  <c r="P248" i="12"/>
  <c r="H248" i="12"/>
  <c r="D248" i="12"/>
  <c r="L248" i="12" s="1"/>
  <c r="N248" i="12" s="1"/>
  <c r="B248" i="12"/>
  <c r="X247" i="12"/>
  <c r="Z247" i="12" s="1"/>
  <c r="N247" i="12"/>
  <c r="L247" i="12"/>
  <c r="B247" i="12"/>
  <c r="X246" i="12"/>
  <c r="Z246" i="12" s="1"/>
  <c r="L246" i="12"/>
  <c r="N246" i="12" s="1"/>
  <c r="B246" i="12"/>
  <c r="X245" i="12"/>
  <c r="T245" i="12"/>
  <c r="Z245" i="12" s="1"/>
  <c r="P245" i="12"/>
  <c r="L245" i="12"/>
  <c r="N245" i="12" s="1"/>
  <c r="H245" i="12"/>
  <c r="D245" i="12"/>
  <c r="B245" i="12"/>
  <c r="Z244" i="12"/>
  <c r="X244" i="12"/>
  <c r="N244" i="12"/>
  <c r="L244" i="12"/>
  <c r="B244" i="12"/>
  <c r="Z243" i="12"/>
  <c r="X243" i="12"/>
  <c r="L243" i="12"/>
  <c r="N243" i="12" s="1"/>
  <c r="B243" i="12"/>
  <c r="X242" i="12"/>
  <c r="Z242" i="12" s="1"/>
  <c r="N242" i="12"/>
  <c r="L242" i="12"/>
  <c r="B242" i="12"/>
  <c r="Z241" i="12"/>
  <c r="X241" i="12"/>
  <c r="N241" i="12"/>
  <c r="L241" i="12"/>
  <c r="B241" i="12"/>
  <c r="Z240" i="12"/>
  <c r="X240" i="12"/>
  <c r="N240" i="12"/>
  <c r="L240" i="12"/>
  <c r="B240" i="12"/>
  <c r="Z239" i="12"/>
  <c r="X239" i="12"/>
  <c r="N239" i="12"/>
  <c r="L239" i="12"/>
  <c r="B239" i="12"/>
  <c r="X238" i="12"/>
  <c r="Z238" i="12" s="1"/>
  <c r="N238" i="12"/>
  <c r="L238" i="12"/>
  <c r="B238" i="12"/>
  <c r="T237" i="12"/>
  <c r="P237" i="12"/>
  <c r="H237" i="12"/>
  <c r="D237" i="12"/>
  <c r="B237" i="12"/>
  <c r="Z236" i="12"/>
  <c r="X236" i="12"/>
  <c r="L236" i="12"/>
  <c r="N236" i="12" s="1"/>
  <c r="B236" i="12"/>
  <c r="X235" i="12"/>
  <c r="Z235" i="12" s="1"/>
  <c r="L235" i="12"/>
  <c r="N235" i="12" s="1"/>
  <c r="B235" i="12"/>
  <c r="T234" i="12"/>
  <c r="P234" i="12"/>
  <c r="X234" i="12" s="1"/>
  <c r="Z234" i="12" s="1"/>
  <c r="H234" i="12"/>
  <c r="D234" i="12"/>
  <c r="B234" i="12"/>
  <c r="X233" i="12"/>
  <c r="Z233" i="12" s="1"/>
  <c r="N233" i="12"/>
  <c r="L233" i="12"/>
  <c r="B233" i="12"/>
  <c r="X232" i="12"/>
  <c r="Z232" i="12" s="1"/>
  <c r="N232" i="12"/>
  <c r="L232" i="12"/>
  <c r="B232" i="12"/>
  <c r="X231" i="12"/>
  <c r="Z231" i="12" s="1"/>
  <c r="N231" i="12"/>
  <c r="L231" i="12"/>
  <c r="B231" i="12"/>
  <c r="X230" i="12"/>
  <c r="Z230" i="12" s="1"/>
  <c r="N230" i="12"/>
  <c r="L230" i="12"/>
  <c r="B230" i="12"/>
  <c r="X229" i="12"/>
  <c r="Z229" i="12" s="1"/>
  <c r="N229" i="12"/>
  <c r="L229" i="12"/>
  <c r="B229" i="12"/>
  <c r="X228" i="12"/>
  <c r="T228" i="12"/>
  <c r="Z228" i="12" s="1"/>
  <c r="P228" i="12"/>
  <c r="H228" i="12"/>
  <c r="D228" i="12"/>
  <c r="L228" i="12" s="1"/>
  <c r="N228" i="12" s="1"/>
  <c r="B228" i="12"/>
  <c r="Z227" i="12"/>
  <c r="X227" i="12"/>
  <c r="L227" i="12"/>
  <c r="N227" i="12" s="1"/>
  <c r="B227" i="12"/>
  <c r="X226" i="12"/>
  <c r="Z226" i="12" s="1"/>
  <c r="N226" i="12"/>
  <c r="L226" i="12"/>
  <c r="B226" i="12"/>
  <c r="Z225" i="12"/>
  <c r="X225" i="12"/>
  <c r="N225" i="12"/>
  <c r="L225" i="12"/>
  <c r="B225" i="12"/>
  <c r="T224" i="12"/>
  <c r="P224" i="12"/>
  <c r="X224" i="12" s="1"/>
  <c r="Z224" i="12" s="1"/>
  <c r="L224" i="12"/>
  <c r="N224" i="12" s="1"/>
  <c r="H224" i="12"/>
  <c r="D224" i="12"/>
  <c r="B224" i="12"/>
  <c r="X223" i="12"/>
  <c r="Z223" i="12" s="1"/>
  <c r="L223" i="12"/>
  <c r="N223" i="12" s="1"/>
  <c r="B223" i="12"/>
  <c r="Z222" i="12"/>
  <c r="X222" i="12"/>
  <c r="L222" i="12"/>
  <c r="N222" i="12" s="1"/>
  <c r="B222" i="12"/>
  <c r="Z221" i="12"/>
  <c r="X221" i="12"/>
  <c r="N221" i="12"/>
  <c r="L221" i="12"/>
  <c r="B221" i="12"/>
  <c r="Z220" i="12"/>
  <c r="X220" i="12"/>
  <c r="L220" i="12"/>
  <c r="N220" i="12" s="1"/>
  <c r="B220" i="12"/>
  <c r="T219" i="12"/>
  <c r="P219" i="12"/>
  <c r="X219" i="12" s="1"/>
  <c r="H219" i="12"/>
  <c r="D219" i="12"/>
  <c r="L219" i="12" s="1"/>
  <c r="N219" i="12" s="1"/>
  <c r="B219" i="12"/>
  <c r="X218" i="12"/>
  <c r="Z218" i="12" s="1"/>
  <c r="L218" i="12"/>
  <c r="N218" i="12" s="1"/>
  <c r="B218" i="12"/>
  <c r="X217" i="12"/>
  <c r="T217" i="12"/>
  <c r="Z217" i="12" s="1"/>
  <c r="P217" i="12"/>
  <c r="L217" i="12"/>
  <c r="N217" i="12" s="1"/>
  <c r="H217" i="12"/>
  <c r="D217" i="12"/>
  <c r="B217" i="12"/>
  <c r="Z216" i="12"/>
  <c r="X216" i="12"/>
  <c r="N216" i="12"/>
  <c r="L216" i="12"/>
  <c r="B216" i="12"/>
  <c r="T215" i="12"/>
  <c r="P215" i="12"/>
  <c r="H215" i="12"/>
  <c r="N215" i="12" s="1"/>
  <c r="D215" i="12"/>
  <c r="B215" i="12"/>
  <c r="Z214" i="12"/>
  <c r="X214" i="12"/>
  <c r="L214" i="12"/>
  <c r="N214" i="12" s="1"/>
  <c r="B214" i="12"/>
  <c r="T213" i="12"/>
  <c r="P213" i="12"/>
  <c r="X213" i="12" s="1"/>
  <c r="Z213" i="12" s="1"/>
  <c r="H213" i="12"/>
  <c r="N213" i="12" s="1"/>
  <c r="D213" i="12"/>
  <c r="L213" i="12" s="1"/>
  <c r="B213" i="12"/>
  <c r="X212" i="12"/>
  <c r="Z212" i="12" s="1"/>
  <c r="N212" i="12"/>
  <c r="L212" i="12"/>
  <c r="B212" i="12"/>
  <c r="X211" i="12"/>
  <c r="Z211" i="12" s="1"/>
  <c r="T211" i="12"/>
  <c r="P211" i="12"/>
  <c r="L211" i="12"/>
  <c r="H211" i="12"/>
  <c r="N211" i="12" s="1"/>
  <c r="D211" i="12"/>
  <c r="B211" i="12"/>
  <c r="X210" i="12"/>
  <c r="Z210" i="12" s="1"/>
  <c r="N210" i="12"/>
  <c r="L210" i="12"/>
  <c r="B210" i="12"/>
  <c r="T209" i="12"/>
  <c r="P209" i="12"/>
  <c r="H209" i="12"/>
  <c r="D209" i="12"/>
  <c r="B209" i="12"/>
  <c r="Z208" i="12"/>
  <c r="X208" i="12"/>
  <c r="L208" i="12"/>
  <c r="N208" i="12" s="1"/>
  <c r="B208" i="12"/>
  <c r="T207" i="12"/>
  <c r="Z207" i="12" s="1"/>
  <c r="P207" i="12"/>
  <c r="X207" i="12" s="1"/>
  <c r="H207" i="12"/>
  <c r="D207" i="12"/>
  <c r="L207" i="12" s="1"/>
  <c r="N207" i="12" s="1"/>
  <c r="B207" i="12"/>
  <c r="X206" i="12"/>
  <c r="Z206" i="12" s="1"/>
  <c r="L206" i="12"/>
  <c r="N206" i="12" s="1"/>
  <c r="B206" i="12"/>
  <c r="X205" i="12"/>
  <c r="Z205" i="12" s="1"/>
  <c r="N205" i="12"/>
  <c r="L205" i="12"/>
  <c r="B205" i="12"/>
  <c r="X204" i="12"/>
  <c r="Z204" i="12" s="1"/>
  <c r="T204" i="12"/>
  <c r="P204" i="12"/>
  <c r="H204" i="12"/>
  <c r="D204" i="12"/>
  <c r="L204" i="12" s="1"/>
  <c r="N204" i="12" s="1"/>
  <c r="B204" i="12"/>
  <c r="Z203" i="12"/>
  <c r="X203" i="12"/>
  <c r="L203" i="12"/>
  <c r="N203" i="12" s="1"/>
  <c r="B203" i="12"/>
  <c r="X202" i="12"/>
  <c r="Z202" i="12" s="1"/>
  <c r="T202" i="12"/>
  <c r="P202" i="12"/>
  <c r="N202" i="12"/>
  <c r="H202" i="12"/>
  <c r="D202" i="12"/>
  <c r="L202" i="12" s="1"/>
  <c r="B202" i="12"/>
  <c r="Z201" i="12"/>
  <c r="X201" i="12"/>
  <c r="L201" i="12"/>
  <c r="N201" i="12" s="1"/>
  <c r="B201" i="12"/>
  <c r="T200" i="12"/>
  <c r="P200" i="12"/>
  <c r="H200" i="12"/>
  <c r="D200" i="12"/>
  <c r="L200" i="12" s="1"/>
  <c r="N200" i="12" s="1"/>
  <c r="B200" i="12"/>
  <c r="X199" i="12"/>
  <c r="Z199" i="12" s="1"/>
  <c r="N199" i="12"/>
  <c r="L199" i="12"/>
  <c r="F199" i="12"/>
  <c r="B199" i="12"/>
  <c r="T198" i="12"/>
  <c r="Z198" i="12" s="1"/>
  <c r="P198" i="12"/>
  <c r="X198" i="12" s="1"/>
  <c r="L198" i="12"/>
  <c r="H198" i="12"/>
  <c r="N198" i="12" s="1"/>
  <c r="D198" i="12"/>
  <c r="B198" i="12"/>
  <c r="Z197" i="12"/>
  <c r="X197" i="12"/>
  <c r="N197" i="12"/>
  <c r="L197" i="12"/>
  <c r="B197" i="12"/>
  <c r="Z196" i="12"/>
  <c r="X196" i="12"/>
  <c r="N196" i="12"/>
  <c r="L196" i="12"/>
  <c r="B196" i="12"/>
  <c r="T195" i="12"/>
  <c r="P195" i="12"/>
  <c r="H195" i="12"/>
  <c r="D195" i="12"/>
  <c r="B195" i="12"/>
  <c r="Z194" i="12"/>
  <c r="X194" i="12"/>
  <c r="L194" i="12"/>
  <c r="N194" i="12" s="1"/>
  <c r="B194" i="12"/>
  <c r="Z193" i="12"/>
  <c r="X193" i="12"/>
  <c r="L193" i="12"/>
  <c r="N193" i="12" s="1"/>
  <c r="B193" i="12"/>
  <c r="T192" i="12"/>
  <c r="P192" i="12"/>
  <c r="X192" i="12" s="1"/>
  <c r="H192" i="12"/>
  <c r="D192" i="12"/>
  <c r="L192" i="12" s="1"/>
  <c r="N192" i="12" s="1"/>
  <c r="B192" i="12"/>
  <c r="X191" i="12"/>
  <c r="Z191" i="12" s="1"/>
  <c r="N191" i="12"/>
  <c r="L191" i="12"/>
  <c r="B191" i="12"/>
  <c r="T190" i="12"/>
  <c r="P190" i="12"/>
  <c r="X190" i="12" s="1"/>
  <c r="L190" i="12"/>
  <c r="H190" i="12"/>
  <c r="N190" i="12" s="1"/>
  <c r="D190" i="12"/>
  <c r="B190" i="12"/>
  <c r="Z189" i="12"/>
  <c r="X189" i="12"/>
  <c r="N189" i="12"/>
  <c r="L189" i="12"/>
  <c r="B189" i="12"/>
  <c r="Z188" i="12"/>
  <c r="X188" i="12"/>
  <c r="N188" i="12"/>
  <c r="L188" i="12"/>
  <c r="B188" i="12"/>
  <c r="T187" i="12"/>
  <c r="P187" i="12"/>
  <c r="H187" i="12"/>
  <c r="D187" i="12"/>
  <c r="B187" i="12"/>
  <c r="Z186" i="12"/>
  <c r="X186" i="12"/>
  <c r="L186" i="12"/>
  <c r="N186" i="12" s="1"/>
  <c r="B186" i="12"/>
  <c r="T185" i="12"/>
  <c r="P185" i="12"/>
  <c r="X185" i="12" s="1"/>
  <c r="Z185" i="12" s="1"/>
  <c r="H185" i="12"/>
  <c r="N185" i="12" s="1"/>
  <c r="D185" i="12"/>
  <c r="L185" i="12" s="1"/>
  <c r="B185" i="12"/>
  <c r="X184" i="12"/>
  <c r="Z184" i="12" s="1"/>
  <c r="N184" i="12"/>
  <c r="L184" i="12"/>
  <c r="B184" i="12"/>
  <c r="X183" i="12"/>
  <c r="Z183" i="12" s="1"/>
  <c r="N183" i="12"/>
  <c r="L183" i="12"/>
  <c r="B183" i="12"/>
  <c r="X182" i="12"/>
  <c r="Z182" i="12" s="1"/>
  <c r="L182" i="12"/>
  <c r="N182" i="12" s="1"/>
  <c r="B182" i="12"/>
  <c r="X181" i="12"/>
  <c r="Z181" i="12" s="1"/>
  <c r="N181" i="12"/>
  <c r="L181" i="12"/>
  <c r="B181" i="12"/>
  <c r="X180" i="12"/>
  <c r="Z180" i="12" s="1"/>
  <c r="N180" i="12"/>
  <c r="L180" i="12"/>
  <c r="B180" i="12"/>
  <c r="X179" i="12"/>
  <c r="Z179" i="12" s="1"/>
  <c r="N179" i="12"/>
  <c r="L179" i="12"/>
  <c r="B179" i="12"/>
  <c r="X178" i="12"/>
  <c r="Z178" i="12" s="1"/>
  <c r="L178" i="12"/>
  <c r="N178" i="12" s="1"/>
  <c r="B178" i="12"/>
  <c r="X177" i="12"/>
  <c r="T177" i="12"/>
  <c r="Z177" i="12" s="1"/>
  <c r="P177" i="12"/>
  <c r="L177" i="12"/>
  <c r="N177" i="12" s="1"/>
  <c r="H177" i="12"/>
  <c r="D177" i="12"/>
  <c r="B177" i="12"/>
  <c r="Z176" i="12"/>
  <c r="X176" i="12"/>
  <c r="N176" i="12"/>
  <c r="L176" i="12"/>
  <c r="B176" i="12"/>
  <c r="X175" i="12"/>
  <c r="Z175" i="12" s="1"/>
  <c r="L175" i="12"/>
  <c r="N175" i="12" s="1"/>
  <c r="B175" i="12"/>
  <c r="X174" i="12"/>
  <c r="Z174" i="12" s="1"/>
  <c r="N174" i="12"/>
  <c r="L174" i="12"/>
  <c r="B174" i="12"/>
  <c r="Z173" i="12"/>
  <c r="X173" i="12"/>
  <c r="N173" i="12"/>
  <c r="L173" i="12"/>
  <c r="B173" i="12"/>
  <c r="Z172" i="12"/>
  <c r="X172" i="12"/>
  <c r="N172" i="12"/>
  <c r="L172" i="12"/>
  <c r="F172" i="12"/>
  <c r="B172" i="12"/>
  <c r="X171" i="12"/>
  <c r="Z171" i="12" s="1"/>
  <c r="L171" i="12"/>
  <c r="N171" i="12" s="1"/>
  <c r="B171" i="12"/>
  <c r="X170" i="12"/>
  <c r="Z170" i="12" s="1"/>
  <c r="N170" i="12"/>
  <c r="L170" i="12"/>
  <c r="B170" i="12"/>
  <c r="Z169" i="12"/>
  <c r="X169" i="12"/>
  <c r="N169" i="12"/>
  <c r="L169" i="12"/>
  <c r="B169" i="12"/>
  <c r="Z168" i="12"/>
  <c r="X168" i="12"/>
  <c r="N168" i="12"/>
  <c r="L168" i="12"/>
  <c r="B168" i="12"/>
  <c r="X167" i="12"/>
  <c r="Z167" i="12" s="1"/>
  <c r="L167" i="12"/>
  <c r="N167" i="12" s="1"/>
  <c r="B167" i="12"/>
  <c r="X166" i="12"/>
  <c r="Z166" i="12" s="1"/>
  <c r="T166" i="12"/>
  <c r="P166" i="12"/>
  <c r="H166" i="12"/>
  <c r="D166" i="12"/>
  <c r="L166" i="12" s="1"/>
  <c r="N166" i="12" s="1"/>
  <c r="B166" i="12"/>
  <c r="T165" i="12"/>
  <c r="P165" i="12"/>
  <c r="X165" i="12" s="1"/>
  <c r="Z165" i="12" s="1"/>
  <c r="H165" i="12"/>
  <c r="D165" i="12"/>
  <c r="L165" i="12" s="1"/>
  <c r="Z161" i="12"/>
  <c r="X161" i="12"/>
  <c r="L161" i="12"/>
  <c r="N161" i="12" s="1"/>
  <c r="B161" i="12"/>
  <c r="Z160" i="12"/>
  <c r="X160" i="12"/>
  <c r="L160" i="12"/>
  <c r="N160" i="12" s="1"/>
  <c r="B160" i="12"/>
  <c r="X159" i="12"/>
  <c r="Z159" i="12" s="1"/>
  <c r="L159" i="12"/>
  <c r="N159" i="12" s="1"/>
  <c r="B159" i="12"/>
  <c r="Z158" i="12"/>
  <c r="X158" i="12"/>
  <c r="L158" i="12"/>
  <c r="N158" i="12" s="1"/>
  <c r="B158" i="12"/>
  <c r="Z157" i="12"/>
  <c r="X157" i="12"/>
  <c r="L157" i="12"/>
  <c r="N157" i="12" s="1"/>
  <c r="B157" i="12"/>
  <c r="Z156" i="12"/>
  <c r="X156" i="12"/>
  <c r="L156" i="12"/>
  <c r="N156" i="12" s="1"/>
  <c r="B156" i="12"/>
  <c r="X155" i="12"/>
  <c r="Z155" i="12" s="1"/>
  <c r="L155" i="12"/>
  <c r="N155" i="12" s="1"/>
  <c r="B155" i="12"/>
  <c r="Z154" i="12"/>
  <c r="X154" i="12"/>
  <c r="L154" i="12"/>
  <c r="N154" i="12" s="1"/>
  <c r="B154" i="12"/>
  <c r="Z153" i="12"/>
  <c r="X153" i="12"/>
  <c r="L153" i="12"/>
  <c r="N153" i="12" s="1"/>
  <c r="B153" i="12"/>
  <c r="Z152" i="12"/>
  <c r="X152" i="12"/>
  <c r="L152" i="12"/>
  <c r="N152" i="12" s="1"/>
  <c r="B152" i="12"/>
  <c r="X151" i="12"/>
  <c r="Z151" i="12" s="1"/>
  <c r="L151" i="12"/>
  <c r="N151" i="12" s="1"/>
  <c r="B151" i="12"/>
  <c r="Z150" i="12"/>
  <c r="X150" i="12"/>
  <c r="L150" i="12"/>
  <c r="N150" i="12" s="1"/>
  <c r="B150" i="12"/>
  <c r="Z149" i="12"/>
  <c r="X149" i="12"/>
  <c r="L149" i="12"/>
  <c r="N149" i="12" s="1"/>
  <c r="B149" i="12"/>
  <c r="Z148" i="12"/>
  <c r="X148" i="12"/>
  <c r="L148" i="12"/>
  <c r="N148" i="12" s="1"/>
  <c r="B148" i="12"/>
  <c r="X147" i="12"/>
  <c r="Z147" i="12" s="1"/>
  <c r="L147" i="12"/>
  <c r="N147" i="12" s="1"/>
  <c r="B147" i="12"/>
  <c r="Z146" i="12"/>
  <c r="X146" i="12"/>
  <c r="L146" i="12"/>
  <c r="N146" i="12" s="1"/>
  <c r="B146" i="12"/>
  <c r="Z145" i="12"/>
  <c r="X145" i="12"/>
  <c r="N145" i="12"/>
  <c r="L145" i="12"/>
  <c r="B145" i="12"/>
  <c r="Z144" i="12"/>
  <c r="X144" i="12"/>
  <c r="L144" i="12"/>
  <c r="N144" i="12" s="1"/>
  <c r="B144" i="12"/>
  <c r="X143" i="12"/>
  <c r="Z143" i="12" s="1"/>
  <c r="L143" i="12"/>
  <c r="N143" i="12" s="1"/>
  <c r="B143" i="12"/>
  <c r="Z142" i="12"/>
  <c r="X142" i="12"/>
  <c r="N142" i="12"/>
  <c r="L142" i="12"/>
  <c r="B142" i="12"/>
  <c r="Z141" i="12"/>
  <c r="X141" i="12"/>
  <c r="L141" i="12"/>
  <c r="N141" i="12" s="1"/>
  <c r="B141" i="12"/>
  <c r="Z140" i="12"/>
  <c r="X140" i="12"/>
  <c r="L140" i="12"/>
  <c r="N140" i="12" s="1"/>
  <c r="B140" i="12"/>
  <c r="X139" i="12"/>
  <c r="Z139" i="12" s="1"/>
  <c r="N139" i="12"/>
  <c r="L139" i="12"/>
  <c r="B139" i="12"/>
  <c r="Z138" i="12"/>
  <c r="X138" i="12"/>
  <c r="L138" i="12"/>
  <c r="N138" i="12" s="1"/>
  <c r="B138" i="12"/>
  <c r="Z137" i="12"/>
  <c r="X137" i="12"/>
  <c r="L137" i="12"/>
  <c r="N137" i="12" s="1"/>
  <c r="B137" i="12"/>
  <c r="Z136" i="12"/>
  <c r="X136" i="12"/>
  <c r="L136" i="12"/>
  <c r="N136" i="12" s="1"/>
  <c r="B136" i="12"/>
  <c r="X135" i="12"/>
  <c r="Z135" i="12" s="1"/>
  <c r="L135" i="12"/>
  <c r="N135" i="12" s="1"/>
  <c r="B135" i="12"/>
  <c r="Z134" i="12"/>
  <c r="X134" i="12"/>
  <c r="L134" i="12"/>
  <c r="N134" i="12" s="1"/>
  <c r="B134" i="12"/>
  <c r="Z133" i="12"/>
  <c r="X133" i="12"/>
  <c r="L133" i="12"/>
  <c r="N133" i="12" s="1"/>
  <c r="B133" i="12"/>
  <c r="Z132" i="12"/>
  <c r="X132" i="12"/>
  <c r="L132" i="12"/>
  <c r="N132" i="12" s="1"/>
  <c r="B132" i="12"/>
  <c r="X131" i="12"/>
  <c r="Z131" i="12" s="1"/>
  <c r="L131" i="12"/>
  <c r="N131" i="12" s="1"/>
  <c r="B131" i="12"/>
  <c r="Z130" i="12"/>
  <c r="X130" i="12"/>
  <c r="L130" i="12"/>
  <c r="N130" i="12" s="1"/>
  <c r="B130" i="12"/>
  <c r="Z129" i="12"/>
  <c r="X129" i="12"/>
  <c r="L129" i="12"/>
  <c r="N129" i="12" s="1"/>
  <c r="B129" i="12"/>
  <c r="Z128" i="12"/>
  <c r="X128" i="12"/>
  <c r="L128" i="12"/>
  <c r="N128" i="12" s="1"/>
  <c r="B128" i="12"/>
  <c r="X127" i="12"/>
  <c r="Z127" i="12" s="1"/>
  <c r="L127" i="12"/>
  <c r="N127" i="12" s="1"/>
  <c r="B127" i="12"/>
  <c r="Z126" i="12"/>
  <c r="X126" i="12"/>
  <c r="L126" i="12"/>
  <c r="N126" i="12" s="1"/>
  <c r="B126" i="12"/>
  <c r="Z125" i="12"/>
  <c r="X125" i="12"/>
  <c r="L125" i="12"/>
  <c r="N125" i="12" s="1"/>
  <c r="B125" i="12"/>
  <c r="Z124" i="12"/>
  <c r="X124" i="12"/>
  <c r="L124" i="12"/>
  <c r="N124" i="12" s="1"/>
  <c r="B124" i="12"/>
  <c r="X123" i="12"/>
  <c r="Z123" i="12" s="1"/>
  <c r="L123" i="12"/>
  <c r="N123" i="12" s="1"/>
  <c r="B123" i="12"/>
  <c r="Z122" i="12"/>
  <c r="X122" i="12"/>
  <c r="L122" i="12"/>
  <c r="N122" i="12" s="1"/>
  <c r="B122" i="12"/>
  <c r="Z121" i="12"/>
  <c r="X121" i="12"/>
  <c r="L121" i="12"/>
  <c r="N121" i="12" s="1"/>
  <c r="B121" i="12"/>
  <c r="Z120" i="12"/>
  <c r="X120" i="12"/>
  <c r="L120" i="12"/>
  <c r="N120" i="12" s="1"/>
  <c r="B120" i="12"/>
  <c r="X119" i="12"/>
  <c r="Z119" i="12" s="1"/>
  <c r="L119" i="12"/>
  <c r="N119" i="12" s="1"/>
  <c r="B119" i="12"/>
  <c r="Z118" i="12"/>
  <c r="X118" i="12"/>
  <c r="N118" i="12"/>
  <c r="L118" i="12"/>
  <c r="B118" i="12"/>
  <c r="Z117" i="12"/>
  <c r="X117" i="12"/>
  <c r="N117" i="12"/>
  <c r="L117" i="12"/>
  <c r="B117" i="12"/>
  <c r="Z116" i="12"/>
  <c r="X116" i="12"/>
  <c r="L116" i="12"/>
  <c r="N116" i="12" s="1"/>
  <c r="B116" i="12"/>
  <c r="X115" i="12"/>
  <c r="Z115" i="12" s="1"/>
  <c r="L115" i="12"/>
  <c r="N115" i="12" s="1"/>
  <c r="B115" i="12"/>
  <c r="Z114" i="12"/>
  <c r="X114" i="12"/>
  <c r="L114" i="12"/>
  <c r="N114" i="12" s="1"/>
  <c r="B114" i="12"/>
  <c r="Z113" i="12"/>
  <c r="X113" i="12"/>
  <c r="L113" i="12"/>
  <c r="N113" i="12" s="1"/>
  <c r="B113" i="12"/>
  <c r="Z112" i="12"/>
  <c r="X112" i="12"/>
  <c r="N112" i="12"/>
  <c r="L112" i="12"/>
  <c r="B112" i="12"/>
  <c r="X111" i="12"/>
  <c r="Z111" i="12" s="1"/>
  <c r="L111" i="12"/>
  <c r="N111" i="12" s="1"/>
  <c r="B111" i="12"/>
  <c r="Z110" i="12"/>
  <c r="X110" i="12"/>
  <c r="L110" i="12"/>
  <c r="N110" i="12" s="1"/>
  <c r="B110" i="12"/>
  <c r="T109" i="12"/>
  <c r="Z109" i="12" s="1"/>
  <c r="P109" i="12"/>
  <c r="X109" i="12" s="1"/>
  <c r="H109" i="12"/>
  <c r="D109" i="12"/>
  <c r="L109" i="12" s="1"/>
  <c r="T107" i="12"/>
  <c r="Z107" i="12" s="1"/>
  <c r="P107" i="12"/>
  <c r="X107" i="12" s="1"/>
  <c r="N107" i="12"/>
  <c r="L107" i="12"/>
  <c r="H107" i="12"/>
  <c r="D107" i="12"/>
  <c r="B107" i="12"/>
  <c r="T106" i="12"/>
  <c r="P106" i="12"/>
  <c r="X106" i="12" s="1"/>
  <c r="H106" i="12"/>
  <c r="D106" i="12"/>
  <c r="B106" i="12"/>
  <c r="T105" i="12"/>
  <c r="P105" i="12"/>
  <c r="X105" i="12" s="1"/>
  <c r="L105" i="12"/>
  <c r="H105" i="12"/>
  <c r="N105" i="12" s="1"/>
  <c r="D105" i="12"/>
  <c r="B105" i="12"/>
  <c r="T104" i="12"/>
  <c r="X104" i="12" s="1"/>
  <c r="P104" i="12"/>
  <c r="L104" i="12"/>
  <c r="H104" i="12"/>
  <c r="D104" i="12"/>
  <c r="B104" i="12"/>
  <c r="T103" i="12"/>
  <c r="P103" i="12"/>
  <c r="N103" i="12"/>
  <c r="L103" i="12"/>
  <c r="H103" i="12"/>
  <c r="D103" i="12"/>
  <c r="B103" i="12"/>
  <c r="T102" i="12"/>
  <c r="P102" i="12"/>
  <c r="H102" i="12"/>
  <c r="N102" i="12" s="1"/>
  <c r="D102" i="12"/>
  <c r="B102" i="12"/>
  <c r="T101" i="12"/>
  <c r="P101" i="12"/>
  <c r="X101" i="12" s="1"/>
  <c r="H101" i="12"/>
  <c r="D101" i="12"/>
  <c r="B101" i="12"/>
  <c r="Z100" i="12"/>
  <c r="T100" i="12"/>
  <c r="X100" i="12" s="1"/>
  <c r="P100" i="12"/>
  <c r="L100" i="12"/>
  <c r="H100" i="12"/>
  <c r="N100" i="12" s="1"/>
  <c r="D100" i="12"/>
  <c r="B100" i="12"/>
  <c r="T99" i="12"/>
  <c r="P99" i="12"/>
  <c r="X99" i="12" s="1"/>
  <c r="Z99" i="12" s="1"/>
  <c r="N99" i="12"/>
  <c r="L99" i="12"/>
  <c r="H99" i="12"/>
  <c r="D99" i="12"/>
  <c r="B99" i="12"/>
  <c r="T98" i="12"/>
  <c r="P98" i="12"/>
  <c r="X98" i="12" s="1"/>
  <c r="L98" i="12"/>
  <c r="H98" i="12"/>
  <c r="N98" i="12" s="1"/>
  <c r="D98" i="12"/>
  <c r="B98" i="12"/>
  <c r="T97" i="12"/>
  <c r="P97" i="12"/>
  <c r="X97" i="12" s="1"/>
  <c r="H97" i="12"/>
  <c r="D97" i="12"/>
  <c r="B97" i="12"/>
  <c r="T96" i="12"/>
  <c r="Z96" i="12" s="1"/>
  <c r="P96" i="12"/>
  <c r="X96" i="12" s="1"/>
  <c r="L96" i="12"/>
  <c r="H96" i="12"/>
  <c r="N96" i="12" s="1"/>
  <c r="D96" i="12"/>
  <c r="B96" i="12"/>
  <c r="T95" i="12"/>
  <c r="P95" i="12"/>
  <c r="X95" i="12" s="1"/>
  <c r="Z95" i="12" s="1"/>
  <c r="L95" i="12"/>
  <c r="H95" i="12"/>
  <c r="N95" i="12" s="1"/>
  <c r="D95" i="12"/>
  <c r="B95" i="12"/>
  <c r="T94" i="12"/>
  <c r="P94" i="12"/>
  <c r="L94" i="12"/>
  <c r="H94" i="12"/>
  <c r="N94" i="12" s="1"/>
  <c r="D94" i="12"/>
  <c r="B94" i="12"/>
  <c r="T93" i="12"/>
  <c r="P93" i="12"/>
  <c r="X93" i="12" s="1"/>
  <c r="H93" i="12"/>
  <c r="L93" i="12" s="1"/>
  <c r="D93" i="12"/>
  <c r="B93" i="12"/>
  <c r="Z92" i="12"/>
  <c r="T92" i="12"/>
  <c r="P92" i="12"/>
  <c r="X92" i="12" s="1"/>
  <c r="H92" i="12"/>
  <c r="D92" i="12"/>
  <c r="B92" i="12"/>
  <c r="Z91" i="12"/>
  <c r="T91" i="12"/>
  <c r="P91" i="12"/>
  <c r="X91" i="12" s="1"/>
  <c r="L91" i="12"/>
  <c r="H91" i="12"/>
  <c r="N91" i="12" s="1"/>
  <c r="D91" i="12"/>
  <c r="B91" i="12"/>
  <c r="T90" i="12"/>
  <c r="P90" i="12"/>
  <c r="X90" i="12" s="1"/>
  <c r="Z90" i="12" s="1"/>
  <c r="L90" i="12"/>
  <c r="H90" i="12"/>
  <c r="D90" i="12"/>
  <c r="B90" i="12"/>
  <c r="T89" i="12"/>
  <c r="P89" i="12"/>
  <c r="X89" i="12" s="1"/>
  <c r="H89" i="12"/>
  <c r="D89" i="12"/>
  <c r="B89" i="12"/>
  <c r="T88" i="12"/>
  <c r="Z88" i="12" s="1"/>
  <c r="P88" i="12"/>
  <c r="X88" i="12" s="1"/>
  <c r="H88" i="12"/>
  <c r="D88" i="12"/>
  <c r="B88" i="12"/>
  <c r="T87" i="12"/>
  <c r="Z87" i="12" s="1"/>
  <c r="P87" i="12"/>
  <c r="X87" i="12" s="1"/>
  <c r="L87" i="12"/>
  <c r="H87" i="12"/>
  <c r="N87" i="12" s="1"/>
  <c r="D87" i="12"/>
  <c r="B87" i="12"/>
  <c r="T86" i="12"/>
  <c r="P86" i="12"/>
  <c r="X86" i="12" s="1"/>
  <c r="Z86" i="12" s="1"/>
  <c r="H86" i="12"/>
  <c r="L86" i="12" s="1"/>
  <c r="D86" i="12"/>
  <c r="B86" i="12"/>
  <c r="T85" i="12"/>
  <c r="P85" i="12"/>
  <c r="L85" i="12"/>
  <c r="H85" i="12"/>
  <c r="D85" i="12"/>
  <c r="B85" i="12"/>
  <c r="T84" i="12"/>
  <c r="P84" i="12"/>
  <c r="L84" i="12"/>
  <c r="H84" i="12"/>
  <c r="D84" i="12"/>
  <c r="B84" i="12"/>
  <c r="T83" i="12"/>
  <c r="P83" i="12"/>
  <c r="L83" i="12"/>
  <c r="H83" i="12"/>
  <c r="N83" i="12" s="1"/>
  <c r="D83" i="12"/>
  <c r="B83" i="12"/>
  <c r="T82" i="12"/>
  <c r="P82" i="12"/>
  <c r="H82" i="12"/>
  <c r="N82" i="12" s="1"/>
  <c r="D82" i="12"/>
  <c r="B82" i="12"/>
  <c r="T81" i="12"/>
  <c r="P81" i="12"/>
  <c r="X81" i="12" s="1"/>
  <c r="L81" i="12"/>
  <c r="H81" i="12"/>
  <c r="D81" i="12"/>
  <c r="B81" i="12"/>
  <c r="T80" i="12"/>
  <c r="P80" i="12"/>
  <c r="X80" i="12" s="1"/>
  <c r="Z80" i="12" s="1"/>
  <c r="L80" i="12"/>
  <c r="H80" i="12"/>
  <c r="D80" i="12"/>
  <c r="B80" i="12"/>
  <c r="T79" i="12"/>
  <c r="P79" i="12"/>
  <c r="N79" i="12"/>
  <c r="L79" i="12"/>
  <c r="H79" i="12"/>
  <c r="D79" i="12"/>
  <c r="B79" i="12"/>
  <c r="Z78" i="12"/>
  <c r="T78" i="12"/>
  <c r="P78" i="12"/>
  <c r="X78" i="12" s="1"/>
  <c r="H78" i="12"/>
  <c r="D78" i="12"/>
  <c r="B78" i="12"/>
  <c r="T77" i="12"/>
  <c r="P77" i="12"/>
  <c r="L77" i="12"/>
  <c r="H77" i="12"/>
  <c r="D77" i="12"/>
  <c r="B77" i="12"/>
  <c r="T76" i="12"/>
  <c r="P76" i="12"/>
  <c r="H76" i="12"/>
  <c r="N76" i="12" s="1"/>
  <c r="D76" i="12"/>
  <c r="B76" i="12"/>
  <c r="T75" i="12"/>
  <c r="P75" i="12"/>
  <c r="L75" i="12"/>
  <c r="H75" i="12"/>
  <c r="N75" i="12" s="1"/>
  <c r="D75" i="12"/>
  <c r="B75" i="12"/>
  <c r="T74" i="12"/>
  <c r="Z74" i="12" s="1"/>
  <c r="P74" i="12"/>
  <c r="X74" i="12" s="1"/>
  <c r="H74" i="12"/>
  <c r="D74" i="12"/>
  <c r="B74" i="12"/>
  <c r="T73" i="12"/>
  <c r="P73" i="12"/>
  <c r="X73" i="12" s="1"/>
  <c r="L73" i="12"/>
  <c r="H73" i="12"/>
  <c r="D73" i="12"/>
  <c r="B73" i="12"/>
  <c r="T72" i="12"/>
  <c r="P72" i="12"/>
  <c r="L72" i="12"/>
  <c r="H72" i="12"/>
  <c r="D72" i="12"/>
  <c r="B72" i="12"/>
  <c r="T71" i="12"/>
  <c r="P71" i="12"/>
  <c r="L71" i="12"/>
  <c r="H71" i="12"/>
  <c r="D71" i="12"/>
  <c r="B71" i="12"/>
  <c r="T70" i="12"/>
  <c r="P70" i="12"/>
  <c r="L70" i="12"/>
  <c r="H70" i="12"/>
  <c r="D70" i="12"/>
  <c r="B70" i="12"/>
  <c r="T69" i="12"/>
  <c r="Z69" i="12" s="1"/>
  <c r="P69" i="12"/>
  <c r="X69" i="12" s="1"/>
  <c r="H69" i="12"/>
  <c r="N69" i="12" s="1"/>
  <c r="D69" i="12"/>
  <c r="B69" i="12"/>
  <c r="Z68" i="12"/>
  <c r="T68" i="12"/>
  <c r="P68" i="12"/>
  <c r="X68" i="12" s="1"/>
  <c r="H68" i="12"/>
  <c r="D68" i="12"/>
  <c r="B68" i="12"/>
  <c r="T67" i="12"/>
  <c r="P67" i="12"/>
  <c r="X67" i="12" s="1"/>
  <c r="Z67" i="12" s="1"/>
  <c r="L67" i="12"/>
  <c r="H67" i="12"/>
  <c r="D67" i="12"/>
  <c r="B67" i="12"/>
  <c r="T66" i="12"/>
  <c r="P66" i="12"/>
  <c r="X66" i="12" s="1"/>
  <c r="Z66" i="12" s="1"/>
  <c r="L66" i="12"/>
  <c r="H66" i="12"/>
  <c r="D66" i="12"/>
  <c r="B66" i="12"/>
  <c r="T65" i="12"/>
  <c r="P65" i="12"/>
  <c r="X65" i="12" s="1"/>
  <c r="H65" i="12"/>
  <c r="D65" i="12"/>
  <c r="B65" i="12"/>
  <c r="T64" i="12"/>
  <c r="Z64" i="12" s="1"/>
  <c r="P64" i="12"/>
  <c r="X64" i="12" s="1"/>
  <c r="H64" i="12"/>
  <c r="D64" i="12"/>
  <c r="B64" i="12"/>
  <c r="T63" i="12"/>
  <c r="P63" i="12"/>
  <c r="X63" i="12" s="1"/>
  <c r="Z63" i="12" s="1"/>
  <c r="L63" i="12"/>
  <c r="H63" i="12"/>
  <c r="N63" i="12" s="1"/>
  <c r="D63" i="12"/>
  <c r="B63" i="12"/>
  <c r="Z62" i="12"/>
  <c r="T62" i="12"/>
  <c r="P62" i="12"/>
  <c r="X62" i="12" s="1"/>
  <c r="H62" i="12"/>
  <c r="D62" i="12"/>
  <c r="B62" i="12"/>
  <c r="T61" i="12"/>
  <c r="P61" i="12"/>
  <c r="L61" i="12"/>
  <c r="H61" i="12"/>
  <c r="D61" i="12"/>
  <c r="B61" i="12"/>
  <c r="T60" i="12"/>
  <c r="P60" i="12"/>
  <c r="H60" i="12"/>
  <c r="L60" i="12" s="1"/>
  <c r="D60" i="12"/>
  <c r="B60" i="12"/>
  <c r="T59" i="12"/>
  <c r="P59" i="12"/>
  <c r="L59" i="12"/>
  <c r="H59" i="12"/>
  <c r="N59" i="12" s="1"/>
  <c r="D59" i="12"/>
  <c r="B59" i="12"/>
  <c r="T58" i="12"/>
  <c r="Z58" i="12" s="1"/>
  <c r="P58" i="12"/>
  <c r="X58" i="12" s="1"/>
  <c r="H58" i="12"/>
  <c r="D58" i="12"/>
  <c r="B58" i="12"/>
  <c r="T57" i="12"/>
  <c r="P57" i="12"/>
  <c r="X57" i="12" s="1"/>
  <c r="L57" i="12"/>
  <c r="H57" i="12"/>
  <c r="D57" i="12"/>
  <c r="B57" i="12"/>
  <c r="T56" i="12"/>
  <c r="P56" i="12"/>
  <c r="L56" i="12"/>
  <c r="H56" i="12"/>
  <c r="N56" i="12" s="1"/>
  <c r="D56" i="12"/>
  <c r="B56" i="12"/>
  <c r="T55" i="12"/>
  <c r="P55" i="12"/>
  <c r="L55" i="12"/>
  <c r="H55" i="12"/>
  <c r="D55" i="12"/>
  <c r="B55" i="12"/>
  <c r="T54" i="12"/>
  <c r="P54" i="12"/>
  <c r="L54" i="12"/>
  <c r="H54" i="12"/>
  <c r="N54" i="12" s="1"/>
  <c r="D54" i="12"/>
  <c r="B54" i="12"/>
  <c r="T53" i="12"/>
  <c r="P53" i="12"/>
  <c r="X53" i="12" s="1"/>
  <c r="H53" i="12"/>
  <c r="D53" i="12"/>
  <c r="B53" i="12"/>
  <c r="Z52" i="12"/>
  <c r="T52" i="12"/>
  <c r="P52" i="12"/>
  <c r="X52" i="12" s="1"/>
  <c r="H52" i="12"/>
  <c r="D52" i="12"/>
  <c r="B52" i="12"/>
  <c r="T51" i="12"/>
  <c r="P51" i="12"/>
  <c r="X51" i="12" s="1"/>
  <c r="Z51" i="12" s="1"/>
  <c r="L51" i="12"/>
  <c r="H51" i="12"/>
  <c r="N51" i="12" s="1"/>
  <c r="D51" i="12"/>
  <c r="B51" i="12"/>
  <c r="T50" i="12"/>
  <c r="P50" i="12"/>
  <c r="X50" i="12" s="1"/>
  <c r="Z50" i="12" s="1"/>
  <c r="L50" i="12"/>
  <c r="H50" i="12"/>
  <c r="D50" i="12"/>
  <c r="B50" i="12"/>
  <c r="T49" i="12"/>
  <c r="P49" i="12"/>
  <c r="X49" i="12" s="1"/>
  <c r="H49" i="12"/>
  <c r="D49" i="12"/>
  <c r="B49" i="12"/>
  <c r="T48" i="12"/>
  <c r="Z48" i="12" s="1"/>
  <c r="P48" i="12"/>
  <c r="X48" i="12" s="1"/>
  <c r="H48" i="12"/>
  <c r="D48" i="12"/>
  <c r="B48" i="12"/>
  <c r="T47" i="12"/>
  <c r="P47" i="12"/>
  <c r="X47" i="12" s="1"/>
  <c r="Z47" i="12" s="1"/>
  <c r="L47" i="12"/>
  <c r="H47" i="12"/>
  <c r="N47" i="12" s="1"/>
  <c r="D47" i="12"/>
  <c r="B47" i="12"/>
  <c r="Z46" i="12"/>
  <c r="T46" i="12"/>
  <c r="P46" i="12"/>
  <c r="X46" i="12" s="1"/>
  <c r="H46" i="12"/>
  <c r="D46" i="12"/>
  <c r="B46" i="12"/>
  <c r="T45" i="12"/>
  <c r="P45" i="12"/>
  <c r="L45" i="12"/>
  <c r="H45" i="12"/>
  <c r="D45" i="12"/>
  <c r="B45" i="12"/>
  <c r="T44" i="12"/>
  <c r="P44" i="12"/>
  <c r="H44" i="12"/>
  <c r="L44" i="12" s="1"/>
  <c r="D44" i="12"/>
  <c r="B44" i="12"/>
  <c r="T43" i="12"/>
  <c r="P43" i="12"/>
  <c r="L43" i="12"/>
  <c r="H43" i="12"/>
  <c r="N43" i="12" s="1"/>
  <c r="D43" i="12"/>
  <c r="B43" i="12"/>
  <c r="T42" i="12"/>
  <c r="Z42" i="12" s="1"/>
  <c r="P42" i="12"/>
  <c r="X42" i="12" s="1"/>
  <c r="H42" i="12"/>
  <c r="D42" i="12"/>
  <c r="B42" i="12"/>
  <c r="T41" i="12"/>
  <c r="P41" i="12"/>
  <c r="X41" i="12" s="1"/>
  <c r="L41" i="12"/>
  <c r="H41" i="12"/>
  <c r="D41" i="12"/>
  <c r="B41" i="12"/>
  <c r="T40" i="12"/>
  <c r="P40" i="12"/>
  <c r="L40" i="12"/>
  <c r="H40" i="12"/>
  <c r="D40" i="12"/>
  <c r="B40" i="12"/>
  <c r="T39" i="12"/>
  <c r="P39" i="12"/>
  <c r="L39" i="12"/>
  <c r="H39" i="12"/>
  <c r="D39" i="12"/>
  <c r="B39" i="12"/>
  <c r="T38" i="12"/>
  <c r="P38" i="12"/>
  <c r="L38" i="12"/>
  <c r="H38" i="12"/>
  <c r="D38" i="12"/>
  <c r="B38" i="12"/>
  <c r="T37" i="12"/>
  <c r="P37" i="12"/>
  <c r="X37" i="12" s="1"/>
  <c r="H37" i="12"/>
  <c r="D37" i="12"/>
  <c r="B37" i="12"/>
  <c r="Z36" i="12"/>
  <c r="T36" i="12"/>
  <c r="P36" i="12"/>
  <c r="X36" i="12" s="1"/>
  <c r="H36" i="12"/>
  <c r="D36" i="12"/>
  <c r="B36" i="12"/>
  <c r="T35" i="12"/>
  <c r="P35" i="12"/>
  <c r="X35" i="12" s="1"/>
  <c r="Z35" i="12" s="1"/>
  <c r="L35" i="12"/>
  <c r="H35" i="12"/>
  <c r="D35" i="12"/>
  <c r="B35" i="12"/>
  <c r="T34" i="12"/>
  <c r="P34" i="12"/>
  <c r="X34" i="12" s="1"/>
  <c r="Z34" i="12" s="1"/>
  <c r="L34" i="12"/>
  <c r="H34" i="12"/>
  <c r="D34" i="12"/>
  <c r="B34" i="12"/>
  <c r="T33" i="12"/>
  <c r="P33" i="12"/>
  <c r="X33" i="12" s="1"/>
  <c r="H33" i="12"/>
  <c r="D33" i="12"/>
  <c r="B33" i="12"/>
  <c r="T32" i="12"/>
  <c r="Z32" i="12" s="1"/>
  <c r="P32" i="12"/>
  <c r="X32" i="12" s="1"/>
  <c r="H32" i="12"/>
  <c r="D32" i="12"/>
  <c r="B32" i="12"/>
  <c r="T31" i="12"/>
  <c r="P31" i="12"/>
  <c r="X31" i="12" s="1"/>
  <c r="Z31" i="12" s="1"/>
  <c r="L31" i="12"/>
  <c r="H31" i="12"/>
  <c r="N31" i="12" s="1"/>
  <c r="D31" i="12"/>
  <c r="B31" i="12"/>
  <c r="Z30" i="12"/>
  <c r="T30" i="12"/>
  <c r="P30" i="12"/>
  <c r="X30" i="12" s="1"/>
  <c r="H30" i="12"/>
  <c r="D30" i="12"/>
  <c r="B30" i="12"/>
  <c r="T29" i="12"/>
  <c r="P29" i="12"/>
  <c r="L29" i="12"/>
  <c r="H29" i="12"/>
  <c r="D29" i="12"/>
  <c r="B29" i="12"/>
  <c r="T28" i="12"/>
  <c r="P28" i="12"/>
  <c r="H28" i="12"/>
  <c r="L28" i="12" s="1"/>
  <c r="D28" i="12"/>
  <c r="B28" i="12"/>
  <c r="T27" i="12"/>
  <c r="P27" i="12"/>
  <c r="L27" i="12"/>
  <c r="H27" i="12"/>
  <c r="N27" i="12" s="1"/>
  <c r="D27" i="12"/>
  <c r="B27" i="12"/>
  <c r="T26" i="12"/>
  <c r="Z26" i="12" s="1"/>
  <c r="P26" i="12"/>
  <c r="X26" i="12" s="1"/>
  <c r="H26" i="12"/>
  <c r="D26" i="12"/>
  <c r="B26" i="12"/>
  <c r="T25" i="12"/>
  <c r="P25" i="12"/>
  <c r="X25" i="12" s="1"/>
  <c r="L25" i="12"/>
  <c r="H25" i="12"/>
  <c r="D25" i="12"/>
  <c r="B25" i="12"/>
  <c r="T24" i="12"/>
  <c r="P24" i="12"/>
  <c r="L24" i="12"/>
  <c r="H24" i="12"/>
  <c r="D24" i="12"/>
  <c r="B24" i="12"/>
  <c r="T23" i="12"/>
  <c r="P23" i="12"/>
  <c r="L23" i="12"/>
  <c r="H23" i="12"/>
  <c r="D23" i="12"/>
  <c r="B23" i="12"/>
  <c r="T22" i="12"/>
  <c r="P22" i="12"/>
  <c r="L22" i="12"/>
  <c r="H22" i="12"/>
  <c r="D22" i="12"/>
  <c r="B22" i="12"/>
  <c r="T21" i="12"/>
  <c r="P21" i="12"/>
  <c r="X21" i="12" s="1"/>
  <c r="H21" i="12"/>
  <c r="D21" i="12"/>
  <c r="B21" i="12"/>
  <c r="Z20" i="12"/>
  <c r="T20" i="12"/>
  <c r="P20" i="12"/>
  <c r="X20" i="12" s="1"/>
  <c r="H20" i="12"/>
  <c r="D20" i="12"/>
  <c r="B20" i="12"/>
  <c r="T19" i="12"/>
  <c r="P19" i="12"/>
  <c r="X19" i="12" s="1"/>
  <c r="Z19" i="12" s="1"/>
  <c r="L19" i="12"/>
  <c r="H19" i="12"/>
  <c r="D19" i="12"/>
  <c r="B19" i="12"/>
  <c r="T18" i="12"/>
  <c r="P18" i="12"/>
  <c r="X18" i="12" s="1"/>
  <c r="Z18" i="12" s="1"/>
  <c r="L18" i="12"/>
  <c r="H18" i="12"/>
  <c r="N18" i="12" s="1"/>
  <c r="D18" i="12"/>
  <c r="B18" i="12"/>
  <c r="T17" i="12"/>
  <c r="P17" i="12"/>
  <c r="X17" i="12" s="1"/>
  <c r="H17" i="12"/>
  <c r="D17" i="12"/>
  <c r="B17" i="12"/>
  <c r="T16" i="12"/>
  <c r="Z16" i="12" s="1"/>
  <c r="P16" i="12"/>
  <c r="X16" i="12" s="1"/>
  <c r="H16" i="12"/>
  <c r="N16" i="12" s="1"/>
  <c r="D16" i="12"/>
  <c r="B16" i="12"/>
  <c r="T15" i="12"/>
  <c r="P15" i="12"/>
  <c r="X15" i="12" s="1"/>
  <c r="Z15" i="12" s="1"/>
  <c r="L15" i="12"/>
  <c r="H15" i="12"/>
  <c r="N15" i="12" s="1"/>
  <c r="D15" i="12"/>
  <c r="B15" i="12"/>
  <c r="Z14" i="12"/>
  <c r="T14" i="12"/>
  <c r="P14" i="12"/>
  <c r="X14" i="12" s="1"/>
  <c r="H14" i="12"/>
  <c r="D14" i="12"/>
  <c r="B14" i="12"/>
  <c r="T13" i="12"/>
  <c r="P13" i="12"/>
  <c r="L13" i="12"/>
  <c r="H13" i="12"/>
  <c r="N13" i="12" s="1"/>
  <c r="D13" i="12"/>
  <c r="D12" i="12" s="1"/>
  <c r="F215" i="12" s="1"/>
  <c r="B13" i="12"/>
  <c r="D4" i="12"/>
  <c r="V98" i="9"/>
  <c r="V95" i="9"/>
  <c r="Z93" i="9"/>
  <c r="X93" i="9"/>
  <c r="V93" i="9"/>
  <c r="N93" i="9"/>
  <c r="L93" i="9"/>
  <c r="F93" i="9"/>
  <c r="R91" i="9"/>
  <c r="F91" i="9"/>
  <c r="T89" i="9"/>
  <c r="Z89" i="9" s="1"/>
  <c r="R89" i="9"/>
  <c r="P89" i="9"/>
  <c r="N89" i="9"/>
  <c r="H89" i="9"/>
  <c r="F89" i="9"/>
  <c r="D89" i="9"/>
  <c r="L89" i="9" s="1"/>
  <c r="X87" i="9"/>
  <c r="Z87" i="9" s="1"/>
  <c r="N87" i="9"/>
  <c r="L87" i="9"/>
  <c r="J87" i="9"/>
  <c r="B87" i="9"/>
  <c r="X86" i="9"/>
  <c r="Z86" i="9" s="1"/>
  <c r="V86" i="9"/>
  <c r="N86" i="9"/>
  <c r="L86" i="9"/>
  <c r="F86" i="9"/>
  <c r="B86" i="9"/>
  <c r="T85" i="9"/>
  <c r="P85" i="9"/>
  <c r="X85" i="9" s="1"/>
  <c r="Z85" i="9" s="1"/>
  <c r="H85" i="9"/>
  <c r="F85" i="9"/>
  <c r="D85" i="9"/>
  <c r="B85" i="9"/>
  <c r="X84" i="9"/>
  <c r="Z84" i="9" s="1"/>
  <c r="N84" i="9"/>
  <c r="L84" i="9"/>
  <c r="B84" i="9"/>
  <c r="Z83" i="9"/>
  <c r="X83" i="9"/>
  <c r="V83" i="9"/>
  <c r="T83" i="9"/>
  <c r="P83" i="9"/>
  <c r="L83" i="9"/>
  <c r="N83" i="9" s="1"/>
  <c r="H83" i="9"/>
  <c r="D83" i="9"/>
  <c r="B83" i="9"/>
  <c r="X82" i="9"/>
  <c r="Z82" i="9" s="1"/>
  <c r="L82" i="9"/>
  <c r="N82" i="9" s="1"/>
  <c r="B82" i="9"/>
  <c r="X81" i="9"/>
  <c r="Z81" i="9" s="1"/>
  <c r="V81" i="9"/>
  <c r="N81" i="9"/>
  <c r="L81" i="9"/>
  <c r="B81" i="9"/>
  <c r="V80" i="9"/>
  <c r="T80" i="9"/>
  <c r="P80" i="9"/>
  <c r="X80" i="9" s="1"/>
  <c r="Z80" i="9" s="1"/>
  <c r="L80" i="9"/>
  <c r="H80" i="9"/>
  <c r="N80" i="9" s="1"/>
  <c r="D80" i="9"/>
  <c r="B80" i="9"/>
  <c r="X79" i="9"/>
  <c r="Z79" i="9" s="1"/>
  <c r="N79" i="9"/>
  <c r="L79" i="9"/>
  <c r="J79" i="9"/>
  <c r="B79" i="9"/>
  <c r="X78" i="9"/>
  <c r="Z78" i="9" s="1"/>
  <c r="V78" i="9"/>
  <c r="N78" i="9"/>
  <c r="L78" i="9"/>
  <c r="F78" i="9"/>
  <c r="B78" i="9"/>
  <c r="Z77" i="9"/>
  <c r="X77" i="9"/>
  <c r="V77" i="9"/>
  <c r="L77" i="9"/>
  <c r="N77" i="9" s="1"/>
  <c r="F77" i="9"/>
  <c r="B77" i="9"/>
  <c r="Z76" i="9"/>
  <c r="X76" i="9"/>
  <c r="R76" i="9"/>
  <c r="N76" i="9"/>
  <c r="L76" i="9"/>
  <c r="F76" i="9"/>
  <c r="B76" i="9"/>
  <c r="X75" i="9"/>
  <c r="Z75" i="9" s="1"/>
  <c r="N75" i="9"/>
  <c r="L75" i="9"/>
  <c r="J75" i="9"/>
  <c r="B75" i="9"/>
  <c r="X74" i="9"/>
  <c r="Z74" i="9" s="1"/>
  <c r="V74" i="9"/>
  <c r="T74" i="9"/>
  <c r="P74" i="9"/>
  <c r="H74" i="9"/>
  <c r="D74" i="9"/>
  <c r="B74" i="9"/>
  <c r="X73" i="9"/>
  <c r="Z73" i="9" s="1"/>
  <c r="N73" i="9"/>
  <c r="L73" i="9"/>
  <c r="J73" i="9"/>
  <c r="B73" i="9"/>
  <c r="T72" i="9"/>
  <c r="X72" i="9" s="1"/>
  <c r="R72" i="9"/>
  <c r="P72" i="9"/>
  <c r="H72" i="9"/>
  <c r="N72" i="9" s="1"/>
  <c r="D72" i="9"/>
  <c r="L72" i="9" s="1"/>
  <c r="B72" i="9"/>
  <c r="Z71" i="9"/>
  <c r="X71" i="9"/>
  <c r="V71" i="9"/>
  <c r="R71" i="9"/>
  <c r="N71" i="9"/>
  <c r="L71" i="9"/>
  <c r="F71" i="9"/>
  <c r="B71" i="9"/>
  <c r="X70" i="9"/>
  <c r="Z70" i="9" s="1"/>
  <c r="L70" i="9"/>
  <c r="N70" i="9" s="1"/>
  <c r="B70" i="9"/>
  <c r="X69" i="9"/>
  <c r="V69" i="9"/>
  <c r="T69" i="9"/>
  <c r="Z69" i="9" s="1"/>
  <c r="R69" i="9"/>
  <c r="P69" i="9"/>
  <c r="H69" i="9"/>
  <c r="D69" i="9"/>
  <c r="L69" i="9" s="1"/>
  <c r="B69" i="9"/>
  <c r="X68" i="9"/>
  <c r="Z68" i="9" s="1"/>
  <c r="V68" i="9"/>
  <c r="R68" i="9"/>
  <c r="L68" i="9"/>
  <c r="N68" i="9" s="1"/>
  <c r="F68" i="9"/>
  <c r="B68" i="9"/>
  <c r="X67" i="9"/>
  <c r="Z67" i="9" s="1"/>
  <c r="V67" i="9"/>
  <c r="N67" i="9"/>
  <c r="L67" i="9"/>
  <c r="J67" i="9"/>
  <c r="B67" i="9"/>
  <c r="X66" i="9"/>
  <c r="Z66" i="9" s="1"/>
  <c r="V66" i="9"/>
  <c r="N66" i="9"/>
  <c r="L66" i="9"/>
  <c r="F66" i="9"/>
  <c r="B66" i="9"/>
  <c r="V65" i="9"/>
  <c r="T65" i="9"/>
  <c r="P65" i="9"/>
  <c r="X65" i="9" s="1"/>
  <c r="Z65" i="9" s="1"/>
  <c r="H65" i="9"/>
  <c r="F65" i="9"/>
  <c r="D65" i="9"/>
  <c r="B65" i="9"/>
  <c r="X64" i="9"/>
  <c r="Z64" i="9" s="1"/>
  <c r="V64" i="9"/>
  <c r="N64" i="9"/>
  <c r="L64" i="9"/>
  <c r="F64" i="9"/>
  <c r="B64" i="9"/>
  <c r="Z63" i="9"/>
  <c r="X63" i="9"/>
  <c r="V63" i="9"/>
  <c r="N63" i="9"/>
  <c r="L63" i="9"/>
  <c r="F63" i="9"/>
  <c r="B63" i="9"/>
  <c r="Z62" i="9"/>
  <c r="X62" i="9"/>
  <c r="V62" i="9"/>
  <c r="R62" i="9"/>
  <c r="N62" i="9"/>
  <c r="L62" i="9"/>
  <c r="F62" i="9"/>
  <c r="B62" i="9"/>
  <c r="X61" i="9"/>
  <c r="Z61" i="9" s="1"/>
  <c r="L61" i="9"/>
  <c r="N61" i="9" s="1"/>
  <c r="J61" i="9"/>
  <c r="F61" i="9"/>
  <c r="B61" i="9"/>
  <c r="V60" i="9"/>
  <c r="T60" i="9"/>
  <c r="X60" i="9" s="1"/>
  <c r="R60" i="9"/>
  <c r="P60" i="9"/>
  <c r="H60" i="9"/>
  <c r="F60" i="9"/>
  <c r="D60" i="9"/>
  <c r="L60" i="9" s="1"/>
  <c r="B60" i="9"/>
  <c r="Z59" i="9"/>
  <c r="X59" i="9"/>
  <c r="V59" i="9"/>
  <c r="R59" i="9"/>
  <c r="L59" i="9"/>
  <c r="N59" i="9" s="1"/>
  <c r="F59" i="9"/>
  <c r="B59" i="9"/>
  <c r="X58" i="9"/>
  <c r="T58" i="9"/>
  <c r="Z58" i="9" s="1"/>
  <c r="P58" i="9"/>
  <c r="H58" i="9"/>
  <c r="F58" i="9"/>
  <c r="D58" i="9"/>
  <c r="L58" i="9" s="1"/>
  <c r="N58" i="9" s="1"/>
  <c r="B58" i="9"/>
  <c r="Z57" i="9"/>
  <c r="X57" i="9"/>
  <c r="V57" i="9"/>
  <c r="L57" i="9"/>
  <c r="N57" i="9" s="1"/>
  <c r="F57" i="9"/>
  <c r="B57" i="9"/>
  <c r="V56" i="9"/>
  <c r="T56" i="9"/>
  <c r="P56" i="9"/>
  <c r="L56" i="9"/>
  <c r="N56" i="9" s="1"/>
  <c r="H56" i="9"/>
  <c r="F56" i="9"/>
  <c r="D56" i="9"/>
  <c r="B56" i="9"/>
  <c r="Z55" i="9"/>
  <c r="X55" i="9"/>
  <c r="V55" i="9"/>
  <c r="N55" i="9"/>
  <c r="L55" i="9"/>
  <c r="F55" i="9"/>
  <c r="B55" i="9"/>
  <c r="Z54" i="9"/>
  <c r="X54" i="9"/>
  <c r="V54" i="9"/>
  <c r="R54" i="9"/>
  <c r="N54" i="9"/>
  <c r="L54" i="9"/>
  <c r="F54" i="9"/>
  <c r="B54" i="9"/>
  <c r="X53" i="9"/>
  <c r="Z53" i="9" s="1"/>
  <c r="T53" i="9"/>
  <c r="P53" i="9"/>
  <c r="N53" i="9"/>
  <c r="L53" i="9"/>
  <c r="J53" i="9"/>
  <c r="H53" i="9"/>
  <c r="F53" i="9"/>
  <c r="D53" i="9"/>
  <c r="B53" i="9"/>
  <c r="Z52" i="9"/>
  <c r="X52" i="9"/>
  <c r="V52" i="9"/>
  <c r="L52" i="9"/>
  <c r="N52" i="9" s="1"/>
  <c r="F52" i="9"/>
  <c r="B52" i="9"/>
  <c r="V51" i="9"/>
  <c r="T51" i="9"/>
  <c r="P51" i="9"/>
  <c r="X51" i="9" s="1"/>
  <c r="L51" i="9"/>
  <c r="J51" i="9"/>
  <c r="H51" i="9"/>
  <c r="N51" i="9" s="1"/>
  <c r="F51" i="9"/>
  <c r="D51" i="9"/>
  <c r="B51" i="9"/>
  <c r="X50" i="9"/>
  <c r="Z50" i="9" s="1"/>
  <c r="V50" i="9"/>
  <c r="N50" i="9"/>
  <c r="L50" i="9"/>
  <c r="F50" i="9"/>
  <c r="B50" i="9"/>
  <c r="V49" i="9"/>
  <c r="T49" i="9"/>
  <c r="P49" i="9"/>
  <c r="X49" i="9" s="1"/>
  <c r="Z49" i="9" s="1"/>
  <c r="H49" i="9"/>
  <c r="F49" i="9"/>
  <c r="D49" i="9"/>
  <c r="L49" i="9" s="1"/>
  <c r="B49" i="9"/>
  <c r="X48" i="9"/>
  <c r="Z48" i="9" s="1"/>
  <c r="V48" i="9"/>
  <c r="N48" i="9"/>
  <c r="L48" i="9"/>
  <c r="F48" i="9"/>
  <c r="B48" i="9"/>
  <c r="Z47" i="9"/>
  <c r="X47" i="9"/>
  <c r="V47" i="9"/>
  <c r="T47" i="9"/>
  <c r="P47" i="9"/>
  <c r="L47" i="9"/>
  <c r="N47" i="9" s="1"/>
  <c r="H47" i="9"/>
  <c r="F47" i="9"/>
  <c r="D47" i="9"/>
  <c r="B47" i="9"/>
  <c r="X46" i="9"/>
  <c r="Z46" i="9" s="1"/>
  <c r="L46" i="9"/>
  <c r="N46" i="9" s="1"/>
  <c r="B46" i="9"/>
  <c r="X45" i="9"/>
  <c r="V45" i="9"/>
  <c r="T45" i="9"/>
  <c r="Z45" i="9" s="1"/>
  <c r="R45" i="9"/>
  <c r="P45" i="9"/>
  <c r="H45" i="9"/>
  <c r="N45" i="9" s="1"/>
  <c r="D45" i="9"/>
  <c r="L45" i="9" s="1"/>
  <c r="B45" i="9"/>
  <c r="X44" i="9"/>
  <c r="Z44" i="9" s="1"/>
  <c r="V44" i="9"/>
  <c r="R44" i="9"/>
  <c r="L44" i="9"/>
  <c r="N44" i="9" s="1"/>
  <c r="F44" i="9"/>
  <c r="B44" i="9"/>
  <c r="V43" i="9"/>
  <c r="T43" i="9"/>
  <c r="R43" i="9"/>
  <c r="P43" i="9"/>
  <c r="H43" i="9"/>
  <c r="F43" i="9"/>
  <c r="D43" i="9"/>
  <c r="L43" i="9" s="1"/>
  <c r="N43" i="9" s="1"/>
  <c r="B43" i="9"/>
  <c r="Z42" i="9"/>
  <c r="X42" i="9"/>
  <c r="V42" i="9"/>
  <c r="R42" i="9"/>
  <c r="L42" i="9"/>
  <c r="N42" i="9" s="1"/>
  <c r="F42" i="9"/>
  <c r="B42" i="9"/>
  <c r="X41" i="9"/>
  <c r="Z41" i="9" s="1"/>
  <c r="T41" i="9"/>
  <c r="P41" i="9"/>
  <c r="N41" i="9"/>
  <c r="L41" i="9"/>
  <c r="J41" i="9"/>
  <c r="H41" i="9"/>
  <c r="F41" i="9"/>
  <c r="D41" i="9"/>
  <c r="B41" i="9"/>
  <c r="Z40" i="9"/>
  <c r="X40" i="9"/>
  <c r="V40" i="9"/>
  <c r="L40" i="9"/>
  <c r="N40" i="9" s="1"/>
  <c r="F40" i="9"/>
  <c r="B40" i="9"/>
  <c r="V39" i="9"/>
  <c r="T39" i="9"/>
  <c r="P39" i="9"/>
  <c r="X39" i="9" s="1"/>
  <c r="L39" i="9"/>
  <c r="J39" i="9"/>
  <c r="H39" i="9"/>
  <c r="N39" i="9" s="1"/>
  <c r="F39" i="9"/>
  <c r="D39" i="9"/>
  <c r="B39" i="9"/>
  <c r="X38" i="9"/>
  <c r="Z38" i="9" s="1"/>
  <c r="V38" i="9"/>
  <c r="N38" i="9"/>
  <c r="L38" i="9"/>
  <c r="F38" i="9"/>
  <c r="B38" i="9"/>
  <c r="Z37" i="9"/>
  <c r="X37" i="9"/>
  <c r="V37" i="9"/>
  <c r="L37" i="9"/>
  <c r="N37" i="9" s="1"/>
  <c r="F37" i="9"/>
  <c r="B37" i="9"/>
  <c r="X36" i="9"/>
  <c r="Z36" i="9" s="1"/>
  <c r="V36" i="9"/>
  <c r="R36" i="9"/>
  <c r="N36" i="9"/>
  <c r="L36" i="9"/>
  <c r="F36" i="9"/>
  <c r="B36" i="9"/>
  <c r="X35" i="9"/>
  <c r="Z35" i="9" s="1"/>
  <c r="V35" i="9"/>
  <c r="N35" i="9"/>
  <c r="L35" i="9"/>
  <c r="J35" i="9"/>
  <c r="B35" i="9"/>
  <c r="X34" i="9"/>
  <c r="Z34" i="9" s="1"/>
  <c r="V34" i="9"/>
  <c r="N34" i="9"/>
  <c r="L34" i="9"/>
  <c r="F34" i="9"/>
  <c r="B34" i="9"/>
  <c r="Z33" i="9"/>
  <c r="X33" i="9"/>
  <c r="V33" i="9"/>
  <c r="L33" i="9"/>
  <c r="N33" i="9" s="1"/>
  <c r="F33" i="9"/>
  <c r="B33" i="9"/>
  <c r="X32" i="9"/>
  <c r="Z32" i="9" s="1"/>
  <c r="V32" i="9"/>
  <c r="R32" i="9"/>
  <c r="L32" i="9"/>
  <c r="N32" i="9" s="1"/>
  <c r="F32" i="9"/>
  <c r="B32" i="9"/>
  <c r="V31" i="9"/>
  <c r="T31" i="9"/>
  <c r="R31" i="9"/>
  <c r="P31" i="9"/>
  <c r="X31" i="9" s="1"/>
  <c r="H31" i="9"/>
  <c r="F31" i="9"/>
  <c r="D31" i="9"/>
  <c r="L31" i="9" s="1"/>
  <c r="N31" i="9" s="1"/>
  <c r="B31" i="9"/>
  <c r="Z30" i="9"/>
  <c r="X30" i="9"/>
  <c r="V30" i="9"/>
  <c r="R30" i="9"/>
  <c r="L30" i="9"/>
  <c r="N30" i="9" s="1"/>
  <c r="F30" i="9"/>
  <c r="B30" i="9"/>
  <c r="X29" i="9"/>
  <c r="Z29" i="9" s="1"/>
  <c r="L29" i="9"/>
  <c r="N29" i="9" s="1"/>
  <c r="J29" i="9"/>
  <c r="F29" i="9"/>
  <c r="B29" i="9"/>
  <c r="X28" i="9"/>
  <c r="Z28" i="9" s="1"/>
  <c r="V28" i="9"/>
  <c r="N28" i="9"/>
  <c r="L28" i="9"/>
  <c r="F28" i="9"/>
  <c r="B28" i="9"/>
  <c r="Z27" i="9"/>
  <c r="X27" i="9"/>
  <c r="V27" i="9"/>
  <c r="N27" i="9"/>
  <c r="L27" i="9"/>
  <c r="F27" i="9"/>
  <c r="B27" i="9"/>
  <c r="Z26" i="9"/>
  <c r="X26" i="9"/>
  <c r="V26" i="9"/>
  <c r="R26" i="9"/>
  <c r="L26" i="9"/>
  <c r="N26" i="9" s="1"/>
  <c r="F26" i="9"/>
  <c r="B26" i="9"/>
  <c r="X25" i="9"/>
  <c r="Z25" i="9" s="1"/>
  <c r="N25" i="9"/>
  <c r="L25" i="9"/>
  <c r="J25" i="9"/>
  <c r="F25" i="9"/>
  <c r="B25" i="9"/>
  <c r="X24" i="9"/>
  <c r="Z24" i="9" s="1"/>
  <c r="V24" i="9"/>
  <c r="N24" i="9"/>
  <c r="L24" i="9"/>
  <c r="F24" i="9"/>
  <c r="B24" i="9"/>
  <c r="Z23" i="9"/>
  <c r="X23" i="9"/>
  <c r="V23" i="9"/>
  <c r="N23" i="9"/>
  <c r="L23" i="9"/>
  <c r="F23" i="9"/>
  <c r="B23" i="9"/>
  <c r="Z22" i="9"/>
  <c r="X22" i="9"/>
  <c r="V22" i="9"/>
  <c r="R22" i="9"/>
  <c r="L22" i="9"/>
  <c r="N22" i="9" s="1"/>
  <c r="F22" i="9"/>
  <c r="B22" i="9"/>
  <c r="X21" i="9"/>
  <c r="Z21" i="9" s="1"/>
  <c r="L21" i="9"/>
  <c r="N21" i="9" s="1"/>
  <c r="J21" i="9"/>
  <c r="F21" i="9"/>
  <c r="B21" i="9"/>
  <c r="X20" i="9"/>
  <c r="Z20" i="9" s="1"/>
  <c r="V20" i="9"/>
  <c r="N20" i="9"/>
  <c r="L20" i="9"/>
  <c r="F20" i="9"/>
  <c r="B20" i="9"/>
  <c r="Z19" i="9"/>
  <c r="X19" i="9"/>
  <c r="V19" i="9"/>
  <c r="T19" i="9"/>
  <c r="P19" i="9"/>
  <c r="L19" i="9"/>
  <c r="N19" i="9" s="1"/>
  <c r="H19" i="9"/>
  <c r="F19" i="9"/>
  <c r="D19" i="9"/>
  <c r="B19" i="9"/>
  <c r="T18" i="9"/>
  <c r="P18" i="9"/>
  <c r="X18" i="9" s="1"/>
  <c r="H18" i="9"/>
  <c r="F18" i="9"/>
  <c r="D18" i="9"/>
  <c r="L18" i="9" s="1"/>
  <c r="N18" i="9" s="1"/>
  <c r="F16" i="9"/>
  <c r="X14" i="9"/>
  <c r="T14" i="9"/>
  <c r="T16" i="9" s="1"/>
  <c r="P14" i="9"/>
  <c r="N14" i="9"/>
  <c r="H14" i="9"/>
  <c r="F14" i="9"/>
  <c r="D14" i="9"/>
  <c r="L14" i="9" s="1"/>
  <c r="Z12" i="9"/>
  <c r="X12" i="9"/>
  <c r="T12" i="9"/>
  <c r="V85" i="9" s="1"/>
  <c r="P12" i="9"/>
  <c r="R98" i="9" s="1"/>
  <c r="H12" i="9"/>
  <c r="J91" i="9" s="1"/>
  <c r="D12" i="9"/>
  <c r="F81" i="9" s="1"/>
  <c r="D4" i="9"/>
  <c r="V31" i="6"/>
  <c r="R31" i="6"/>
  <c r="F31" i="6"/>
  <c r="Z29" i="6"/>
  <c r="X29" i="6"/>
  <c r="V29" i="6"/>
  <c r="T29" i="6"/>
  <c r="R29" i="6"/>
  <c r="P29" i="6"/>
  <c r="L29" i="6"/>
  <c r="N29" i="6" s="1"/>
  <c r="H29" i="6"/>
  <c r="F29" i="6"/>
  <c r="D29" i="6"/>
  <c r="Z28" i="6"/>
  <c r="X28" i="6"/>
  <c r="V28" i="6"/>
  <c r="T28" i="6"/>
  <c r="R28" i="6"/>
  <c r="P28" i="6"/>
  <c r="L28" i="6"/>
  <c r="N28" i="6" s="1"/>
  <c r="H28" i="6"/>
  <c r="F28" i="6"/>
  <c r="D28" i="6"/>
  <c r="V26" i="6"/>
  <c r="R26" i="6"/>
  <c r="F26" i="6"/>
  <c r="Z24" i="6"/>
  <c r="X24" i="6"/>
  <c r="V24" i="6"/>
  <c r="N24" i="6"/>
  <c r="L24" i="6"/>
  <c r="F24" i="6"/>
  <c r="R22" i="6"/>
  <c r="F22" i="6"/>
  <c r="T20" i="6"/>
  <c r="Z20" i="6" s="1"/>
  <c r="R20" i="6"/>
  <c r="P20" i="6"/>
  <c r="X20" i="6" s="1"/>
  <c r="N20" i="6"/>
  <c r="H20" i="6"/>
  <c r="F20" i="6"/>
  <c r="D20" i="6"/>
  <c r="L20" i="6" s="1"/>
  <c r="T18" i="6"/>
  <c r="Z18" i="6" s="1"/>
  <c r="R18" i="6"/>
  <c r="P18" i="6"/>
  <c r="X18" i="6" s="1"/>
  <c r="N18" i="6"/>
  <c r="H18" i="6"/>
  <c r="F18" i="6"/>
  <c r="D18" i="6"/>
  <c r="L18" i="6" s="1"/>
  <c r="R16" i="6"/>
  <c r="F16" i="6"/>
  <c r="T14" i="6"/>
  <c r="Z14" i="6" s="1"/>
  <c r="R14" i="6"/>
  <c r="P14" i="6"/>
  <c r="X14" i="6" s="1"/>
  <c r="N14" i="6"/>
  <c r="H14" i="6"/>
  <c r="F14" i="6"/>
  <c r="D14" i="6"/>
  <c r="D16" i="6" s="1"/>
  <c r="T12" i="6"/>
  <c r="Z12" i="6" s="1"/>
  <c r="P12" i="6"/>
  <c r="X12" i="6" s="1"/>
  <c r="H12" i="6"/>
  <c r="D12" i="6"/>
  <c r="D4" i="6"/>
  <c r="T316" i="3"/>
  <c r="P316" i="3"/>
  <c r="X316" i="3" s="1"/>
  <c r="Z316" i="3" s="1"/>
  <c r="L316" i="3"/>
  <c r="H316" i="3"/>
  <c r="D316" i="3"/>
  <c r="T315" i="3"/>
  <c r="P315" i="3"/>
  <c r="X315" i="3" s="1"/>
  <c r="Z315" i="3" s="1"/>
  <c r="L315" i="3"/>
  <c r="H315" i="3"/>
  <c r="D315" i="3"/>
  <c r="Z311" i="3"/>
  <c r="X311" i="3"/>
  <c r="L311" i="3"/>
  <c r="N311" i="3" s="1"/>
  <c r="X307" i="3"/>
  <c r="T307" i="3"/>
  <c r="Z307" i="3" s="1"/>
  <c r="P307" i="3"/>
  <c r="H307" i="3"/>
  <c r="N307" i="3" s="1"/>
  <c r="D307" i="3"/>
  <c r="L307" i="3" s="1"/>
  <c r="B307" i="3"/>
  <c r="T306" i="3"/>
  <c r="P306" i="3"/>
  <c r="X306" i="3" s="1"/>
  <c r="L306" i="3"/>
  <c r="H306" i="3"/>
  <c r="N306" i="3" s="1"/>
  <c r="D306" i="3"/>
  <c r="B306" i="3"/>
  <c r="X305" i="3"/>
  <c r="Z305" i="3" s="1"/>
  <c r="T305" i="3"/>
  <c r="P305" i="3"/>
  <c r="H305" i="3"/>
  <c r="D305" i="3"/>
  <c r="B305" i="3"/>
  <c r="X304" i="3"/>
  <c r="Z304" i="3" s="1"/>
  <c r="T304" i="3"/>
  <c r="P304" i="3"/>
  <c r="N304" i="3"/>
  <c r="L304" i="3"/>
  <c r="H304" i="3"/>
  <c r="D304" i="3"/>
  <c r="B304" i="3"/>
  <c r="T303" i="3"/>
  <c r="P303" i="3"/>
  <c r="X303" i="3" s="1"/>
  <c r="Z303" i="3" s="1"/>
  <c r="L303" i="3"/>
  <c r="H303" i="3"/>
  <c r="N303" i="3" s="1"/>
  <c r="D303" i="3"/>
  <c r="B303" i="3"/>
  <c r="T302" i="3"/>
  <c r="Z302" i="3" s="1"/>
  <c r="P302" i="3"/>
  <c r="X302" i="3" s="1"/>
  <c r="N302" i="3"/>
  <c r="H302" i="3"/>
  <c r="D302" i="3"/>
  <c r="L302" i="3" s="1"/>
  <c r="B302" i="3"/>
  <c r="T301" i="3"/>
  <c r="P301" i="3"/>
  <c r="X301" i="3" s="1"/>
  <c r="L301" i="3"/>
  <c r="H301" i="3"/>
  <c r="N301" i="3" s="1"/>
  <c r="D301" i="3"/>
  <c r="B301" i="3"/>
  <c r="X300" i="3"/>
  <c r="T300" i="3"/>
  <c r="Z300" i="3" s="1"/>
  <c r="P300" i="3"/>
  <c r="H300" i="3"/>
  <c r="D300" i="3"/>
  <c r="L300" i="3" s="1"/>
  <c r="B300" i="3"/>
  <c r="T299" i="3"/>
  <c r="P299" i="3"/>
  <c r="N299" i="3"/>
  <c r="L299" i="3"/>
  <c r="H299" i="3"/>
  <c r="D299" i="3"/>
  <c r="B299" i="3"/>
  <c r="Z298" i="3"/>
  <c r="X298" i="3"/>
  <c r="T298" i="3"/>
  <c r="P298" i="3"/>
  <c r="N298" i="3"/>
  <c r="L298" i="3"/>
  <c r="H298" i="3"/>
  <c r="D298" i="3"/>
  <c r="B298" i="3"/>
  <c r="X297" i="3"/>
  <c r="T297" i="3"/>
  <c r="P297" i="3"/>
  <c r="H297" i="3"/>
  <c r="D297" i="3"/>
  <c r="L297" i="3" s="1"/>
  <c r="N297" i="3" s="1"/>
  <c r="B297" i="3"/>
  <c r="T296" i="3"/>
  <c r="P296" i="3"/>
  <c r="H296" i="3"/>
  <c r="N296" i="3" s="1"/>
  <c r="D296" i="3"/>
  <c r="L296" i="3" s="1"/>
  <c r="B296" i="3"/>
  <c r="D295" i="3"/>
  <c r="X293" i="3"/>
  <c r="Z293" i="3" s="1"/>
  <c r="N293" i="3"/>
  <c r="L293" i="3"/>
  <c r="B293" i="3"/>
  <c r="Z292" i="3"/>
  <c r="X292" i="3"/>
  <c r="T292" i="3"/>
  <c r="P292" i="3"/>
  <c r="L292" i="3"/>
  <c r="N292" i="3" s="1"/>
  <c r="H292" i="3"/>
  <c r="D292" i="3"/>
  <c r="B292" i="3"/>
  <c r="X291" i="3"/>
  <c r="Z291" i="3" s="1"/>
  <c r="L291" i="3"/>
  <c r="N291" i="3" s="1"/>
  <c r="B291" i="3"/>
  <c r="X290" i="3"/>
  <c r="Z290" i="3" s="1"/>
  <c r="N290" i="3"/>
  <c r="L290" i="3"/>
  <c r="B290" i="3"/>
  <c r="Z289" i="3"/>
  <c r="X289" i="3"/>
  <c r="L289" i="3"/>
  <c r="N289" i="3" s="1"/>
  <c r="B289" i="3"/>
  <c r="T288" i="3"/>
  <c r="Z288" i="3" s="1"/>
  <c r="P288" i="3"/>
  <c r="X288" i="3" s="1"/>
  <c r="L288" i="3"/>
  <c r="H288" i="3"/>
  <c r="N288" i="3" s="1"/>
  <c r="D288" i="3"/>
  <c r="B288" i="3"/>
  <c r="X287" i="3"/>
  <c r="Z287" i="3" s="1"/>
  <c r="N287" i="3"/>
  <c r="L287" i="3"/>
  <c r="B287" i="3"/>
  <c r="Z286" i="3"/>
  <c r="T286" i="3"/>
  <c r="P286" i="3"/>
  <c r="X286" i="3" s="1"/>
  <c r="H286" i="3"/>
  <c r="D286" i="3"/>
  <c r="L286" i="3" s="1"/>
  <c r="B286" i="3"/>
  <c r="X285" i="3"/>
  <c r="Z285" i="3" s="1"/>
  <c r="N285" i="3"/>
  <c r="L285" i="3"/>
  <c r="B285" i="3"/>
  <c r="Z284" i="3"/>
  <c r="X284" i="3"/>
  <c r="N284" i="3"/>
  <c r="L284" i="3"/>
  <c r="B284" i="3"/>
  <c r="T283" i="3"/>
  <c r="Z283" i="3" s="1"/>
  <c r="P283" i="3"/>
  <c r="X283" i="3" s="1"/>
  <c r="L283" i="3"/>
  <c r="H283" i="3"/>
  <c r="N283" i="3" s="1"/>
  <c r="D283" i="3"/>
  <c r="B283" i="3"/>
  <c r="X282" i="3"/>
  <c r="Z282" i="3" s="1"/>
  <c r="N282" i="3"/>
  <c r="L282" i="3"/>
  <c r="B282" i="3"/>
  <c r="Z281" i="3"/>
  <c r="X281" i="3"/>
  <c r="L281" i="3"/>
  <c r="N281" i="3" s="1"/>
  <c r="B281" i="3"/>
  <c r="Z280" i="3"/>
  <c r="X280" i="3"/>
  <c r="L280" i="3"/>
  <c r="N280" i="3" s="1"/>
  <c r="B280" i="3"/>
  <c r="X279" i="3"/>
  <c r="Z279" i="3" s="1"/>
  <c r="L279" i="3"/>
  <c r="N279" i="3" s="1"/>
  <c r="B279" i="3"/>
  <c r="X278" i="3"/>
  <c r="Z278" i="3" s="1"/>
  <c r="N278" i="3"/>
  <c r="L278" i="3"/>
  <c r="B278" i="3"/>
  <c r="Z277" i="3"/>
  <c r="X277" i="3"/>
  <c r="L277" i="3"/>
  <c r="N277" i="3" s="1"/>
  <c r="B277" i="3"/>
  <c r="Z276" i="3"/>
  <c r="X276" i="3"/>
  <c r="L276" i="3"/>
  <c r="N276" i="3" s="1"/>
  <c r="B276" i="3"/>
  <c r="Z275" i="3"/>
  <c r="X275" i="3"/>
  <c r="N275" i="3"/>
  <c r="L275" i="3"/>
  <c r="B275" i="3"/>
  <c r="X274" i="3"/>
  <c r="Z274" i="3" s="1"/>
  <c r="N274" i="3"/>
  <c r="L274" i="3"/>
  <c r="B274" i="3"/>
  <c r="T273" i="3"/>
  <c r="P273" i="3"/>
  <c r="X273" i="3" s="1"/>
  <c r="Z273" i="3" s="1"/>
  <c r="L273" i="3"/>
  <c r="H273" i="3"/>
  <c r="N273" i="3" s="1"/>
  <c r="D273" i="3"/>
  <c r="B273" i="3"/>
  <c r="X272" i="3"/>
  <c r="Z272" i="3" s="1"/>
  <c r="N272" i="3"/>
  <c r="L272" i="3"/>
  <c r="B272" i="3"/>
  <c r="X271" i="3"/>
  <c r="Z271" i="3" s="1"/>
  <c r="N271" i="3"/>
  <c r="L271" i="3"/>
  <c r="B271" i="3"/>
  <c r="T270" i="3"/>
  <c r="P270" i="3"/>
  <c r="X270" i="3" s="1"/>
  <c r="Z270" i="3" s="1"/>
  <c r="H270" i="3"/>
  <c r="N270" i="3" s="1"/>
  <c r="D270" i="3"/>
  <c r="L270" i="3" s="1"/>
  <c r="B270" i="3"/>
  <c r="X269" i="3"/>
  <c r="Z269" i="3" s="1"/>
  <c r="N269" i="3"/>
  <c r="L269" i="3"/>
  <c r="B269" i="3"/>
  <c r="Z268" i="3"/>
  <c r="X268" i="3"/>
  <c r="N268" i="3"/>
  <c r="L268" i="3"/>
  <c r="B268" i="3"/>
  <c r="Z267" i="3"/>
  <c r="X267" i="3"/>
  <c r="L267" i="3"/>
  <c r="N267" i="3" s="1"/>
  <c r="B267" i="3"/>
  <c r="X266" i="3"/>
  <c r="Z266" i="3" s="1"/>
  <c r="L266" i="3"/>
  <c r="N266" i="3" s="1"/>
  <c r="B266" i="3"/>
  <c r="X265" i="3"/>
  <c r="Z265" i="3" s="1"/>
  <c r="N265" i="3"/>
  <c r="L265" i="3"/>
  <c r="B265" i="3"/>
  <c r="Z264" i="3"/>
  <c r="X264" i="3"/>
  <c r="T264" i="3"/>
  <c r="P264" i="3"/>
  <c r="L264" i="3"/>
  <c r="N264" i="3" s="1"/>
  <c r="H264" i="3"/>
  <c r="D264" i="3"/>
  <c r="B264" i="3"/>
  <c r="X263" i="3"/>
  <c r="Z263" i="3" s="1"/>
  <c r="L263" i="3"/>
  <c r="N263" i="3" s="1"/>
  <c r="B263" i="3"/>
  <c r="X262" i="3"/>
  <c r="Z262" i="3" s="1"/>
  <c r="N262" i="3"/>
  <c r="L262" i="3"/>
  <c r="B262" i="3"/>
  <c r="Z261" i="3"/>
  <c r="X261" i="3"/>
  <c r="N261" i="3"/>
  <c r="L261" i="3"/>
  <c r="B261" i="3"/>
  <c r="T260" i="3"/>
  <c r="Z260" i="3" s="1"/>
  <c r="P260" i="3"/>
  <c r="X260" i="3" s="1"/>
  <c r="L260" i="3"/>
  <c r="H260" i="3"/>
  <c r="N260" i="3" s="1"/>
  <c r="F260" i="3"/>
  <c r="D260" i="3"/>
  <c r="B260" i="3"/>
  <c r="X259" i="3"/>
  <c r="Z259" i="3" s="1"/>
  <c r="N259" i="3"/>
  <c r="L259" i="3"/>
  <c r="B259" i="3"/>
  <c r="Z258" i="3"/>
  <c r="X258" i="3"/>
  <c r="L258" i="3"/>
  <c r="N258" i="3" s="1"/>
  <c r="B258" i="3"/>
  <c r="Z257" i="3"/>
  <c r="X257" i="3"/>
  <c r="N257" i="3"/>
  <c r="L257" i="3"/>
  <c r="B257" i="3"/>
  <c r="X256" i="3"/>
  <c r="Z256" i="3" s="1"/>
  <c r="N256" i="3"/>
  <c r="L256" i="3"/>
  <c r="B256" i="3"/>
  <c r="X255" i="3"/>
  <c r="Z255" i="3" s="1"/>
  <c r="T255" i="3"/>
  <c r="P255" i="3"/>
  <c r="H255" i="3"/>
  <c r="D255" i="3"/>
  <c r="B255" i="3"/>
  <c r="X254" i="3"/>
  <c r="Z254" i="3" s="1"/>
  <c r="L254" i="3"/>
  <c r="N254" i="3" s="1"/>
  <c r="B254" i="3"/>
  <c r="X253" i="3"/>
  <c r="T253" i="3"/>
  <c r="Z253" i="3" s="1"/>
  <c r="P253" i="3"/>
  <c r="H253" i="3"/>
  <c r="D253" i="3"/>
  <c r="L253" i="3" s="1"/>
  <c r="B253" i="3"/>
  <c r="Z252" i="3"/>
  <c r="X252" i="3"/>
  <c r="L252" i="3"/>
  <c r="N252" i="3" s="1"/>
  <c r="B252" i="3"/>
  <c r="X251" i="3"/>
  <c r="T251" i="3"/>
  <c r="Z251" i="3" s="1"/>
  <c r="P251" i="3"/>
  <c r="H251" i="3"/>
  <c r="D251" i="3"/>
  <c r="L251" i="3" s="1"/>
  <c r="N251" i="3" s="1"/>
  <c r="B251" i="3"/>
  <c r="Z250" i="3"/>
  <c r="X250" i="3"/>
  <c r="N250" i="3"/>
  <c r="L250" i="3"/>
  <c r="B250" i="3"/>
  <c r="T249" i="3"/>
  <c r="P249" i="3"/>
  <c r="N249" i="3"/>
  <c r="L249" i="3"/>
  <c r="H249" i="3"/>
  <c r="D249" i="3"/>
  <c r="B249" i="3"/>
  <c r="Z248" i="3"/>
  <c r="X248" i="3"/>
  <c r="N248" i="3"/>
  <c r="L248" i="3"/>
  <c r="B248" i="3"/>
  <c r="T247" i="3"/>
  <c r="P247" i="3"/>
  <c r="X247" i="3" s="1"/>
  <c r="L247" i="3"/>
  <c r="H247" i="3"/>
  <c r="N247" i="3" s="1"/>
  <c r="D247" i="3"/>
  <c r="B247" i="3"/>
  <c r="X246" i="3"/>
  <c r="Z246" i="3" s="1"/>
  <c r="N246" i="3"/>
  <c r="L246" i="3"/>
  <c r="B246" i="3"/>
  <c r="T245" i="3"/>
  <c r="P245" i="3"/>
  <c r="X245" i="3" s="1"/>
  <c r="Z245" i="3" s="1"/>
  <c r="L245" i="3"/>
  <c r="H245" i="3"/>
  <c r="N245" i="3" s="1"/>
  <c r="D245" i="3"/>
  <c r="B245" i="3"/>
  <c r="X244" i="3"/>
  <c r="Z244" i="3" s="1"/>
  <c r="N244" i="3"/>
  <c r="L244" i="3"/>
  <c r="B244" i="3"/>
  <c r="X243" i="3"/>
  <c r="Z243" i="3" s="1"/>
  <c r="T243" i="3"/>
  <c r="P243" i="3"/>
  <c r="H243" i="3"/>
  <c r="D243" i="3"/>
  <c r="B243" i="3"/>
  <c r="X242" i="3"/>
  <c r="Z242" i="3" s="1"/>
  <c r="L242" i="3"/>
  <c r="N242" i="3" s="1"/>
  <c r="B242" i="3"/>
  <c r="X241" i="3"/>
  <c r="Z241" i="3" s="1"/>
  <c r="N241" i="3"/>
  <c r="L241" i="3"/>
  <c r="B241" i="3"/>
  <c r="Z240" i="3"/>
  <c r="X240" i="3"/>
  <c r="T240" i="3"/>
  <c r="P240" i="3"/>
  <c r="L240" i="3"/>
  <c r="N240" i="3" s="1"/>
  <c r="H240" i="3"/>
  <c r="D240" i="3"/>
  <c r="B240" i="3"/>
  <c r="X239" i="3"/>
  <c r="Z239" i="3" s="1"/>
  <c r="L239" i="3"/>
  <c r="N239" i="3" s="1"/>
  <c r="B239" i="3"/>
  <c r="X238" i="3"/>
  <c r="Z238" i="3" s="1"/>
  <c r="N238" i="3"/>
  <c r="L238" i="3"/>
  <c r="B238" i="3"/>
  <c r="T237" i="3"/>
  <c r="P237" i="3"/>
  <c r="X237" i="3" s="1"/>
  <c r="Z237" i="3" s="1"/>
  <c r="L237" i="3"/>
  <c r="H237" i="3"/>
  <c r="N237" i="3" s="1"/>
  <c r="D237" i="3"/>
  <c r="B237" i="3"/>
  <c r="X236" i="3"/>
  <c r="Z236" i="3" s="1"/>
  <c r="N236" i="3"/>
  <c r="L236" i="3"/>
  <c r="B236" i="3"/>
  <c r="X235" i="3"/>
  <c r="Z235" i="3" s="1"/>
  <c r="T235" i="3"/>
  <c r="P235" i="3"/>
  <c r="H235" i="3"/>
  <c r="L235" i="3" s="1"/>
  <c r="D235" i="3"/>
  <c r="B235" i="3"/>
  <c r="X234" i="3"/>
  <c r="Z234" i="3" s="1"/>
  <c r="L234" i="3"/>
  <c r="N234" i="3" s="1"/>
  <c r="B234" i="3"/>
  <c r="X233" i="3"/>
  <c r="T233" i="3"/>
  <c r="Z233" i="3" s="1"/>
  <c r="P233" i="3"/>
  <c r="H233" i="3"/>
  <c r="D233" i="3"/>
  <c r="L233" i="3" s="1"/>
  <c r="B233" i="3"/>
  <c r="Z232" i="3"/>
  <c r="X232" i="3"/>
  <c r="L232" i="3"/>
  <c r="N232" i="3" s="1"/>
  <c r="B232" i="3"/>
  <c r="X231" i="3"/>
  <c r="T231" i="3"/>
  <c r="Z231" i="3" s="1"/>
  <c r="P231" i="3"/>
  <c r="H231" i="3"/>
  <c r="D231" i="3"/>
  <c r="L231" i="3" s="1"/>
  <c r="N231" i="3" s="1"/>
  <c r="B231" i="3"/>
  <c r="Z230" i="3"/>
  <c r="X230" i="3"/>
  <c r="L230" i="3"/>
  <c r="N230" i="3" s="1"/>
  <c r="B230" i="3"/>
  <c r="X229" i="3"/>
  <c r="Z229" i="3" s="1"/>
  <c r="L229" i="3"/>
  <c r="N229" i="3" s="1"/>
  <c r="B229" i="3"/>
  <c r="T228" i="3"/>
  <c r="P228" i="3"/>
  <c r="X228" i="3" s="1"/>
  <c r="N228" i="3"/>
  <c r="H228" i="3"/>
  <c r="D228" i="3"/>
  <c r="L228" i="3" s="1"/>
  <c r="B228" i="3"/>
  <c r="Z227" i="3"/>
  <c r="X227" i="3"/>
  <c r="L227" i="3"/>
  <c r="N227" i="3" s="1"/>
  <c r="B227" i="3"/>
  <c r="X226" i="3"/>
  <c r="Z226" i="3" s="1"/>
  <c r="L226" i="3"/>
  <c r="N226" i="3" s="1"/>
  <c r="B226" i="3"/>
  <c r="X225" i="3"/>
  <c r="Z225" i="3" s="1"/>
  <c r="N225" i="3"/>
  <c r="L225" i="3"/>
  <c r="B225" i="3"/>
  <c r="Z224" i="3"/>
  <c r="X224" i="3"/>
  <c r="T224" i="3"/>
  <c r="P224" i="3"/>
  <c r="L224" i="3"/>
  <c r="N224" i="3" s="1"/>
  <c r="H224" i="3"/>
  <c r="D224" i="3"/>
  <c r="B224" i="3"/>
  <c r="X223" i="3"/>
  <c r="Z223" i="3" s="1"/>
  <c r="L223" i="3"/>
  <c r="N223" i="3" s="1"/>
  <c r="B223" i="3"/>
  <c r="X222" i="3"/>
  <c r="T222" i="3"/>
  <c r="Z222" i="3" s="1"/>
  <c r="P222" i="3"/>
  <c r="H222" i="3"/>
  <c r="D222" i="3"/>
  <c r="L222" i="3" s="1"/>
  <c r="B222" i="3"/>
  <c r="X221" i="3"/>
  <c r="Z221" i="3" s="1"/>
  <c r="N221" i="3"/>
  <c r="L221" i="3"/>
  <c r="B221" i="3"/>
  <c r="X220" i="3"/>
  <c r="Z220" i="3" s="1"/>
  <c r="N220" i="3"/>
  <c r="L220" i="3"/>
  <c r="B220" i="3"/>
  <c r="X219" i="3"/>
  <c r="Z219" i="3" s="1"/>
  <c r="T219" i="3"/>
  <c r="P219" i="3"/>
  <c r="H219" i="3"/>
  <c r="L219" i="3" s="1"/>
  <c r="D219" i="3"/>
  <c r="B219" i="3"/>
  <c r="X218" i="3"/>
  <c r="Z218" i="3" s="1"/>
  <c r="L218" i="3"/>
  <c r="N218" i="3" s="1"/>
  <c r="B218" i="3"/>
  <c r="X217" i="3"/>
  <c r="T217" i="3"/>
  <c r="Z217" i="3" s="1"/>
  <c r="P217" i="3"/>
  <c r="H217" i="3"/>
  <c r="D217" i="3"/>
  <c r="B217" i="3"/>
  <c r="Z216" i="3"/>
  <c r="X216" i="3"/>
  <c r="L216" i="3"/>
  <c r="N216" i="3" s="1"/>
  <c r="B216" i="3"/>
  <c r="X215" i="3"/>
  <c r="Z215" i="3" s="1"/>
  <c r="L215" i="3"/>
  <c r="N215" i="3" s="1"/>
  <c r="B215" i="3"/>
  <c r="X214" i="3"/>
  <c r="Z214" i="3" s="1"/>
  <c r="N214" i="3"/>
  <c r="L214" i="3"/>
  <c r="B214" i="3"/>
  <c r="Z213" i="3"/>
  <c r="X213" i="3"/>
  <c r="L213" i="3"/>
  <c r="N213" i="3" s="1"/>
  <c r="F213" i="3"/>
  <c r="B213" i="3"/>
  <c r="Z212" i="3"/>
  <c r="X212" i="3"/>
  <c r="L212" i="3"/>
  <c r="N212" i="3" s="1"/>
  <c r="B212" i="3"/>
  <c r="X211" i="3"/>
  <c r="Z211" i="3" s="1"/>
  <c r="L211" i="3"/>
  <c r="N211" i="3" s="1"/>
  <c r="B211" i="3"/>
  <c r="X210" i="3"/>
  <c r="Z210" i="3" s="1"/>
  <c r="N210" i="3"/>
  <c r="L210" i="3"/>
  <c r="B210" i="3"/>
  <c r="T209" i="3"/>
  <c r="P209" i="3"/>
  <c r="X209" i="3" s="1"/>
  <c r="Z209" i="3" s="1"/>
  <c r="L209" i="3"/>
  <c r="H209" i="3"/>
  <c r="N209" i="3" s="1"/>
  <c r="D209" i="3"/>
  <c r="B209" i="3"/>
  <c r="X208" i="3"/>
  <c r="Z208" i="3" s="1"/>
  <c r="N208" i="3"/>
  <c r="L208" i="3"/>
  <c r="B208" i="3"/>
  <c r="X207" i="3"/>
  <c r="Z207" i="3" s="1"/>
  <c r="N207" i="3"/>
  <c r="L207" i="3"/>
  <c r="F207" i="3"/>
  <c r="B207" i="3"/>
  <c r="Z206" i="3"/>
  <c r="X206" i="3"/>
  <c r="L206" i="3"/>
  <c r="N206" i="3" s="1"/>
  <c r="B206" i="3"/>
  <c r="X205" i="3"/>
  <c r="Z205" i="3" s="1"/>
  <c r="L205" i="3"/>
  <c r="N205" i="3" s="1"/>
  <c r="B205" i="3"/>
  <c r="Z204" i="3"/>
  <c r="X204" i="3"/>
  <c r="N204" i="3"/>
  <c r="L204" i="3"/>
  <c r="B204" i="3"/>
  <c r="X203" i="3"/>
  <c r="Z203" i="3" s="1"/>
  <c r="N203" i="3"/>
  <c r="L203" i="3"/>
  <c r="F203" i="3"/>
  <c r="B203" i="3"/>
  <c r="Z202" i="3"/>
  <c r="X202" i="3"/>
  <c r="L202" i="3"/>
  <c r="N202" i="3" s="1"/>
  <c r="B202" i="3"/>
  <c r="X201" i="3"/>
  <c r="Z201" i="3" s="1"/>
  <c r="L201" i="3"/>
  <c r="N201" i="3" s="1"/>
  <c r="B201" i="3"/>
  <c r="X200" i="3"/>
  <c r="Z200" i="3" s="1"/>
  <c r="N200" i="3"/>
  <c r="L200" i="3"/>
  <c r="B200" i="3"/>
  <c r="X199" i="3"/>
  <c r="Z199" i="3" s="1"/>
  <c r="N199" i="3"/>
  <c r="L199" i="3"/>
  <c r="F199" i="3"/>
  <c r="B199" i="3"/>
  <c r="Z198" i="3"/>
  <c r="T198" i="3"/>
  <c r="P198" i="3"/>
  <c r="X198" i="3" s="1"/>
  <c r="H198" i="3"/>
  <c r="F198" i="3"/>
  <c r="D198" i="3"/>
  <c r="L198" i="3" s="1"/>
  <c r="B198" i="3"/>
  <c r="T197" i="3"/>
  <c r="X197" i="3" s="1"/>
  <c r="P197" i="3"/>
  <c r="H197" i="3"/>
  <c r="D197" i="3"/>
  <c r="L197" i="3" s="1"/>
  <c r="X193" i="3"/>
  <c r="Z193" i="3" s="1"/>
  <c r="N193" i="3"/>
  <c r="L193" i="3"/>
  <c r="B193" i="3"/>
  <c r="Z192" i="3"/>
  <c r="X192" i="3"/>
  <c r="N192" i="3"/>
  <c r="L192" i="3"/>
  <c r="B192" i="3"/>
  <c r="Z191" i="3"/>
  <c r="X191" i="3"/>
  <c r="N191" i="3"/>
  <c r="L191" i="3"/>
  <c r="B191" i="3"/>
  <c r="X190" i="3"/>
  <c r="Z190" i="3" s="1"/>
  <c r="N190" i="3"/>
  <c r="L190" i="3"/>
  <c r="B190" i="3"/>
  <c r="X189" i="3"/>
  <c r="Z189" i="3" s="1"/>
  <c r="N189" i="3"/>
  <c r="L189" i="3"/>
  <c r="B189" i="3"/>
  <c r="Z188" i="3"/>
  <c r="X188" i="3"/>
  <c r="N188" i="3"/>
  <c r="L188" i="3"/>
  <c r="B188" i="3"/>
  <c r="Z187" i="3"/>
  <c r="X187" i="3"/>
  <c r="L187" i="3"/>
  <c r="N187" i="3" s="1"/>
  <c r="B187" i="3"/>
  <c r="X186" i="3"/>
  <c r="Z186" i="3" s="1"/>
  <c r="L186" i="3"/>
  <c r="N186" i="3" s="1"/>
  <c r="B186" i="3"/>
  <c r="X185" i="3"/>
  <c r="Z185" i="3" s="1"/>
  <c r="N185" i="3"/>
  <c r="L185" i="3"/>
  <c r="B185" i="3"/>
  <c r="Z184" i="3"/>
  <c r="X184" i="3"/>
  <c r="N184" i="3"/>
  <c r="L184" i="3"/>
  <c r="B184" i="3"/>
  <c r="Z183" i="3"/>
  <c r="X183" i="3"/>
  <c r="L183" i="3"/>
  <c r="N183" i="3" s="1"/>
  <c r="B183" i="3"/>
  <c r="X182" i="3"/>
  <c r="Z182" i="3" s="1"/>
  <c r="L182" i="3"/>
  <c r="N182" i="3" s="1"/>
  <c r="B182" i="3"/>
  <c r="X181" i="3"/>
  <c r="Z181" i="3" s="1"/>
  <c r="N181" i="3"/>
  <c r="L181" i="3"/>
  <c r="B181" i="3"/>
  <c r="Z180" i="3"/>
  <c r="X180" i="3"/>
  <c r="N180" i="3"/>
  <c r="L180" i="3"/>
  <c r="B180" i="3"/>
  <c r="Z179" i="3"/>
  <c r="X179" i="3"/>
  <c r="L179" i="3"/>
  <c r="N179" i="3" s="1"/>
  <c r="B179" i="3"/>
  <c r="X178" i="3"/>
  <c r="Z178" i="3" s="1"/>
  <c r="L178" i="3"/>
  <c r="N178" i="3" s="1"/>
  <c r="B178" i="3"/>
  <c r="X177" i="3"/>
  <c r="Z177" i="3" s="1"/>
  <c r="N177" i="3"/>
  <c r="L177" i="3"/>
  <c r="B177" i="3"/>
  <c r="Z176" i="3"/>
  <c r="X176" i="3"/>
  <c r="N176" i="3"/>
  <c r="L176" i="3"/>
  <c r="B176" i="3"/>
  <c r="Z175" i="3"/>
  <c r="X175" i="3"/>
  <c r="L175" i="3"/>
  <c r="N175" i="3" s="1"/>
  <c r="B175" i="3"/>
  <c r="X174" i="3"/>
  <c r="Z174" i="3" s="1"/>
  <c r="L174" i="3"/>
  <c r="N174" i="3" s="1"/>
  <c r="B174" i="3"/>
  <c r="X173" i="3"/>
  <c r="Z173" i="3" s="1"/>
  <c r="N173" i="3"/>
  <c r="L173" i="3"/>
  <c r="B173" i="3"/>
  <c r="Z172" i="3"/>
  <c r="X172" i="3"/>
  <c r="N172" i="3"/>
  <c r="L172" i="3"/>
  <c r="B172" i="3"/>
  <c r="Z171" i="3"/>
  <c r="X171" i="3"/>
  <c r="L171" i="3"/>
  <c r="N171" i="3" s="1"/>
  <c r="B171" i="3"/>
  <c r="Z170" i="3"/>
  <c r="X170" i="3"/>
  <c r="N170" i="3"/>
  <c r="L170" i="3"/>
  <c r="B170" i="3"/>
  <c r="X169" i="3"/>
  <c r="Z169" i="3" s="1"/>
  <c r="N169" i="3"/>
  <c r="L169" i="3"/>
  <c r="B169" i="3"/>
  <c r="Z168" i="3"/>
  <c r="X168" i="3"/>
  <c r="N168" i="3"/>
  <c r="L168" i="3"/>
  <c r="B168" i="3"/>
  <c r="Z167" i="3"/>
  <c r="X167" i="3"/>
  <c r="L167" i="3"/>
  <c r="N167" i="3" s="1"/>
  <c r="B167" i="3"/>
  <c r="X166" i="3"/>
  <c r="Z166" i="3" s="1"/>
  <c r="L166" i="3"/>
  <c r="N166" i="3" s="1"/>
  <c r="B166" i="3"/>
  <c r="X165" i="3"/>
  <c r="Z165" i="3" s="1"/>
  <c r="N165" i="3"/>
  <c r="L165" i="3"/>
  <c r="B165" i="3"/>
  <c r="Z164" i="3"/>
  <c r="X164" i="3"/>
  <c r="N164" i="3"/>
  <c r="L164" i="3"/>
  <c r="B164" i="3"/>
  <c r="Z163" i="3"/>
  <c r="X163" i="3"/>
  <c r="L163" i="3"/>
  <c r="N163" i="3" s="1"/>
  <c r="B163" i="3"/>
  <c r="X162" i="3"/>
  <c r="Z162" i="3" s="1"/>
  <c r="L162" i="3"/>
  <c r="N162" i="3" s="1"/>
  <c r="B162" i="3"/>
  <c r="X161" i="3"/>
  <c r="Z161" i="3" s="1"/>
  <c r="N161" i="3"/>
  <c r="L161" i="3"/>
  <c r="B161" i="3"/>
  <c r="Z160" i="3"/>
  <c r="X160" i="3"/>
  <c r="N160" i="3"/>
  <c r="L160" i="3"/>
  <c r="B160" i="3"/>
  <c r="Z159" i="3"/>
  <c r="X159" i="3"/>
  <c r="L159" i="3"/>
  <c r="N159" i="3" s="1"/>
  <c r="B159" i="3"/>
  <c r="X158" i="3"/>
  <c r="Z158" i="3" s="1"/>
  <c r="L158" i="3"/>
  <c r="N158" i="3" s="1"/>
  <c r="B158" i="3"/>
  <c r="X157" i="3"/>
  <c r="Z157" i="3" s="1"/>
  <c r="N157" i="3"/>
  <c r="L157" i="3"/>
  <c r="B157" i="3"/>
  <c r="Z156" i="3"/>
  <c r="X156" i="3"/>
  <c r="N156" i="3"/>
  <c r="L156" i="3"/>
  <c r="B156" i="3"/>
  <c r="Z155" i="3"/>
  <c r="X155" i="3"/>
  <c r="L155" i="3"/>
  <c r="N155" i="3" s="1"/>
  <c r="B155" i="3"/>
  <c r="X154" i="3"/>
  <c r="Z154" i="3" s="1"/>
  <c r="L154" i="3"/>
  <c r="N154" i="3" s="1"/>
  <c r="B154" i="3"/>
  <c r="X153" i="3"/>
  <c r="Z153" i="3" s="1"/>
  <c r="N153" i="3"/>
  <c r="L153" i="3"/>
  <c r="B153" i="3"/>
  <c r="Z152" i="3"/>
  <c r="X152" i="3"/>
  <c r="N152" i="3"/>
  <c r="L152" i="3"/>
  <c r="B152" i="3"/>
  <c r="Z151" i="3"/>
  <c r="X151" i="3"/>
  <c r="L151" i="3"/>
  <c r="N151" i="3" s="1"/>
  <c r="B151" i="3"/>
  <c r="X150" i="3"/>
  <c r="Z150" i="3" s="1"/>
  <c r="L150" i="3"/>
  <c r="N150" i="3" s="1"/>
  <c r="B150" i="3"/>
  <c r="X149" i="3"/>
  <c r="Z149" i="3" s="1"/>
  <c r="N149" i="3"/>
  <c r="L149" i="3"/>
  <c r="B149" i="3"/>
  <c r="Z148" i="3"/>
  <c r="X148" i="3"/>
  <c r="N148" i="3"/>
  <c r="L148" i="3"/>
  <c r="B148" i="3"/>
  <c r="Z147" i="3"/>
  <c r="X147" i="3"/>
  <c r="L147" i="3"/>
  <c r="N147" i="3" s="1"/>
  <c r="B147" i="3"/>
  <c r="X146" i="3"/>
  <c r="Z146" i="3" s="1"/>
  <c r="L146" i="3"/>
  <c r="N146" i="3" s="1"/>
  <c r="B146" i="3"/>
  <c r="X145" i="3"/>
  <c r="Z145" i="3" s="1"/>
  <c r="N145" i="3"/>
  <c r="L145" i="3"/>
  <c r="B145" i="3"/>
  <c r="Z144" i="3"/>
  <c r="X144" i="3"/>
  <c r="N144" i="3"/>
  <c r="L144" i="3"/>
  <c r="B144" i="3"/>
  <c r="Z143" i="3"/>
  <c r="X143" i="3"/>
  <c r="N143" i="3"/>
  <c r="L143" i="3"/>
  <c r="B143" i="3"/>
  <c r="Z142" i="3"/>
  <c r="X142" i="3"/>
  <c r="N142" i="3"/>
  <c r="L142" i="3"/>
  <c r="B142" i="3"/>
  <c r="X141" i="3"/>
  <c r="Z141" i="3" s="1"/>
  <c r="N141" i="3"/>
  <c r="L141" i="3"/>
  <c r="B141" i="3"/>
  <c r="Z140" i="3"/>
  <c r="X140" i="3"/>
  <c r="N140" i="3"/>
  <c r="L140" i="3"/>
  <c r="B140" i="3"/>
  <c r="Z139" i="3"/>
  <c r="X139" i="3"/>
  <c r="L139" i="3"/>
  <c r="N139" i="3" s="1"/>
  <c r="B139" i="3"/>
  <c r="X138" i="3"/>
  <c r="Z138" i="3" s="1"/>
  <c r="L138" i="3"/>
  <c r="N138" i="3" s="1"/>
  <c r="B138" i="3"/>
  <c r="X137" i="3"/>
  <c r="Z137" i="3" s="1"/>
  <c r="N137" i="3"/>
  <c r="L137" i="3"/>
  <c r="B137" i="3"/>
  <c r="Z136" i="3"/>
  <c r="X136" i="3"/>
  <c r="N136" i="3"/>
  <c r="L136" i="3"/>
  <c r="B136" i="3"/>
  <c r="Z135" i="3"/>
  <c r="X135" i="3"/>
  <c r="L135" i="3"/>
  <c r="N135" i="3" s="1"/>
  <c r="B135" i="3"/>
  <c r="X134" i="3"/>
  <c r="Z134" i="3" s="1"/>
  <c r="T134" i="3"/>
  <c r="P134" i="3"/>
  <c r="N134" i="3"/>
  <c r="H134" i="3"/>
  <c r="D134" i="3"/>
  <c r="L134" i="3" s="1"/>
  <c r="X132" i="3"/>
  <c r="Z132" i="3" s="1"/>
  <c r="T132" i="3"/>
  <c r="P132" i="3"/>
  <c r="H132" i="3"/>
  <c r="D132" i="3"/>
  <c r="B132" i="3"/>
  <c r="X131" i="3"/>
  <c r="T131" i="3"/>
  <c r="Z131" i="3" s="1"/>
  <c r="P131" i="3"/>
  <c r="N131" i="3"/>
  <c r="L131" i="3"/>
  <c r="H131" i="3"/>
  <c r="D131" i="3"/>
  <c r="B131" i="3"/>
  <c r="Z130" i="3"/>
  <c r="T130" i="3"/>
  <c r="X130" i="3" s="1"/>
  <c r="P130" i="3"/>
  <c r="N130" i="3"/>
  <c r="H130" i="3"/>
  <c r="D130" i="3"/>
  <c r="L130" i="3" s="1"/>
  <c r="B130" i="3"/>
  <c r="T129" i="3"/>
  <c r="P129" i="3"/>
  <c r="X129" i="3" s="1"/>
  <c r="N129" i="3"/>
  <c r="L129" i="3"/>
  <c r="H129" i="3"/>
  <c r="D129" i="3"/>
  <c r="B129" i="3"/>
  <c r="X128" i="3"/>
  <c r="Z128" i="3" s="1"/>
  <c r="T128" i="3"/>
  <c r="P128" i="3"/>
  <c r="H128" i="3"/>
  <c r="D128" i="3"/>
  <c r="B128" i="3"/>
  <c r="X127" i="3"/>
  <c r="T127" i="3"/>
  <c r="Z127" i="3" s="1"/>
  <c r="P127" i="3"/>
  <c r="N127" i="3"/>
  <c r="L127" i="3"/>
  <c r="H127" i="3"/>
  <c r="D127" i="3"/>
  <c r="B127" i="3"/>
  <c r="T126" i="3"/>
  <c r="X126" i="3" s="1"/>
  <c r="P126" i="3"/>
  <c r="H126" i="3"/>
  <c r="D126" i="3"/>
  <c r="L126" i="3" s="1"/>
  <c r="N126" i="3" s="1"/>
  <c r="B126" i="3"/>
  <c r="T125" i="3"/>
  <c r="P125" i="3"/>
  <c r="X125" i="3" s="1"/>
  <c r="N125" i="3"/>
  <c r="L125" i="3"/>
  <c r="H125" i="3"/>
  <c r="D125" i="3"/>
  <c r="B125" i="3"/>
  <c r="X124" i="3"/>
  <c r="Z124" i="3" s="1"/>
  <c r="T124" i="3"/>
  <c r="P124" i="3"/>
  <c r="H124" i="3"/>
  <c r="D124" i="3"/>
  <c r="B124" i="3"/>
  <c r="X123" i="3"/>
  <c r="T123" i="3"/>
  <c r="Z123" i="3" s="1"/>
  <c r="P123" i="3"/>
  <c r="N123" i="3"/>
  <c r="L123" i="3"/>
  <c r="H123" i="3"/>
  <c r="D123" i="3"/>
  <c r="B123" i="3"/>
  <c r="T122" i="3"/>
  <c r="X122" i="3" s="1"/>
  <c r="P122" i="3"/>
  <c r="N122" i="3"/>
  <c r="H122" i="3"/>
  <c r="D122" i="3"/>
  <c r="L122" i="3" s="1"/>
  <c r="B122" i="3"/>
  <c r="T121" i="3"/>
  <c r="P121" i="3"/>
  <c r="X121" i="3" s="1"/>
  <c r="N121" i="3"/>
  <c r="L121" i="3"/>
  <c r="H121" i="3"/>
  <c r="D121" i="3"/>
  <c r="B121" i="3"/>
  <c r="X120" i="3"/>
  <c r="Z120" i="3" s="1"/>
  <c r="T120" i="3"/>
  <c r="P120" i="3"/>
  <c r="H120" i="3"/>
  <c r="D120" i="3"/>
  <c r="B120" i="3"/>
  <c r="X119" i="3"/>
  <c r="T119" i="3"/>
  <c r="Z119" i="3" s="1"/>
  <c r="P119" i="3"/>
  <c r="N119" i="3"/>
  <c r="L119" i="3"/>
  <c r="H119" i="3"/>
  <c r="D119" i="3"/>
  <c r="B119" i="3"/>
  <c r="T118" i="3"/>
  <c r="X118" i="3" s="1"/>
  <c r="P118" i="3"/>
  <c r="H118" i="3"/>
  <c r="D118" i="3"/>
  <c r="L118" i="3" s="1"/>
  <c r="N118" i="3" s="1"/>
  <c r="B118" i="3"/>
  <c r="T117" i="3"/>
  <c r="P117" i="3"/>
  <c r="X117" i="3" s="1"/>
  <c r="N117" i="3"/>
  <c r="L117" i="3"/>
  <c r="H117" i="3"/>
  <c r="D117" i="3"/>
  <c r="B117" i="3"/>
  <c r="X116" i="3"/>
  <c r="Z116" i="3" s="1"/>
  <c r="T116" i="3"/>
  <c r="P116" i="3"/>
  <c r="H116" i="3"/>
  <c r="D116" i="3"/>
  <c r="B116" i="3"/>
  <c r="X115" i="3"/>
  <c r="T115" i="3"/>
  <c r="Z115" i="3" s="1"/>
  <c r="P115" i="3"/>
  <c r="N115" i="3"/>
  <c r="L115" i="3"/>
  <c r="H115" i="3"/>
  <c r="D115" i="3"/>
  <c r="B115" i="3"/>
  <c r="T114" i="3"/>
  <c r="X114" i="3" s="1"/>
  <c r="P114" i="3"/>
  <c r="N114" i="3"/>
  <c r="H114" i="3"/>
  <c r="D114" i="3"/>
  <c r="L114" i="3" s="1"/>
  <c r="B114" i="3"/>
  <c r="T113" i="3"/>
  <c r="P113" i="3"/>
  <c r="X113" i="3" s="1"/>
  <c r="L113" i="3"/>
  <c r="N113" i="3" s="1"/>
  <c r="H113" i="3"/>
  <c r="D113" i="3"/>
  <c r="B113" i="3"/>
  <c r="X112" i="3"/>
  <c r="T112" i="3"/>
  <c r="Z112" i="3" s="1"/>
  <c r="P112" i="3"/>
  <c r="H112" i="3"/>
  <c r="D112" i="3"/>
  <c r="B112" i="3"/>
  <c r="X111" i="3"/>
  <c r="T111" i="3"/>
  <c r="Z111" i="3" s="1"/>
  <c r="P111" i="3"/>
  <c r="N111" i="3"/>
  <c r="L111" i="3"/>
  <c r="H111" i="3"/>
  <c r="D111" i="3"/>
  <c r="B111" i="3"/>
  <c r="T110" i="3"/>
  <c r="X110" i="3" s="1"/>
  <c r="P110" i="3"/>
  <c r="N110" i="3"/>
  <c r="H110" i="3"/>
  <c r="D110" i="3"/>
  <c r="L110" i="3" s="1"/>
  <c r="B110" i="3"/>
  <c r="T109" i="3"/>
  <c r="Z109" i="3" s="1"/>
  <c r="P109" i="3"/>
  <c r="X109" i="3" s="1"/>
  <c r="L109" i="3"/>
  <c r="N109" i="3" s="1"/>
  <c r="H109" i="3"/>
  <c r="D109" i="3"/>
  <c r="B109" i="3"/>
  <c r="X108" i="3"/>
  <c r="T108" i="3"/>
  <c r="Z108" i="3" s="1"/>
  <c r="P108" i="3"/>
  <c r="H108" i="3"/>
  <c r="D108" i="3"/>
  <c r="B108" i="3"/>
  <c r="X107" i="3"/>
  <c r="T107" i="3"/>
  <c r="Z107" i="3" s="1"/>
  <c r="P107" i="3"/>
  <c r="N107" i="3"/>
  <c r="L107" i="3"/>
  <c r="H107" i="3"/>
  <c r="D107" i="3"/>
  <c r="B107" i="3"/>
  <c r="Z106" i="3"/>
  <c r="T106" i="3"/>
  <c r="X106" i="3" s="1"/>
  <c r="P106" i="3"/>
  <c r="H106" i="3"/>
  <c r="D106" i="3"/>
  <c r="L106" i="3" s="1"/>
  <c r="N106" i="3" s="1"/>
  <c r="B106" i="3"/>
  <c r="T105" i="3"/>
  <c r="P105" i="3"/>
  <c r="X105" i="3" s="1"/>
  <c r="L105" i="3"/>
  <c r="N105" i="3" s="1"/>
  <c r="H105" i="3"/>
  <c r="D105" i="3"/>
  <c r="B105" i="3"/>
  <c r="X104" i="3"/>
  <c r="T104" i="3"/>
  <c r="Z104" i="3" s="1"/>
  <c r="P104" i="3"/>
  <c r="H104" i="3"/>
  <c r="D104" i="3"/>
  <c r="B104" i="3"/>
  <c r="X103" i="3"/>
  <c r="T103" i="3"/>
  <c r="Z103" i="3" s="1"/>
  <c r="P103" i="3"/>
  <c r="N103" i="3"/>
  <c r="L103" i="3"/>
  <c r="H103" i="3"/>
  <c r="D103" i="3"/>
  <c r="B103" i="3"/>
  <c r="T102" i="3"/>
  <c r="X102" i="3" s="1"/>
  <c r="P102" i="3"/>
  <c r="H102" i="3"/>
  <c r="D102" i="3"/>
  <c r="L102" i="3" s="1"/>
  <c r="N102" i="3" s="1"/>
  <c r="B102" i="3"/>
  <c r="T101" i="3"/>
  <c r="P101" i="3"/>
  <c r="X101" i="3" s="1"/>
  <c r="L101" i="3"/>
  <c r="N101" i="3" s="1"/>
  <c r="H101" i="3"/>
  <c r="D101" i="3"/>
  <c r="B101" i="3"/>
  <c r="X100" i="3"/>
  <c r="T100" i="3"/>
  <c r="Z100" i="3" s="1"/>
  <c r="P100" i="3"/>
  <c r="H100" i="3"/>
  <c r="D100" i="3"/>
  <c r="B100" i="3"/>
  <c r="X99" i="3"/>
  <c r="T99" i="3"/>
  <c r="Z99" i="3" s="1"/>
  <c r="P99" i="3"/>
  <c r="N99" i="3"/>
  <c r="L99" i="3"/>
  <c r="H99" i="3"/>
  <c r="D99" i="3"/>
  <c r="B99" i="3"/>
  <c r="Z98" i="3"/>
  <c r="T98" i="3"/>
  <c r="X98" i="3" s="1"/>
  <c r="P98" i="3"/>
  <c r="N98" i="3"/>
  <c r="H98" i="3"/>
  <c r="D98" i="3"/>
  <c r="L98" i="3" s="1"/>
  <c r="B98" i="3"/>
  <c r="T97" i="3"/>
  <c r="P97" i="3"/>
  <c r="X97" i="3" s="1"/>
  <c r="L97" i="3"/>
  <c r="N97" i="3" s="1"/>
  <c r="H97" i="3"/>
  <c r="D97" i="3"/>
  <c r="B97" i="3"/>
  <c r="X96" i="3"/>
  <c r="T96" i="3"/>
  <c r="Z96" i="3" s="1"/>
  <c r="P96" i="3"/>
  <c r="H96" i="3"/>
  <c r="D96" i="3"/>
  <c r="B96" i="3"/>
  <c r="X95" i="3"/>
  <c r="T95" i="3"/>
  <c r="Z95" i="3" s="1"/>
  <c r="P95" i="3"/>
  <c r="N95" i="3"/>
  <c r="L95" i="3"/>
  <c r="H95" i="3"/>
  <c r="D95" i="3"/>
  <c r="B95" i="3"/>
  <c r="Z94" i="3"/>
  <c r="T94" i="3"/>
  <c r="X94" i="3" s="1"/>
  <c r="P94" i="3"/>
  <c r="H94" i="3"/>
  <c r="D94" i="3"/>
  <c r="L94" i="3" s="1"/>
  <c r="N94" i="3" s="1"/>
  <c r="B94" i="3"/>
  <c r="T93" i="3"/>
  <c r="P93" i="3"/>
  <c r="X93" i="3" s="1"/>
  <c r="L93" i="3"/>
  <c r="N93" i="3" s="1"/>
  <c r="H93" i="3"/>
  <c r="D93" i="3"/>
  <c r="B93" i="3"/>
  <c r="X92" i="3"/>
  <c r="T92" i="3"/>
  <c r="Z92" i="3" s="1"/>
  <c r="P92" i="3"/>
  <c r="H92" i="3"/>
  <c r="D92" i="3"/>
  <c r="B92" i="3"/>
  <c r="X91" i="3"/>
  <c r="T91" i="3"/>
  <c r="Z91" i="3" s="1"/>
  <c r="P91" i="3"/>
  <c r="N91" i="3"/>
  <c r="L91" i="3"/>
  <c r="H91" i="3"/>
  <c r="D91" i="3"/>
  <c r="B91" i="3"/>
  <c r="T90" i="3"/>
  <c r="X90" i="3" s="1"/>
  <c r="P90" i="3"/>
  <c r="H90" i="3"/>
  <c r="D90" i="3"/>
  <c r="L90" i="3" s="1"/>
  <c r="N90" i="3" s="1"/>
  <c r="B90" i="3"/>
  <c r="T89" i="3"/>
  <c r="P89" i="3"/>
  <c r="X89" i="3" s="1"/>
  <c r="L89" i="3"/>
  <c r="N89" i="3" s="1"/>
  <c r="H89" i="3"/>
  <c r="D89" i="3"/>
  <c r="B89" i="3"/>
  <c r="X88" i="3"/>
  <c r="T88" i="3"/>
  <c r="Z88" i="3" s="1"/>
  <c r="P88" i="3"/>
  <c r="H88" i="3"/>
  <c r="D88" i="3"/>
  <c r="B88" i="3"/>
  <c r="X87" i="3"/>
  <c r="T87" i="3"/>
  <c r="Z87" i="3" s="1"/>
  <c r="P87" i="3"/>
  <c r="N87" i="3"/>
  <c r="L87" i="3"/>
  <c r="H87" i="3"/>
  <c r="D87" i="3"/>
  <c r="B87" i="3"/>
  <c r="T86" i="3"/>
  <c r="X86" i="3" s="1"/>
  <c r="P86" i="3"/>
  <c r="N86" i="3"/>
  <c r="H86" i="3"/>
  <c r="D86" i="3"/>
  <c r="L86" i="3" s="1"/>
  <c r="B86" i="3"/>
  <c r="T85" i="3"/>
  <c r="P85" i="3"/>
  <c r="X85" i="3" s="1"/>
  <c r="L85" i="3"/>
  <c r="N85" i="3" s="1"/>
  <c r="H85" i="3"/>
  <c r="D85" i="3"/>
  <c r="B85" i="3"/>
  <c r="X84" i="3"/>
  <c r="T84" i="3"/>
  <c r="Z84" i="3" s="1"/>
  <c r="P84" i="3"/>
  <c r="H84" i="3"/>
  <c r="D84" i="3"/>
  <c r="B84" i="3"/>
  <c r="X83" i="3"/>
  <c r="T83" i="3"/>
  <c r="Z83" i="3" s="1"/>
  <c r="P83" i="3"/>
  <c r="N83" i="3"/>
  <c r="L83" i="3"/>
  <c r="H83" i="3"/>
  <c r="D83" i="3"/>
  <c r="B83" i="3"/>
  <c r="T82" i="3"/>
  <c r="X82" i="3" s="1"/>
  <c r="P82" i="3"/>
  <c r="H82" i="3"/>
  <c r="D82" i="3"/>
  <c r="L82" i="3" s="1"/>
  <c r="N82" i="3" s="1"/>
  <c r="B82" i="3"/>
  <c r="T81" i="3"/>
  <c r="P81" i="3"/>
  <c r="X81" i="3" s="1"/>
  <c r="L81" i="3"/>
  <c r="N81" i="3" s="1"/>
  <c r="H81" i="3"/>
  <c r="D81" i="3"/>
  <c r="B81" i="3"/>
  <c r="X80" i="3"/>
  <c r="T80" i="3"/>
  <c r="Z80" i="3" s="1"/>
  <c r="P80" i="3"/>
  <c r="H80" i="3"/>
  <c r="D80" i="3"/>
  <c r="B80" i="3"/>
  <c r="T79" i="3"/>
  <c r="X79" i="3" s="1"/>
  <c r="P79" i="3"/>
  <c r="N79" i="3"/>
  <c r="L79" i="3"/>
  <c r="H79" i="3"/>
  <c r="D79" i="3"/>
  <c r="B79" i="3"/>
  <c r="T78" i="3"/>
  <c r="X78" i="3" s="1"/>
  <c r="P78" i="3"/>
  <c r="H78" i="3"/>
  <c r="D78" i="3"/>
  <c r="L78" i="3" s="1"/>
  <c r="N78" i="3" s="1"/>
  <c r="B78" i="3"/>
  <c r="T77" i="3"/>
  <c r="P77" i="3"/>
  <c r="X77" i="3" s="1"/>
  <c r="L77" i="3"/>
  <c r="N77" i="3" s="1"/>
  <c r="H77" i="3"/>
  <c r="D77" i="3"/>
  <c r="B77" i="3"/>
  <c r="X76" i="3"/>
  <c r="T76" i="3"/>
  <c r="Z76" i="3" s="1"/>
  <c r="P76" i="3"/>
  <c r="H76" i="3"/>
  <c r="D76" i="3"/>
  <c r="B76" i="3"/>
  <c r="T75" i="3"/>
  <c r="X75" i="3" s="1"/>
  <c r="P75" i="3"/>
  <c r="N75" i="3"/>
  <c r="L75" i="3"/>
  <c r="H75" i="3"/>
  <c r="D75" i="3"/>
  <c r="B75" i="3"/>
  <c r="Z74" i="3"/>
  <c r="T74" i="3"/>
  <c r="X74" i="3" s="1"/>
  <c r="P74" i="3"/>
  <c r="H74" i="3"/>
  <c r="D74" i="3"/>
  <c r="L74" i="3" s="1"/>
  <c r="N74" i="3" s="1"/>
  <c r="B74" i="3"/>
  <c r="T73" i="3"/>
  <c r="Z73" i="3" s="1"/>
  <c r="P73" i="3"/>
  <c r="X73" i="3" s="1"/>
  <c r="L73" i="3"/>
  <c r="N73" i="3" s="1"/>
  <c r="H73" i="3"/>
  <c r="D73" i="3"/>
  <c r="B73" i="3"/>
  <c r="X72" i="3"/>
  <c r="T72" i="3"/>
  <c r="Z72" i="3" s="1"/>
  <c r="P72" i="3"/>
  <c r="H72" i="3"/>
  <c r="D72" i="3"/>
  <c r="B72" i="3"/>
  <c r="T71" i="3"/>
  <c r="X71" i="3" s="1"/>
  <c r="P71" i="3"/>
  <c r="N71" i="3"/>
  <c r="L71" i="3"/>
  <c r="H71" i="3"/>
  <c r="D71" i="3"/>
  <c r="B71" i="3"/>
  <c r="Z70" i="3"/>
  <c r="T70" i="3"/>
  <c r="X70" i="3" s="1"/>
  <c r="P70" i="3"/>
  <c r="N70" i="3"/>
  <c r="H70" i="3"/>
  <c r="D70" i="3"/>
  <c r="L70" i="3" s="1"/>
  <c r="B70" i="3"/>
  <c r="T69" i="3"/>
  <c r="Z69" i="3" s="1"/>
  <c r="P69" i="3"/>
  <c r="X69" i="3" s="1"/>
  <c r="L69" i="3"/>
  <c r="N69" i="3" s="1"/>
  <c r="H69" i="3"/>
  <c r="D69" i="3"/>
  <c r="B69" i="3"/>
  <c r="X68" i="3"/>
  <c r="T68" i="3"/>
  <c r="Z68" i="3" s="1"/>
  <c r="P68" i="3"/>
  <c r="H68" i="3"/>
  <c r="D68" i="3"/>
  <c r="B68" i="3"/>
  <c r="T67" i="3"/>
  <c r="X67" i="3" s="1"/>
  <c r="P67" i="3"/>
  <c r="N67" i="3"/>
  <c r="L67" i="3"/>
  <c r="H67" i="3"/>
  <c r="D67" i="3"/>
  <c r="B67" i="3"/>
  <c r="Z66" i="3"/>
  <c r="T66" i="3"/>
  <c r="X66" i="3" s="1"/>
  <c r="P66" i="3"/>
  <c r="N66" i="3"/>
  <c r="H66" i="3"/>
  <c r="D66" i="3"/>
  <c r="L66" i="3" s="1"/>
  <c r="B66" i="3"/>
  <c r="T65" i="3"/>
  <c r="P65" i="3"/>
  <c r="X65" i="3" s="1"/>
  <c r="L65" i="3"/>
  <c r="N65" i="3" s="1"/>
  <c r="H65" i="3"/>
  <c r="D65" i="3"/>
  <c r="B65" i="3"/>
  <c r="X64" i="3"/>
  <c r="T64" i="3"/>
  <c r="Z64" i="3" s="1"/>
  <c r="P64" i="3"/>
  <c r="H64" i="3"/>
  <c r="D64" i="3"/>
  <c r="B64" i="3"/>
  <c r="T63" i="3"/>
  <c r="X63" i="3" s="1"/>
  <c r="P63" i="3"/>
  <c r="N63" i="3"/>
  <c r="L63" i="3"/>
  <c r="H63" i="3"/>
  <c r="D63" i="3"/>
  <c r="B63" i="3"/>
  <c r="T62" i="3"/>
  <c r="X62" i="3" s="1"/>
  <c r="P62" i="3"/>
  <c r="H62" i="3"/>
  <c r="D62" i="3"/>
  <c r="L62" i="3" s="1"/>
  <c r="N62" i="3" s="1"/>
  <c r="B62" i="3"/>
  <c r="T61" i="3"/>
  <c r="P61" i="3"/>
  <c r="X61" i="3" s="1"/>
  <c r="N61" i="3"/>
  <c r="L61" i="3"/>
  <c r="H61" i="3"/>
  <c r="D61" i="3"/>
  <c r="B61" i="3"/>
  <c r="X60" i="3"/>
  <c r="T60" i="3"/>
  <c r="Z60" i="3" s="1"/>
  <c r="P60" i="3"/>
  <c r="H60" i="3"/>
  <c r="D60" i="3"/>
  <c r="B60" i="3"/>
  <c r="T59" i="3"/>
  <c r="X59" i="3" s="1"/>
  <c r="P59" i="3"/>
  <c r="N59" i="3"/>
  <c r="L59" i="3"/>
  <c r="H59" i="3"/>
  <c r="D59" i="3"/>
  <c r="B59" i="3"/>
  <c r="T58" i="3"/>
  <c r="X58" i="3" s="1"/>
  <c r="P58" i="3"/>
  <c r="N58" i="3"/>
  <c r="H58" i="3"/>
  <c r="D58" i="3"/>
  <c r="L58" i="3" s="1"/>
  <c r="B58" i="3"/>
  <c r="T57" i="3"/>
  <c r="P57" i="3"/>
  <c r="X57" i="3" s="1"/>
  <c r="L57" i="3"/>
  <c r="N57" i="3" s="1"/>
  <c r="H57" i="3"/>
  <c r="D57" i="3"/>
  <c r="B57" i="3"/>
  <c r="X56" i="3"/>
  <c r="T56" i="3"/>
  <c r="Z56" i="3" s="1"/>
  <c r="P56" i="3"/>
  <c r="H56" i="3"/>
  <c r="D56" i="3"/>
  <c r="B56" i="3"/>
  <c r="T55" i="3"/>
  <c r="X55" i="3" s="1"/>
  <c r="P55" i="3"/>
  <c r="N55" i="3"/>
  <c r="L55" i="3"/>
  <c r="H55" i="3"/>
  <c r="D55" i="3"/>
  <c r="B55" i="3"/>
  <c r="T54" i="3"/>
  <c r="X54" i="3" s="1"/>
  <c r="P54" i="3"/>
  <c r="H54" i="3"/>
  <c r="D54" i="3"/>
  <c r="L54" i="3" s="1"/>
  <c r="N54" i="3" s="1"/>
  <c r="B54" i="3"/>
  <c r="T53" i="3"/>
  <c r="Z53" i="3" s="1"/>
  <c r="P53" i="3"/>
  <c r="X53" i="3" s="1"/>
  <c r="L53" i="3"/>
  <c r="N53" i="3" s="1"/>
  <c r="H53" i="3"/>
  <c r="D53" i="3"/>
  <c r="B53" i="3"/>
  <c r="X52" i="3"/>
  <c r="T52" i="3"/>
  <c r="Z52" i="3" s="1"/>
  <c r="P52" i="3"/>
  <c r="H52" i="3"/>
  <c r="D52" i="3"/>
  <c r="B52" i="3"/>
  <c r="T51" i="3"/>
  <c r="X51" i="3" s="1"/>
  <c r="P51" i="3"/>
  <c r="N51" i="3"/>
  <c r="L51" i="3"/>
  <c r="H51" i="3"/>
  <c r="D51" i="3"/>
  <c r="B51" i="3"/>
  <c r="T50" i="3"/>
  <c r="X50" i="3" s="1"/>
  <c r="P50" i="3"/>
  <c r="N50" i="3"/>
  <c r="H50" i="3"/>
  <c r="D50" i="3"/>
  <c r="L50" i="3" s="1"/>
  <c r="B50" i="3"/>
  <c r="T49" i="3"/>
  <c r="P49" i="3"/>
  <c r="X49" i="3" s="1"/>
  <c r="N49" i="3"/>
  <c r="L49" i="3"/>
  <c r="H49" i="3"/>
  <c r="D49" i="3"/>
  <c r="B49" i="3"/>
  <c r="X48" i="3"/>
  <c r="T48" i="3"/>
  <c r="Z48" i="3" s="1"/>
  <c r="P48" i="3"/>
  <c r="H48" i="3"/>
  <c r="D48" i="3"/>
  <c r="B48" i="3"/>
  <c r="T47" i="3"/>
  <c r="X47" i="3" s="1"/>
  <c r="P47" i="3"/>
  <c r="N47" i="3"/>
  <c r="L47" i="3"/>
  <c r="H47" i="3"/>
  <c r="D47" i="3"/>
  <c r="B47" i="3"/>
  <c r="Z46" i="3"/>
  <c r="T46" i="3"/>
  <c r="X46" i="3" s="1"/>
  <c r="P46" i="3"/>
  <c r="H46" i="3"/>
  <c r="D46" i="3"/>
  <c r="L46" i="3" s="1"/>
  <c r="N46" i="3" s="1"/>
  <c r="B46" i="3"/>
  <c r="T45" i="3"/>
  <c r="P45" i="3"/>
  <c r="X45" i="3" s="1"/>
  <c r="L45" i="3"/>
  <c r="N45" i="3" s="1"/>
  <c r="H45" i="3"/>
  <c r="D45" i="3"/>
  <c r="B45" i="3"/>
  <c r="X44" i="3"/>
  <c r="T44" i="3"/>
  <c r="Z44" i="3" s="1"/>
  <c r="P44" i="3"/>
  <c r="H44" i="3"/>
  <c r="D44" i="3"/>
  <c r="B44" i="3"/>
  <c r="T43" i="3"/>
  <c r="X43" i="3" s="1"/>
  <c r="P43" i="3"/>
  <c r="N43" i="3"/>
  <c r="L43" i="3"/>
  <c r="H43" i="3"/>
  <c r="D43" i="3"/>
  <c r="B43" i="3"/>
  <c r="T42" i="3"/>
  <c r="X42" i="3" s="1"/>
  <c r="P42" i="3"/>
  <c r="H42" i="3"/>
  <c r="D42" i="3"/>
  <c r="L42" i="3" s="1"/>
  <c r="N42" i="3" s="1"/>
  <c r="B42" i="3"/>
  <c r="T41" i="3"/>
  <c r="Z41" i="3" s="1"/>
  <c r="P41" i="3"/>
  <c r="X41" i="3" s="1"/>
  <c r="L41" i="3"/>
  <c r="N41" i="3" s="1"/>
  <c r="H41" i="3"/>
  <c r="D41" i="3"/>
  <c r="B41" i="3"/>
  <c r="X40" i="3"/>
  <c r="T40" i="3"/>
  <c r="Z40" i="3" s="1"/>
  <c r="P40" i="3"/>
  <c r="H40" i="3"/>
  <c r="D40" i="3"/>
  <c r="B40" i="3"/>
  <c r="T39" i="3"/>
  <c r="X39" i="3" s="1"/>
  <c r="P39" i="3"/>
  <c r="N39" i="3"/>
  <c r="L39" i="3"/>
  <c r="H39" i="3"/>
  <c r="D39" i="3"/>
  <c r="B39" i="3"/>
  <c r="Z38" i="3"/>
  <c r="T38" i="3"/>
  <c r="X38" i="3" s="1"/>
  <c r="P38" i="3"/>
  <c r="H38" i="3"/>
  <c r="D38" i="3"/>
  <c r="L38" i="3" s="1"/>
  <c r="N38" i="3" s="1"/>
  <c r="B38" i="3"/>
  <c r="T37" i="3"/>
  <c r="P37" i="3"/>
  <c r="X37" i="3" s="1"/>
  <c r="L37" i="3"/>
  <c r="N37" i="3" s="1"/>
  <c r="H37" i="3"/>
  <c r="D37" i="3"/>
  <c r="B37" i="3"/>
  <c r="X36" i="3"/>
  <c r="T36" i="3"/>
  <c r="Z36" i="3" s="1"/>
  <c r="P36" i="3"/>
  <c r="H36" i="3"/>
  <c r="D36" i="3"/>
  <c r="B36" i="3"/>
  <c r="T35" i="3"/>
  <c r="X35" i="3" s="1"/>
  <c r="P35" i="3"/>
  <c r="N35" i="3"/>
  <c r="L35" i="3"/>
  <c r="H35" i="3"/>
  <c r="D35" i="3"/>
  <c r="B35" i="3"/>
  <c r="T34" i="3"/>
  <c r="X34" i="3" s="1"/>
  <c r="P34" i="3"/>
  <c r="H34" i="3"/>
  <c r="D34" i="3"/>
  <c r="L34" i="3" s="1"/>
  <c r="N34" i="3" s="1"/>
  <c r="B34" i="3"/>
  <c r="T33" i="3"/>
  <c r="P33" i="3"/>
  <c r="X33" i="3" s="1"/>
  <c r="L33" i="3"/>
  <c r="N33" i="3" s="1"/>
  <c r="H33" i="3"/>
  <c r="D33" i="3"/>
  <c r="B33" i="3"/>
  <c r="X32" i="3"/>
  <c r="T32" i="3"/>
  <c r="Z32" i="3" s="1"/>
  <c r="P32" i="3"/>
  <c r="H32" i="3"/>
  <c r="D32" i="3"/>
  <c r="B32" i="3"/>
  <c r="T31" i="3"/>
  <c r="X31" i="3" s="1"/>
  <c r="P31" i="3"/>
  <c r="N31" i="3"/>
  <c r="L31" i="3"/>
  <c r="H31" i="3"/>
  <c r="D31" i="3"/>
  <c r="B31" i="3"/>
  <c r="T30" i="3"/>
  <c r="X30" i="3" s="1"/>
  <c r="P30" i="3"/>
  <c r="H30" i="3"/>
  <c r="D30" i="3"/>
  <c r="L30" i="3" s="1"/>
  <c r="N30" i="3" s="1"/>
  <c r="B30" i="3"/>
  <c r="T29" i="3"/>
  <c r="Z29" i="3" s="1"/>
  <c r="P29" i="3"/>
  <c r="X29" i="3" s="1"/>
  <c r="L29" i="3"/>
  <c r="N29" i="3" s="1"/>
  <c r="H29" i="3"/>
  <c r="D29" i="3"/>
  <c r="B29" i="3"/>
  <c r="X28" i="3"/>
  <c r="T28" i="3"/>
  <c r="Z28" i="3" s="1"/>
  <c r="P28" i="3"/>
  <c r="H28" i="3"/>
  <c r="D28" i="3"/>
  <c r="B28" i="3"/>
  <c r="T27" i="3"/>
  <c r="X27" i="3" s="1"/>
  <c r="P27" i="3"/>
  <c r="N27" i="3"/>
  <c r="L27" i="3"/>
  <c r="H27" i="3"/>
  <c r="D27" i="3"/>
  <c r="B27" i="3"/>
  <c r="Z26" i="3"/>
  <c r="T26" i="3"/>
  <c r="X26" i="3" s="1"/>
  <c r="P26" i="3"/>
  <c r="H26" i="3"/>
  <c r="D26" i="3"/>
  <c r="L26" i="3" s="1"/>
  <c r="N26" i="3" s="1"/>
  <c r="B26" i="3"/>
  <c r="T25" i="3"/>
  <c r="Z25" i="3" s="1"/>
  <c r="P25" i="3"/>
  <c r="X25" i="3" s="1"/>
  <c r="L25" i="3"/>
  <c r="N25" i="3" s="1"/>
  <c r="H25" i="3"/>
  <c r="D25" i="3"/>
  <c r="B25" i="3"/>
  <c r="X24" i="3"/>
  <c r="T24" i="3"/>
  <c r="Z24" i="3" s="1"/>
  <c r="P24" i="3"/>
  <c r="H24" i="3"/>
  <c r="D24" i="3"/>
  <c r="B24" i="3"/>
  <c r="T23" i="3"/>
  <c r="X23" i="3" s="1"/>
  <c r="P23" i="3"/>
  <c r="N23" i="3"/>
  <c r="L23" i="3"/>
  <c r="H23" i="3"/>
  <c r="D23" i="3"/>
  <c r="B23" i="3"/>
  <c r="T22" i="3"/>
  <c r="X22" i="3" s="1"/>
  <c r="P22" i="3"/>
  <c r="H22" i="3"/>
  <c r="D22" i="3"/>
  <c r="L22" i="3" s="1"/>
  <c r="N22" i="3" s="1"/>
  <c r="B22" i="3"/>
  <c r="T21" i="3"/>
  <c r="Z21" i="3" s="1"/>
  <c r="P21" i="3"/>
  <c r="X21" i="3" s="1"/>
  <c r="L21" i="3"/>
  <c r="N21" i="3" s="1"/>
  <c r="H21" i="3"/>
  <c r="D21" i="3"/>
  <c r="B21" i="3"/>
  <c r="X20" i="3"/>
  <c r="T20" i="3"/>
  <c r="Z20" i="3" s="1"/>
  <c r="P20" i="3"/>
  <c r="H20" i="3"/>
  <c r="D20" i="3"/>
  <c r="B20" i="3"/>
  <c r="T19" i="3"/>
  <c r="X19" i="3" s="1"/>
  <c r="P19" i="3"/>
  <c r="N19" i="3"/>
  <c r="L19" i="3"/>
  <c r="H19" i="3"/>
  <c r="D19" i="3"/>
  <c r="B19" i="3"/>
  <c r="Z18" i="3"/>
  <c r="T18" i="3"/>
  <c r="X18" i="3" s="1"/>
  <c r="P18" i="3"/>
  <c r="N18" i="3"/>
  <c r="H18" i="3"/>
  <c r="D18" i="3"/>
  <c r="L18" i="3" s="1"/>
  <c r="B18" i="3"/>
  <c r="T17" i="3"/>
  <c r="Z17" i="3" s="1"/>
  <c r="P17" i="3"/>
  <c r="X17" i="3" s="1"/>
  <c r="L17" i="3"/>
  <c r="N17" i="3" s="1"/>
  <c r="H17" i="3"/>
  <c r="D17" i="3"/>
  <c r="B17" i="3"/>
  <c r="X16" i="3"/>
  <c r="T16" i="3"/>
  <c r="Z16" i="3" s="1"/>
  <c r="P16" i="3"/>
  <c r="H16" i="3"/>
  <c r="D16" i="3"/>
  <c r="B16" i="3"/>
  <c r="T15" i="3"/>
  <c r="X15" i="3" s="1"/>
  <c r="P15" i="3"/>
  <c r="N15" i="3"/>
  <c r="L15" i="3"/>
  <c r="H15" i="3"/>
  <c r="D15" i="3"/>
  <c r="B15" i="3"/>
  <c r="T14" i="3"/>
  <c r="X14" i="3" s="1"/>
  <c r="P14" i="3"/>
  <c r="H14" i="3"/>
  <c r="D14" i="3"/>
  <c r="L14" i="3" s="1"/>
  <c r="N14" i="3" s="1"/>
  <c r="B14" i="3"/>
  <c r="T13" i="3"/>
  <c r="P13" i="3"/>
  <c r="N13" i="3"/>
  <c r="L13" i="3"/>
  <c r="H13" i="3"/>
  <c r="D13" i="3"/>
  <c r="D12" i="3" s="1"/>
  <c r="F288" i="3" s="1"/>
  <c r="B13" i="3"/>
  <c r="D4" i="3"/>
  <c r="P20" i="111"/>
  <c r="D25" i="112"/>
  <c r="P13" i="110"/>
  <c r="D5" i="111"/>
  <c r="H21" i="111"/>
  <c r="B25" i="111"/>
  <c r="T33" i="112"/>
  <c r="D29" i="110"/>
  <c r="D24" i="110"/>
  <c r="T29" i="111"/>
  <c r="T13" i="112"/>
  <c r="P33" i="111"/>
  <c r="H33" i="112"/>
  <c r="P25" i="110"/>
  <c r="P20" i="112"/>
  <c r="H21" i="52"/>
  <c r="D21" i="53"/>
  <c r="T15" i="49"/>
  <c r="H25" i="50"/>
  <c r="T12" i="53"/>
  <c r="H25" i="49"/>
  <c r="T12" i="52"/>
  <c r="D4" i="49"/>
  <c r="H20" i="50"/>
  <c r="P34" i="52"/>
  <c r="H16" i="49"/>
  <c r="D20" i="50"/>
  <c r="P13" i="52"/>
  <c r="H34" i="53"/>
  <c r="T34" i="49"/>
  <c r="H21" i="53"/>
  <c r="P34" i="49"/>
  <c r="D15" i="47"/>
  <c r="H16" i="43"/>
  <c r="D15" i="46"/>
  <c r="T21" i="47"/>
  <c r="D20" i="43"/>
  <c r="T24" i="44"/>
  <c r="P25" i="47"/>
  <c r="P33" i="44"/>
  <c r="P21" i="46"/>
  <c r="P25" i="43"/>
  <c r="T15" i="44"/>
  <c r="H13" i="47"/>
  <c r="T15" i="43"/>
  <c r="H13" i="46"/>
  <c r="D13" i="49"/>
  <c r="H21" i="46"/>
  <c r="D5" i="43"/>
  <c r="D22" i="44"/>
  <c r="P24" i="41"/>
  <c r="H22" i="38"/>
  <c r="H24" i="43"/>
  <c r="D33" i="38"/>
  <c r="P16" i="41"/>
  <c r="B38" i="37"/>
  <c r="H29" i="41"/>
  <c r="D22" i="37"/>
  <c r="H34" i="40"/>
  <c r="B25" i="46"/>
  <c r="H13" i="40"/>
  <c r="D24" i="46"/>
  <c r="D25" i="40"/>
  <c r="T12" i="37"/>
  <c r="P33" i="38"/>
  <c r="D16" i="41"/>
  <c r="P25" i="37"/>
  <c r="B21" i="40"/>
  <c r="H34" i="52"/>
  <c r="P20" i="37"/>
  <c r="D20" i="32"/>
  <c r="P22" i="34"/>
  <c r="D20" i="31"/>
  <c r="P12" i="32"/>
  <c r="H33" i="35"/>
  <c r="T21" i="32"/>
  <c r="D4" i="35"/>
  <c r="P34" i="31"/>
  <c r="D25" i="35"/>
  <c r="P24" i="31"/>
  <c r="B13" i="35"/>
  <c r="T15" i="31"/>
  <c r="H16" i="34"/>
  <c r="H25" i="38"/>
  <c r="H34" i="31"/>
  <c r="B16" i="35"/>
  <c r="D13" i="32"/>
  <c r="T22" i="34"/>
  <c r="T34" i="34"/>
  <c r="T12" i="28"/>
  <c r="D15" i="34"/>
  <c r="P13" i="26"/>
  <c r="P22" i="29"/>
  <c r="P21" i="25"/>
  <c r="T20" i="28"/>
  <c r="D34" i="31"/>
  <c r="D4" i="26"/>
  <c r="H34" i="29"/>
  <c r="D29" i="26"/>
  <c r="H22" i="29"/>
  <c r="D34" i="29"/>
  <c r="D21" i="26"/>
  <c r="H16" i="29"/>
  <c r="B22" i="25"/>
  <c r="H16" i="28"/>
  <c r="H16" i="32"/>
  <c r="B25" i="20"/>
  <c r="D13" i="19"/>
  <c r="P29" i="22"/>
  <c r="P12" i="35"/>
  <c r="T16" i="22"/>
  <c r="P16" i="111"/>
  <c r="H21" i="112"/>
  <c r="H12" i="110"/>
  <c r="P20" i="110"/>
  <c r="D13" i="111"/>
  <c r="D24" i="111"/>
  <c r="T29" i="112"/>
  <c r="D25" i="110"/>
  <c r="D22" i="110"/>
  <c r="T25" i="111"/>
  <c r="T24" i="111"/>
  <c r="P29" i="111"/>
  <c r="H29" i="112"/>
  <c r="T21" i="110"/>
  <c r="B25" i="53"/>
  <c r="D13" i="52"/>
  <c r="H15" i="53"/>
  <c r="P13" i="49"/>
  <c r="P15" i="50"/>
  <c r="B21" i="52"/>
  <c r="P15" i="49"/>
  <c r="B38" i="50"/>
  <c r="P34" i="53"/>
  <c r="H16" i="50"/>
  <c r="P33" i="52"/>
  <c r="B13" i="49"/>
  <c r="D16" i="50"/>
  <c r="H12" i="52"/>
  <c r="H33" i="53"/>
  <c r="T33" i="49"/>
  <c r="D13" i="53"/>
  <c r="P33" i="49"/>
  <c r="T12" i="47"/>
  <c r="B13" i="43"/>
  <c r="T12" i="46"/>
  <c r="T24" i="46"/>
  <c r="D16" i="43"/>
  <c r="T22" i="44"/>
  <c r="P24" i="47"/>
  <c r="P29" i="44"/>
  <c r="T15" i="46"/>
  <c r="T21" i="43"/>
  <c r="P13" i="44"/>
  <c r="D4" i="47"/>
  <c r="P13" i="43"/>
  <c r="D4" i="46"/>
  <c r="D25" i="47"/>
  <c r="D13" i="46"/>
  <c r="H33" i="52"/>
  <c r="H20" i="44"/>
  <c r="P22" i="41"/>
  <c r="H13" i="38"/>
  <c r="P21" i="41"/>
  <c r="D29" i="38"/>
  <c r="D12" i="41"/>
  <c r="D34" i="37"/>
  <c r="H25" i="41"/>
  <c r="H20" i="37"/>
  <c r="H33" i="40"/>
  <c r="B39" i="43"/>
  <c r="D4" i="40"/>
  <c r="D29" i="44"/>
  <c r="H21" i="40"/>
  <c r="D22" i="46"/>
  <c r="P29" i="38"/>
  <c r="B22" i="40"/>
  <c r="T21" i="37"/>
  <c r="D20" i="40"/>
  <c r="H16" i="46"/>
  <c r="P24" i="35"/>
  <c r="D16" i="32"/>
  <c r="T20" i="34"/>
  <c r="D16" i="31"/>
  <c r="T34" i="31"/>
  <c r="H29" i="35"/>
  <c r="T24" i="31"/>
  <c r="H34" i="34"/>
  <c r="P33" i="31"/>
  <c r="H21" i="35"/>
  <c r="P22" i="31"/>
  <c r="B38" i="34"/>
  <c r="P13" i="31"/>
  <c r="B13" i="34"/>
  <c r="B21" i="35"/>
  <c r="H33" i="31"/>
  <c r="D15" i="35"/>
  <c r="B39" i="31"/>
  <c r="P12" i="34"/>
  <c r="B16" i="34"/>
  <c r="P24" i="26"/>
  <c r="B13" i="32"/>
  <c r="H12" i="26"/>
  <c r="T20" i="29"/>
  <c r="T15" i="25"/>
  <c r="T16" i="28"/>
  <c r="P20" i="29"/>
  <c r="H34" i="25"/>
  <c r="H33" i="29"/>
  <c r="D25" i="26"/>
  <c r="H13" i="29"/>
  <c r="D33" i="29"/>
  <c r="H15" i="26"/>
  <c r="B13" i="29"/>
  <c r="D21" i="25"/>
  <c r="B13" i="28"/>
  <c r="H15" i="28"/>
  <c r="D24" i="20"/>
  <c r="P20" i="17"/>
  <c r="P25" i="22"/>
  <c r="D16" i="29"/>
  <c r="T13" i="22"/>
  <c r="P24" i="110"/>
  <c r="D4" i="112"/>
  <c r="D24" i="112"/>
  <c r="D12" i="110"/>
  <c r="H34" i="110"/>
  <c r="H20" i="111"/>
  <c r="B16" i="112"/>
  <c r="D13" i="110"/>
  <c r="H16" i="110"/>
  <c r="D15" i="111"/>
  <c r="P12" i="111"/>
  <c r="T21" i="111"/>
  <c r="P15" i="112"/>
  <c r="P22" i="111"/>
  <c r="D22" i="53"/>
  <c r="T15" i="50"/>
  <c r="D24" i="52"/>
  <c r="B21" i="53"/>
  <c r="P20" i="49"/>
  <c r="D16" i="52"/>
  <c r="T24" i="53"/>
  <c r="D33" i="50"/>
  <c r="P29" i="53"/>
  <c r="B38" i="49"/>
  <c r="P25" i="52"/>
  <c r="T15" i="53"/>
  <c r="D21" i="49"/>
  <c r="T33" i="50"/>
  <c r="H25" i="53"/>
  <c r="T25" i="49"/>
  <c r="H24" i="52"/>
  <c r="P25" i="49"/>
  <c r="D20" i="46"/>
  <c r="H29" i="52"/>
  <c r="D20" i="44"/>
  <c r="P12" i="46"/>
  <c r="P22" i="47"/>
  <c r="T34" i="43"/>
  <c r="T15" i="47"/>
  <c r="T21" i="44"/>
  <c r="H12" i="46"/>
  <c r="T24" i="49"/>
  <c r="P24" i="43"/>
  <c r="H33" i="46"/>
  <c r="D4" i="53"/>
  <c r="H33" i="44"/>
  <c r="D22" i="47"/>
  <c r="H24" i="44"/>
  <c r="H21" i="49"/>
  <c r="B13" i="44"/>
  <c r="T16" i="41"/>
  <c r="H34" i="37"/>
  <c r="P13" i="41"/>
  <c r="H21" i="38"/>
  <c r="T15" i="40"/>
  <c r="D29" i="37"/>
  <c r="D5" i="41"/>
  <c r="B13" i="37"/>
  <c r="H25" i="40"/>
  <c r="D34" i="41"/>
  <c r="T33" i="38"/>
  <c r="D24" i="41"/>
  <c r="T24" i="38"/>
  <c r="D21" i="41"/>
  <c r="T21" i="38"/>
  <c r="H15" i="40"/>
  <c r="H20" i="46"/>
  <c r="P21" i="38"/>
  <c r="P34" i="41"/>
  <c r="T20" i="35"/>
  <c r="D21" i="31"/>
  <c r="T13" i="34"/>
  <c r="P20" i="35"/>
  <c r="T29" i="31"/>
  <c r="P15" i="35"/>
  <c r="P12" i="31"/>
  <c r="H29" i="34"/>
  <c r="P25" i="31"/>
  <c r="B39" i="34"/>
  <c r="T16" i="31"/>
  <c r="D33" i="34"/>
  <c r="P16" i="38"/>
  <c r="H33" i="32"/>
  <c r="D16" i="35"/>
  <c r="H25" i="31"/>
  <c r="B21" i="34"/>
  <c r="H22" i="31"/>
  <c r="D21" i="32"/>
  <c r="T24" i="29"/>
  <c r="T20" i="26"/>
  <c r="P33" i="29"/>
  <c r="P22" i="25"/>
  <c r="T13" i="29"/>
  <c r="H12" i="25"/>
  <c r="H34" i="26"/>
  <c r="D12" i="29"/>
  <c r="H29" i="25"/>
  <c r="H25" i="29"/>
  <c r="D13" i="26"/>
  <c r="H34" i="28"/>
  <c r="D25" i="29"/>
  <c r="D24" i="25"/>
  <c r="D34" i="28"/>
  <c r="H20" i="32"/>
  <c r="T33" i="26"/>
  <c r="B38" i="25"/>
  <c r="H20" i="20"/>
  <c r="T22" i="26"/>
  <c r="B22" i="20"/>
  <c r="P29" i="26"/>
  <c r="D20" i="20"/>
  <c r="P22" i="110"/>
  <c r="H34" i="111"/>
  <c r="D22" i="112"/>
  <c r="B22" i="112"/>
  <c r="H33" i="110"/>
  <c r="H16" i="111"/>
  <c r="D15" i="112"/>
  <c r="D4" i="110"/>
  <c r="B13" i="110"/>
  <c r="T12" i="111"/>
  <c r="B21" i="110"/>
  <c r="T34" i="110"/>
  <c r="D6" i="112"/>
  <c r="T20" i="111"/>
  <c r="H20" i="53"/>
  <c r="P13" i="50"/>
  <c r="D22" i="52"/>
  <c r="D20" i="53"/>
  <c r="P16" i="49"/>
  <c r="B39" i="50"/>
  <c r="T22" i="53"/>
  <c r="D29" i="50"/>
  <c r="P25" i="53"/>
  <c r="D34" i="49"/>
  <c r="T21" i="52"/>
  <c r="P13" i="53"/>
  <c r="H15" i="49"/>
  <c r="T29" i="50"/>
  <c r="P15" i="53"/>
  <c r="B16" i="49"/>
  <c r="H22" i="52"/>
  <c r="T21" i="49"/>
  <c r="D16" i="46"/>
  <c r="D29" i="47"/>
  <c r="D16" i="44"/>
  <c r="T34" i="44"/>
  <c r="T20" i="47"/>
  <c r="T33" i="43"/>
  <c r="P13" i="47"/>
  <c r="T24" i="43"/>
  <c r="P24" i="44"/>
  <c r="H34" i="47"/>
  <c r="P22" i="43"/>
  <c r="H29" i="46"/>
  <c r="T22" i="49"/>
  <c r="H29" i="44"/>
  <c r="H20" i="47"/>
  <c r="H22" i="44"/>
  <c r="B21" i="47"/>
  <c r="B38" i="43"/>
  <c r="T13" i="41"/>
  <c r="H33" i="37"/>
  <c r="H12" i="41"/>
  <c r="D13" i="38"/>
  <c r="P13" i="40"/>
  <c r="D25" i="37"/>
  <c r="P20" i="40"/>
  <c r="D21" i="47"/>
  <c r="P15" i="40"/>
  <c r="D33" i="41"/>
  <c r="T29" i="38"/>
  <c r="D22" i="41"/>
  <c r="T22" i="38"/>
  <c r="H15" i="41"/>
  <c r="T24" i="37"/>
  <c r="P24" i="38"/>
  <c r="D4" i="43"/>
  <c r="T15" i="38"/>
  <c r="P33" i="41"/>
  <c r="T16" i="35"/>
  <c r="H15" i="31"/>
  <c r="T34" i="32"/>
  <c r="P16" i="35"/>
  <c r="T25" i="31"/>
  <c r="D5" i="35"/>
  <c r="T33" i="40"/>
  <c r="H25" i="34"/>
  <c r="T21" i="31"/>
  <c r="H24" i="34"/>
  <c r="T13" i="31"/>
  <c r="D29" i="34"/>
  <c r="P13" i="37"/>
  <c r="H29" i="32"/>
  <c r="B22" i="34"/>
  <c r="P15" i="31"/>
  <c r="D20" i="34"/>
  <c r="H13" i="31"/>
  <c r="H15" i="32"/>
  <c r="T22" i="29"/>
  <c r="T16" i="26"/>
  <c r="P29" i="29"/>
  <c r="T20" i="25"/>
  <c r="P34" i="28"/>
  <c r="T22" i="35"/>
  <c r="H33" i="26"/>
  <c r="P21" i="28"/>
  <c r="H25" i="25"/>
  <c r="P15" i="29"/>
  <c r="B39" i="25"/>
  <c r="H33" i="28"/>
  <c r="H21" i="29"/>
  <c r="D22" i="25"/>
  <c r="D33" i="28"/>
  <c r="D25" i="31"/>
  <c r="T29" i="26"/>
  <c r="P34" i="23"/>
  <c r="H16" i="20"/>
  <c r="T29" i="25"/>
  <c r="D21" i="20"/>
  <c r="T22" i="25"/>
  <c r="D16" i="20"/>
  <c r="T20" i="110"/>
  <c r="H33" i="111"/>
  <c r="H20" i="112"/>
  <c r="D21" i="112"/>
  <c r="H29" i="110"/>
  <c r="B13" i="111"/>
  <c r="T12" i="112"/>
  <c r="T24" i="112"/>
  <c r="P34" i="112"/>
  <c r="B22" i="110"/>
  <c r="D20" i="110"/>
  <c r="T33" i="110"/>
  <c r="P21" i="111"/>
  <c r="D12" i="112"/>
  <c r="H16" i="53"/>
  <c r="H12" i="50"/>
  <c r="H20" i="52"/>
  <c r="D16" i="53"/>
  <c r="D12" i="49"/>
  <c r="H24" i="50"/>
  <c r="P12" i="53"/>
  <c r="D25" i="50"/>
  <c r="T21" i="53"/>
  <c r="D33" i="49"/>
  <c r="B22" i="50"/>
  <c r="H12" i="53"/>
  <c r="B39" i="47"/>
  <c r="T25" i="50"/>
  <c r="D5" i="53"/>
  <c r="D15" i="49"/>
  <c r="H13" i="52"/>
  <c r="H24" i="53"/>
  <c r="B22" i="44"/>
  <c r="T22" i="47"/>
  <c r="B22" i="43"/>
  <c r="T33" i="44"/>
  <c r="T16" i="47"/>
  <c r="T29" i="43"/>
  <c r="H12" i="47"/>
  <c r="T22" i="43"/>
  <c r="P22" i="44"/>
  <c r="T29" i="47"/>
  <c r="T20" i="43"/>
  <c r="H25" i="46"/>
  <c r="P29" i="47"/>
  <c r="H25" i="44"/>
  <c r="H16" i="47"/>
  <c r="H13" i="44"/>
  <c r="D20" i="47"/>
  <c r="D34" i="43"/>
  <c r="P34" i="40"/>
  <c r="H29" i="37"/>
  <c r="P24" i="40"/>
  <c r="B39" i="37"/>
  <c r="H12" i="40"/>
  <c r="H21" i="37"/>
  <c r="P16" i="40"/>
  <c r="D33" i="44"/>
  <c r="D5" i="40"/>
  <c r="D29" i="41"/>
  <c r="T25" i="38"/>
  <c r="H20" i="41"/>
  <c r="P12" i="38"/>
  <c r="B25" i="40"/>
  <c r="T22" i="37"/>
  <c r="P22" i="38"/>
  <c r="T34" i="41"/>
  <c r="P13" i="38"/>
  <c r="P29" i="41"/>
  <c r="T13" i="35"/>
  <c r="P12" i="41"/>
  <c r="T33" i="32"/>
  <c r="D12" i="35"/>
  <c r="B16" i="31"/>
  <c r="P20" i="34"/>
  <c r="D15" i="40"/>
  <c r="P15" i="34"/>
  <c r="T24" i="41"/>
  <c r="H22" i="34"/>
  <c r="T22" i="41"/>
  <c r="D25" i="34"/>
  <c r="B22" i="35"/>
  <c r="H25" i="32"/>
  <c r="D21" i="34"/>
  <c r="D5" i="31"/>
  <c r="D16" i="34"/>
  <c r="D4" i="31"/>
  <c r="B25" i="31"/>
  <c r="P12" i="29"/>
  <c r="T13" i="26"/>
  <c r="P25" i="29"/>
  <c r="T16" i="25"/>
  <c r="P33" i="28"/>
  <c r="T29" i="34"/>
  <c r="H29" i="26"/>
  <c r="T15" i="28"/>
  <c r="P15" i="25"/>
  <c r="D5" i="29"/>
  <c r="H24" i="25"/>
  <c r="H29" i="28"/>
  <c r="D13" i="29"/>
  <c r="H20" i="25"/>
  <c r="D29" i="28"/>
  <c r="B22" i="29"/>
  <c r="T25" i="26"/>
  <c r="P33" i="23"/>
  <c r="B13" i="20"/>
  <c r="P24" i="23"/>
  <c r="H15" i="20"/>
  <c r="P21" i="23"/>
  <c r="B22" i="19"/>
  <c r="T16" i="110"/>
  <c r="H29" i="111"/>
  <c r="H16" i="112"/>
  <c r="H15" i="112"/>
  <c r="H25" i="110"/>
  <c r="B39" i="110"/>
  <c r="B22" i="111"/>
  <c r="T22" i="112"/>
  <c r="P33" i="112"/>
  <c r="D21" i="110"/>
  <c r="D16" i="110"/>
  <c r="T29" i="110"/>
  <c r="T15" i="111"/>
  <c r="T24" i="110"/>
  <c r="B13" i="53"/>
  <c r="P24" i="49"/>
  <c r="H16" i="52"/>
  <c r="B22" i="52"/>
  <c r="T34" i="53"/>
  <c r="H22" i="50"/>
  <c r="T34" i="52"/>
  <c r="H21" i="50"/>
  <c r="T24" i="52"/>
  <c r="D29" i="49"/>
  <c r="D21" i="50"/>
  <c r="P24" i="52"/>
  <c r="H24" i="47"/>
  <c r="B16" i="50"/>
  <c r="P20" i="52"/>
  <c r="T12" i="49"/>
  <c r="D4" i="52"/>
  <c r="D5" i="52"/>
  <c r="D21" i="44"/>
  <c r="P12" i="47"/>
  <c r="D21" i="43"/>
  <c r="T29" i="44"/>
  <c r="T13" i="47"/>
  <c r="T25" i="43"/>
  <c r="P24" i="46"/>
  <c r="P12" i="43"/>
  <c r="T20" i="44"/>
  <c r="P15" i="47"/>
  <c r="T16" i="43"/>
  <c r="P15" i="46"/>
  <c r="H25" i="47"/>
  <c r="P15" i="44"/>
  <c r="B13" i="47"/>
  <c r="D4" i="44"/>
  <c r="D16" i="47"/>
  <c r="D33" i="43"/>
  <c r="P33" i="40"/>
  <c r="H25" i="37"/>
  <c r="P22" i="40"/>
  <c r="H24" i="37"/>
  <c r="B25" i="38"/>
  <c r="D13" i="37"/>
  <c r="D12" i="40"/>
  <c r="D13" i="44"/>
  <c r="B21" i="38"/>
  <c r="D25" i="41"/>
  <c r="B16" i="38"/>
  <c r="H16" i="41"/>
  <c r="T34" i="37"/>
  <c r="D24" i="40"/>
  <c r="P12" i="37"/>
  <c r="T20" i="38"/>
  <c r="T33" i="41"/>
  <c r="H12" i="38"/>
  <c r="P25" i="41"/>
  <c r="P34" i="34"/>
  <c r="D12" i="38"/>
  <c r="T29" i="32"/>
  <c r="P21" i="34"/>
  <c r="D15" i="31"/>
  <c r="P16" i="34"/>
  <c r="H29" i="38"/>
  <c r="D5" i="34"/>
  <c r="T12" i="40"/>
  <c r="H13" i="34"/>
  <c r="T29" i="40"/>
  <c r="H21" i="34"/>
  <c r="D21" i="35"/>
  <c r="P15" i="32"/>
  <c r="H15" i="34"/>
  <c r="P21" i="37"/>
  <c r="B38" i="32"/>
  <c r="P34" i="35"/>
  <c r="D24" i="31"/>
  <c r="T34" i="28"/>
  <c r="P34" i="25"/>
  <c r="T21" i="29"/>
  <c r="T13" i="25"/>
  <c r="P29" i="28"/>
  <c r="P21" i="29"/>
  <c r="H25" i="26"/>
  <c r="P13" i="28"/>
  <c r="D5" i="25"/>
  <c r="P20" i="28"/>
  <c r="H22" i="25"/>
  <c r="H25" i="28"/>
  <c r="B39" i="28"/>
  <c r="H16" i="25"/>
  <c r="D25" i="28"/>
  <c r="D21" i="29"/>
  <c r="B16" i="26"/>
  <c r="P29" i="23"/>
  <c r="B38" i="19"/>
  <c r="P22" i="23"/>
  <c r="B25" i="19"/>
  <c r="T15" i="23"/>
  <c r="D21" i="19"/>
  <c r="B39" i="112"/>
  <c r="T13" i="110"/>
  <c r="H25" i="111"/>
  <c r="B13" i="112"/>
  <c r="B38" i="111"/>
  <c r="P15" i="110"/>
  <c r="H24" i="110"/>
  <c r="D21" i="111"/>
  <c r="P12" i="112"/>
  <c r="P29" i="112"/>
  <c r="H15" i="110"/>
  <c r="P21" i="112"/>
  <c r="T25" i="110"/>
  <c r="P13" i="111"/>
  <c r="T16" i="111"/>
  <c r="B38" i="52"/>
  <c r="P22" i="49"/>
  <c r="B13" i="52"/>
  <c r="D21" i="52"/>
  <c r="T33" i="53"/>
  <c r="H13" i="50"/>
  <c r="T33" i="52"/>
  <c r="D13" i="50"/>
  <c r="T22" i="52"/>
  <c r="P24" i="53"/>
  <c r="H15" i="50"/>
  <c r="P22" i="52"/>
  <c r="P20" i="53"/>
  <c r="D15" i="50"/>
  <c r="P16" i="52"/>
  <c r="B38" i="53"/>
  <c r="P24" i="50"/>
  <c r="B38" i="47"/>
  <c r="H15" i="44"/>
  <c r="T34" i="46"/>
  <c r="H15" i="43"/>
  <c r="T25" i="44"/>
  <c r="P34" i="46"/>
  <c r="B16" i="43"/>
  <c r="P22" i="46"/>
  <c r="D25" i="49"/>
  <c r="T16" i="44"/>
  <c r="D5" i="47"/>
  <c r="T13" i="43"/>
  <c r="D5" i="46"/>
  <c r="H21" i="47"/>
  <c r="D5" i="44"/>
  <c r="B38" i="46"/>
  <c r="H34" i="43"/>
  <c r="B22" i="46"/>
  <c r="D29" i="43"/>
  <c r="P29" i="40"/>
  <c r="P15" i="37"/>
  <c r="T20" i="40"/>
  <c r="H22" i="37"/>
  <c r="D24" i="38"/>
  <c r="P12" i="49"/>
  <c r="B22" i="38"/>
  <c r="B39" i="41"/>
  <c r="D20" i="38"/>
  <c r="H21" i="41"/>
  <c r="D15" i="38"/>
  <c r="B13" i="41"/>
  <c r="T33" i="37"/>
  <c r="D22" i="40"/>
  <c r="H15" i="47"/>
  <c r="T16" i="38"/>
  <c r="T29" i="41"/>
  <c r="P24" i="37"/>
  <c r="T21" i="41"/>
  <c r="P33" i="34"/>
  <c r="P21" i="35"/>
  <c r="T25" i="32"/>
  <c r="T15" i="34"/>
  <c r="T12" i="31"/>
  <c r="D12" i="34"/>
  <c r="P16" i="37"/>
  <c r="P24" i="32"/>
  <c r="T15" i="37"/>
  <c r="D4" i="34"/>
  <c r="B25" i="35"/>
  <c r="D13" i="34"/>
  <c r="H15" i="35"/>
  <c r="D5" i="32"/>
  <c r="B39" i="32"/>
  <c r="H12" i="37"/>
  <c r="D34" i="32"/>
  <c r="P33" i="35"/>
  <c r="D22" i="31"/>
  <c r="T33" i="28"/>
  <c r="P33" i="25"/>
  <c r="T24" i="28"/>
  <c r="P15" i="38"/>
  <c r="H24" i="112"/>
  <c r="B38" i="112"/>
  <c r="P15" i="111"/>
  <c r="B39" i="111"/>
  <c r="D34" i="111"/>
  <c r="D6" i="110"/>
  <c r="H22" i="110"/>
  <c r="H15" i="111"/>
  <c r="B21" i="111"/>
  <c r="P25" i="112"/>
  <c r="P24" i="112"/>
  <c r="T15" i="112"/>
  <c r="B16" i="110"/>
  <c r="H12" i="111"/>
  <c r="T22" i="110"/>
  <c r="D34" i="52"/>
  <c r="T20" i="49"/>
  <c r="P20" i="50"/>
  <c r="H15" i="52"/>
  <c r="T29" i="53"/>
  <c r="D4" i="50"/>
  <c r="T29" i="52"/>
  <c r="B39" i="49"/>
  <c r="P12" i="52"/>
  <c r="P22" i="53"/>
  <c r="B25" i="49"/>
  <c r="T20" i="52"/>
  <c r="P16" i="53"/>
  <c r="T12" i="50"/>
  <c r="D12" i="52"/>
  <c r="D34" i="53"/>
  <c r="P22" i="50"/>
  <c r="T34" i="47"/>
  <c r="B25" i="43"/>
  <c r="T33" i="46"/>
  <c r="T21" i="50"/>
  <c r="B16" i="44"/>
  <c r="P33" i="46"/>
  <c r="D15" i="43"/>
  <c r="T20" i="46"/>
  <c r="D33" i="47"/>
  <c r="T13" i="44"/>
  <c r="P20" i="46"/>
  <c r="H13" i="53"/>
  <c r="P20" i="44"/>
  <c r="D13" i="47"/>
  <c r="P20" i="43"/>
  <c r="D34" i="46"/>
  <c r="H33" i="43"/>
  <c r="D21" i="46"/>
  <c r="D25" i="43"/>
  <c r="P25" i="40"/>
  <c r="D5" i="37"/>
  <c r="T16" i="40"/>
  <c r="H13" i="37"/>
  <c r="D22" i="38"/>
  <c r="B22" i="47"/>
  <c r="D21" i="38"/>
  <c r="H24" i="41"/>
  <c r="D16" i="38"/>
  <c r="D13" i="41"/>
  <c r="T12" i="38"/>
  <c r="B38" i="40"/>
  <c r="T29" i="37"/>
  <c r="H20" i="40"/>
  <c r="D25" i="44"/>
  <c r="T13" i="38"/>
  <c r="T25" i="41"/>
  <c r="P22" i="37"/>
  <c r="T24" i="40"/>
  <c r="P29" i="34"/>
  <c r="T15" i="35"/>
  <c r="B16" i="32"/>
  <c r="P13" i="34"/>
  <c r="T34" i="40"/>
  <c r="P34" i="32"/>
  <c r="B39" i="35"/>
  <c r="P22" i="32"/>
  <c r="B38" i="35"/>
  <c r="P21" i="32"/>
  <c r="D24" i="35"/>
  <c r="P20" i="32"/>
  <c r="B25" i="34"/>
  <c r="P20" i="31"/>
  <c r="H24" i="32"/>
  <c r="T34" i="35"/>
  <c r="D33" i="32"/>
  <c r="P29" i="35"/>
  <c r="H20" i="31"/>
  <c r="T29" i="28"/>
  <c r="P29" i="25"/>
  <c r="T22" i="28"/>
  <c r="T24" i="35"/>
  <c r="T21" i="28"/>
  <c r="P13" i="29"/>
  <c r="D5" i="26"/>
  <c r="B39" i="26"/>
  <c r="T25" i="34"/>
  <c r="D12" i="28"/>
  <c r="D4" i="25"/>
  <c r="D5" i="28"/>
  <c r="H22" i="28"/>
  <c r="B25" i="29"/>
  <c r="D13" i="28"/>
  <c r="B25" i="28"/>
  <c r="T12" i="26"/>
  <c r="T21" i="23"/>
  <c r="D33" i="19"/>
  <c r="T16" i="23"/>
  <c r="D22" i="19"/>
  <c r="H12" i="23"/>
  <c r="B39" i="17"/>
  <c r="D5" i="112"/>
  <c r="D29" i="112"/>
  <c r="T15" i="110"/>
  <c r="H13" i="111"/>
  <c r="D25" i="111"/>
  <c r="D16" i="112"/>
  <c r="T34" i="112"/>
  <c r="D33" i="110"/>
  <c r="B25" i="110"/>
  <c r="T33" i="111"/>
  <c r="T16" i="112"/>
  <c r="P34" i="111"/>
  <c r="H34" i="112"/>
  <c r="P29" i="110"/>
  <c r="P12" i="110"/>
  <c r="D25" i="52"/>
  <c r="B22" i="53"/>
  <c r="P21" i="49"/>
  <c r="H29" i="50"/>
  <c r="D15" i="53"/>
  <c r="H29" i="49"/>
  <c r="D15" i="52"/>
  <c r="H13" i="49"/>
  <c r="D22" i="50"/>
  <c r="T13" i="53"/>
  <c r="H20" i="49"/>
  <c r="B21" i="50"/>
  <c r="T15" i="52"/>
  <c r="D16" i="49"/>
  <c r="P12" i="50"/>
  <c r="D25" i="53"/>
  <c r="T13" i="50"/>
  <c r="B16" i="47"/>
  <c r="H20" i="43"/>
  <c r="B16" i="46"/>
  <c r="T24" i="47"/>
  <c r="B21" i="43"/>
  <c r="T21" i="46"/>
  <c r="H33" i="47"/>
  <c r="P34" i="44"/>
  <c r="D12" i="47"/>
  <c r="P29" i="43"/>
  <c r="P21" i="44"/>
  <c r="H22" i="47"/>
  <c r="P21" i="43"/>
  <c r="H22" i="46"/>
  <c r="P29" i="50"/>
  <c r="D25" i="46"/>
  <c r="P15" i="43"/>
  <c r="D24" i="44"/>
  <c r="P15" i="52"/>
  <c r="H24" i="38"/>
  <c r="B38" i="44"/>
  <c r="D34" i="38"/>
  <c r="P20" i="41"/>
  <c r="B13" i="38"/>
  <c r="H33" i="41"/>
  <c r="D24" i="37"/>
  <c r="D4" i="41"/>
  <c r="H15" i="37"/>
  <c r="H22" i="40"/>
  <c r="D16" i="37"/>
  <c r="D29" i="40"/>
  <c r="D15" i="37"/>
  <c r="P34" i="38"/>
  <c r="D20" i="41"/>
  <c r="P29" i="37"/>
  <c r="T12" i="41"/>
  <c r="T13" i="37"/>
  <c r="H33" i="38"/>
  <c r="B21" i="32"/>
  <c r="P24" i="34"/>
  <c r="B21" i="31"/>
  <c r="T22" i="32"/>
  <c r="H34" i="35"/>
  <c r="P25" i="32"/>
  <c r="H13" i="35"/>
  <c r="T13" i="32"/>
  <c r="D29" i="35"/>
  <c r="H12" i="32"/>
  <c r="H16" i="35"/>
  <c r="P21" i="31"/>
  <c r="H20" i="34"/>
  <c r="T25" i="40"/>
  <c r="D4" i="32"/>
  <c r="T25" i="35"/>
  <c r="H21" i="32"/>
  <c r="T24" i="34"/>
  <c r="H34" i="38"/>
  <c r="D15" i="28"/>
  <c r="T33" i="34"/>
  <c r="T15" i="26"/>
  <c r="P24" i="29"/>
  <c r="D12" i="26"/>
  <c r="P22" i="28"/>
  <c r="D12" i="25"/>
  <c r="H13" i="26"/>
  <c r="D13" i="31"/>
  <c r="D33" i="26"/>
  <c r="H24" i="29"/>
  <c r="B38" i="29"/>
  <c r="B22" i="26"/>
  <c r="H20" i="29"/>
  <c r="D16" i="26"/>
  <c r="H20" i="28"/>
  <c r="D16" i="25"/>
  <c r="P12" i="22"/>
  <c r="H21" i="19"/>
  <c r="P33" i="22"/>
  <c r="B13" i="19"/>
  <c r="T20" i="22"/>
  <c r="D13" i="112"/>
  <c r="D22" i="111"/>
  <c r="B16" i="111"/>
  <c r="P16" i="112"/>
  <c r="H12" i="49"/>
  <c r="D34" i="50"/>
  <c r="P21" i="53"/>
  <c r="T29" i="49"/>
  <c r="H22" i="53"/>
  <c r="P12" i="44"/>
  <c r="P34" i="50"/>
  <c r="H34" i="44"/>
  <c r="H16" i="44"/>
  <c r="D25" i="38"/>
  <c r="H16" i="37"/>
  <c r="B25" i="41"/>
  <c r="D21" i="40"/>
  <c r="P22" i="35"/>
  <c r="T33" i="31"/>
  <c r="P29" i="31"/>
  <c r="H12" i="31"/>
  <c r="T12" i="35"/>
  <c r="P22" i="26"/>
  <c r="P16" i="26"/>
  <c r="H22" i="26"/>
  <c r="B39" i="29"/>
  <c r="D22" i="29"/>
  <c r="D20" i="25"/>
  <c r="P34" i="22"/>
  <c r="H22" i="17"/>
  <c r="D29" i="25"/>
  <c r="B16" i="20"/>
  <c r="T34" i="25"/>
  <c r="T22" i="20"/>
  <c r="P34" i="26"/>
  <c r="D5" i="22"/>
  <c r="B25" i="16"/>
  <c r="H21" i="23"/>
  <c r="P34" i="19"/>
  <c r="D22" i="23"/>
  <c r="T15" i="20"/>
  <c r="D21" i="23"/>
  <c r="T15" i="19"/>
  <c r="B25" i="26"/>
  <c r="H34" i="20"/>
  <c r="P25" i="17"/>
  <c r="T29" i="22"/>
  <c r="B39" i="19"/>
  <c r="H22" i="20"/>
  <c r="H29" i="14"/>
  <c r="H13" i="14"/>
  <c r="D15" i="16"/>
  <c r="H13" i="13"/>
  <c r="D22" i="14"/>
  <c r="B16" i="23"/>
  <c r="H20" i="13"/>
  <c r="B38" i="16"/>
  <c r="D20" i="29"/>
  <c r="T33" i="14"/>
  <c r="H34" i="17"/>
  <c r="T29" i="13"/>
  <c r="P25" i="14"/>
  <c r="B22" i="16"/>
  <c r="T21" i="13"/>
  <c r="T15" i="13"/>
  <c r="T29" i="10"/>
  <c r="B16" i="7"/>
  <c r="H16" i="8"/>
  <c r="P25" i="8"/>
  <c r="H29" i="4"/>
  <c r="T16" i="11"/>
  <c r="P34" i="7"/>
  <c r="B39" i="4"/>
  <c r="P13" i="11"/>
  <c r="P22" i="7"/>
  <c r="D33" i="4"/>
  <c r="T15" i="10"/>
  <c r="H15" i="5"/>
  <c r="H33" i="11"/>
  <c r="P15" i="8"/>
  <c r="D34" i="10"/>
  <c r="P15" i="10"/>
  <c r="D5" i="7"/>
  <c r="D29" i="10"/>
  <c r="B38" i="8"/>
  <c r="T24" i="5"/>
  <c r="P29" i="5"/>
  <c r="H16" i="10"/>
  <c r="P22" i="5"/>
  <c r="B16" i="11"/>
  <c r="T12" i="8"/>
  <c r="D25" i="10"/>
  <c r="D20" i="8"/>
  <c r="H15" i="10"/>
  <c r="H20" i="26"/>
  <c r="H16" i="13"/>
  <c r="T29" i="14"/>
  <c r="T25" i="13"/>
  <c r="T12" i="25"/>
  <c r="D15" i="7"/>
  <c r="H25" i="4"/>
  <c r="H24" i="4"/>
  <c r="D29" i="4"/>
  <c r="B25" i="4"/>
  <c r="H21" i="10"/>
  <c r="H12" i="14"/>
  <c r="T21" i="5"/>
  <c r="T20" i="5"/>
  <c r="B21" i="7"/>
  <c r="P24" i="4"/>
  <c r="H12" i="10"/>
  <c r="B39" i="8"/>
  <c r="P12" i="5"/>
  <c r="T12" i="11"/>
  <c r="T13" i="13"/>
  <c r="B21" i="112"/>
  <c r="P34" i="43"/>
  <c r="T22" i="40"/>
  <c r="T25" i="28"/>
  <c r="H15" i="19"/>
  <c r="D21" i="17"/>
  <c r="B25" i="23"/>
  <c r="P33" i="17"/>
  <c r="D33" i="16"/>
  <c r="P16" i="17"/>
  <c r="P33" i="14"/>
  <c r="P16" i="4"/>
  <c r="D6" i="111"/>
  <c r="H13" i="110"/>
  <c r="P22" i="112"/>
  <c r="T13" i="111"/>
  <c r="H34" i="50"/>
  <c r="H24" i="49"/>
  <c r="T16" i="52"/>
  <c r="D33" i="53"/>
  <c r="T29" i="46"/>
  <c r="T12" i="43"/>
  <c r="P16" i="46"/>
  <c r="P16" i="43"/>
  <c r="H21" i="43"/>
  <c r="D4" i="37"/>
  <c r="H22" i="41"/>
  <c r="D34" i="40"/>
  <c r="P34" i="37"/>
  <c r="P25" i="34"/>
  <c r="B16" i="40"/>
  <c r="D34" i="35"/>
  <c r="D24" i="34"/>
  <c r="D29" i="32"/>
  <c r="P25" i="25"/>
  <c r="P13" i="25"/>
  <c r="H33" i="25"/>
  <c r="D4" i="29"/>
  <c r="B38" i="28"/>
  <c r="D24" i="26"/>
  <c r="T21" i="22"/>
  <c r="H13" i="17"/>
  <c r="P20" i="23"/>
  <c r="D15" i="20"/>
  <c r="B16" i="25"/>
  <c r="P12" i="20"/>
  <c r="T21" i="26"/>
  <c r="P34" i="20"/>
  <c r="D24" i="16"/>
  <c r="D13" i="23"/>
  <c r="P33" i="19"/>
  <c r="H20" i="23"/>
  <c r="P13" i="20"/>
  <c r="H15" i="23"/>
  <c r="P13" i="19"/>
  <c r="H33" i="20"/>
  <c r="T21" i="17"/>
  <c r="H24" i="19"/>
  <c r="H29" i="19"/>
  <c r="H25" i="14"/>
  <c r="D4" i="14"/>
  <c r="T12" i="16"/>
  <c r="D4" i="13"/>
  <c r="H20" i="14"/>
  <c r="T16" i="17"/>
  <c r="B21" i="16"/>
  <c r="H29" i="17"/>
  <c r="H13" i="16"/>
  <c r="P13" i="13"/>
  <c r="P25" i="5"/>
  <c r="T13" i="11"/>
  <c r="T20" i="7"/>
  <c r="T24" i="11"/>
  <c r="D5" i="10"/>
  <c r="T22" i="5"/>
  <c r="D15" i="11"/>
  <c r="H12" i="5"/>
  <c r="P22" i="11"/>
  <c r="T34" i="11"/>
  <c r="T24" i="4"/>
  <c r="D20" i="7"/>
  <c r="T21" i="112"/>
  <c r="D24" i="43"/>
  <c r="B21" i="37"/>
  <c r="H12" i="28"/>
  <c r="D15" i="29"/>
  <c r="D12" i="20"/>
  <c r="H24" i="14"/>
  <c r="H12" i="16"/>
  <c r="T34" i="10"/>
  <c r="P21" i="110"/>
  <c r="D5" i="110"/>
  <c r="T20" i="112"/>
  <c r="P24" i="111"/>
  <c r="H33" i="50"/>
  <c r="H22" i="49"/>
  <c r="T13" i="52"/>
  <c r="D29" i="53"/>
  <c r="T25" i="46"/>
  <c r="B39" i="53"/>
  <c r="D12" i="46"/>
  <c r="D12" i="43"/>
  <c r="D13" i="43"/>
  <c r="H22" i="43"/>
  <c r="H13" i="41"/>
  <c r="D33" i="40"/>
  <c r="P33" i="37"/>
  <c r="T21" i="34"/>
  <c r="P20" i="38"/>
  <c r="D33" i="35"/>
  <c r="D22" i="34"/>
  <c r="D25" i="32"/>
  <c r="T21" i="25"/>
  <c r="T15" i="29"/>
  <c r="D12" i="37"/>
  <c r="P15" i="28"/>
  <c r="H21" i="28"/>
  <c r="P25" i="23"/>
  <c r="D24" i="19"/>
  <c r="D4" i="17"/>
  <c r="P16" i="23"/>
  <c r="T12" i="20"/>
  <c r="H34" i="23"/>
  <c r="T34" i="19"/>
  <c r="B39" i="23"/>
  <c r="P33" i="20"/>
  <c r="D22" i="16"/>
  <c r="B39" i="22"/>
  <c r="P29" i="19"/>
  <c r="H16" i="23"/>
  <c r="H12" i="20"/>
  <c r="B25" i="22"/>
  <c r="H12" i="19"/>
  <c r="B13" i="26"/>
  <c r="H29" i="20"/>
  <c r="T24" i="16"/>
  <c r="B16" i="22"/>
  <c r="H22" i="19"/>
  <c r="D24" i="17"/>
  <c r="P15" i="14"/>
  <c r="H34" i="13"/>
  <c r="B38" i="14"/>
  <c r="B39" i="20"/>
  <c r="H16" i="14"/>
  <c r="B39" i="16"/>
  <c r="B13" i="13"/>
  <c r="T13" i="16"/>
  <c r="D20" i="22"/>
  <c r="T25" i="14"/>
  <c r="D20" i="17"/>
  <c r="B16" i="13"/>
  <c r="T24" i="13"/>
  <c r="D4" i="16"/>
  <c r="H24" i="20"/>
  <c r="H12" i="13"/>
  <c r="B16" i="10"/>
  <c r="T12" i="7"/>
  <c r="T22" i="4"/>
  <c r="T24" i="7"/>
  <c r="P15" i="4"/>
  <c r="P34" i="10"/>
  <c r="P29" i="7"/>
  <c r="H22" i="4"/>
  <c r="P24" i="10"/>
  <c r="T16" i="7"/>
  <c r="D24" i="4"/>
  <c r="P20" i="7"/>
  <c r="D33" i="7"/>
  <c r="D33" i="8"/>
  <c r="T16" i="5"/>
  <c r="D24" i="8"/>
  <c r="T33" i="35"/>
  <c r="D24" i="13"/>
  <c r="B25" i="112"/>
  <c r="T25" i="112"/>
  <c r="T22" i="111"/>
  <c r="D24" i="53"/>
  <c r="D5" i="50"/>
  <c r="P33" i="53"/>
  <c r="B22" i="49"/>
  <c r="B39" i="52"/>
  <c r="B21" i="44"/>
  <c r="P21" i="47"/>
  <c r="H12" i="44"/>
  <c r="D24" i="47"/>
  <c r="T20" i="41"/>
  <c r="P21" i="40"/>
  <c r="H29" i="40"/>
  <c r="D13" i="40"/>
  <c r="T33" i="47"/>
  <c r="B22" i="31"/>
  <c r="H25" i="35"/>
  <c r="D13" i="35"/>
  <c r="H34" i="32"/>
  <c r="H24" i="31"/>
  <c r="P34" i="29"/>
  <c r="H12" i="29"/>
  <c r="B25" i="32"/>
  <c r="D22" i="32"/>
  <c r="B21" i="26"/>
  <c r="T24" i="22"/>
  <c r="H20" i="19"/>
  <c r="H34" i="16"/>
  <c r="D12" i="23"/>
  <c r="B21" i="19"/>
  <c r="H33" i="23"/>
  <c r="T33" i="19"/>
  <c r="H24" i="23"/>
  <c r="P29" i="20"/>
  <c r="H20" i="16"/>
  <c r="H24" i="22"/>
  <c r="P25" i="19"/>
  <c r="B13" i="23"/>
  <c r="P24" i="19"/>
  <c r="D24" i="22"/>
  <c r="T24" i="17"/>
  <c r="D33" i="25"/>
  <c r="H25" i="20"/>
  <c r="T22" i="16"/>
  <c r="D15" i="22"/>
  <c r="H13" i="19"/>
  <c r="T12" i="17"/>
  <c r="D5" i="14"/>
  <c r="H33" i="13"/>
  <c r="D34" i="14"/>
  <c r="T25" i="17"/>
  <c r="B13" i="14"/>
  <c r="D29" i="16"/>
  <c r="T24" i="26"/>
  <c r="B21" i="14"/>
  <c r="H13" i="20"/>
  <c r="B16" i="14"/>
  <c r="D34" i="16"/>
  <c r="D15" i="13"/>
  <c r="T22" i="13"/>
  <c r="P24" i="14"/>
  <c r="D5" i="19"/>
  <c r="B38" i="11"/>
  <c r="D15" i="10"/>
  <c r="H34" i="5"/>
  <c r="P12" i="4"/>
  <c r="T22" i="7"/>
  <c r="D5" i="4"/>
  <c r="P33" i="10"/>
  <c r="P25" i="7"/>
  <c r="H13" i="4"/>
  <c r="P22" i="10"/>
  <c r="T13" i="7"/>
  <c r="H21" i="4"/>
  <c r="P20" i="8"/>
  <c r="D22" i="4"/>
  <c r="P15" i="11"/>
  <c r="P16" i="7"/>
  <c r="P13" i="14"/>
  <c r="H24" i="8"/>
  <c r="T29" i="5"/>
  <c r="H29" i="11"/>
  <c r="D29" i="8"/>
  <c r="T34" i="4"/>
  <c r="T16" i="16"/>
  <c r="D21" i="8"/>
  <c r="T13" i="5"/>
  <c r="B21" i="10"/>
  <c r="D16" i="7"/>
  <c r="B13" i="8"/>
  <c r="P22" i="4"/>
  <c r="H24" i="11"/>
  <c r="D20" i="11"/>
  <c r="H15" i="7"/>
  <c r="D21" i="13"/>
  <c r="T13" i="14"/>
  <c r="T22" i="10"/>
  <c r="P33" i="16"/>
  <c r="P21" i="8"/>
  <c r="D33" i="10"/>
  <c r="H34" i="7"/>
  <c r="B39" i="7"/>
  <c r="P25" i="4"/>
  <c r="B21" i="11"/>
  <c r="P33" i="13"/>
  <c r="T20" i="8"/>
  <c r="D29" i="7"/>
  <c r="H22" i="10"/>
  <c r="T25" i="8"/>
  <c r="H24" i="111"/>
  <c r="B38" i="110"/>
  <c r="P13" i="112"/>
  <c r="D33" i="52"/>
  <c r="T25" i="53"/>
  <c r="B25" i="50"/>
  <c r="D12" i="53"/>
  <c r="T20" i="50"/>
  <c r="P34" i="47"/>
  <c r="T16" i="46"/>
  <c r="P33" i="50"/>
  <c r="D33" i="46"/>
  <c r="T21" i="40"/>
  <c r="H20" i="38"/>
  <c r="B22" i="37"/>
  <c r="T25" i="37"/>
  <c r="B16" i="41"/>
  <c r="P13" i="35"/>
  <c r="P33" i="32"/>
  <c r="T15" i="32"/>
  <c r="P16" i="31"/>
  <c r="P25" i="35"/>
  <c r="P12" i="28"/>
  <c r="P24" i="28"/>
  <c r="D33" i="31"/>
  <c r="D29" i="31"/>
  <c r="D20" i="26"/>
  <c r="T22" i="22"/>
  <c r="H16" i="19"/>
  <c r="H33" i="16"/>
  <c r="P21" i="22"/>
  <c r="D20" i="19"/>
  <c r="H29" i="23"/>
  <c r="T29" i="19"/>
  <c r="H22" i="23"/>
  <c r="P25" i="20"/>
  <c r="H16" i="16"/>
  <c r="H22" i="22"/>
  <c r="T21" i="19"/>
  <c r="B38" i="22"/>
  <c r="P22" i="19"/>
  <c r="D22" i="22"/>
  <c r="T22" i="17"/>
  <c r="D25" i="25"/>
  <c r="P15" i="20"/>
  <c r="D16" i="28"/>
  <c r="T12" i="22"/>
  <c r="D4" i="19"/>
  <c r="P29" i="16"/>
  <c r="P20" i="13"/>
  <c r="H29" i="13"/>
  <c r="D33" i="14"/>
  <c r="P22" i="17"/>
  <c r="B38" i="13"/>
  <c r="D21" i="16"/>
  <c r="T33" i="23"/>
  <c r="D20" i="14"/>
  <c r="B25" i="17"/>
  <c r="D15" i="14"/>
  <c r="H22" i="16"/>
  <c r="T12" i="13"/>
  <c r="P12" i="13"/>
  <c r="P22" i="14"/>
  <c r="H33" i="17"/>
  <c r="D34" i="11"/>
  <c r="T12" i="10"/>
  <c r="H33" i="5"/>
  <c r="P21" i="14"/>
  <c r="P12" i="7"/>
  <c r="B38" i="10"/>
  <c r="P29" i="10"/>
  <c r="T21" i="7"/>
  <c r="D4" i="4"/>
  <c r="T20" i="10"/>
  <c r="B25" i="5"/>
  <c r="D13" i="4"/>
  <c r="P16" i="8"/>
  <c r="H20" i="4"/>
  <c r="D5" i="11"/>
  <c r="D12" i="7"/>
  <c r="T20" i="13"/>
  <c r="H22" i="8"/>
  <c r="T25" i="5"/>
  <c r="P24" i="11"/>
  <c r="D25" i="8"/>
  <c r="T33" i="4"/>
  <c r="B13" i="11"/>
  <c r="H15" i="8"/>
  <c r="P34" i="4"/>
  <c r="D20" i="10"/>
  <c r="P20" i="5"/>
  <c r="D25" i="7"/>
  <c r="D22" i="11"/>
  <c r="T13" i="17"/>
  <c r="P12" i="8"/>
  <c r="P24" i="8"/>
  <c r="H20" i="5"/>
  <c r="D16" i="5"/>
  <c r="B39" i="10"/>
  <c r="D22" i="7"/>
  <c r="B22" i="7"/>
  <c r="P24" i="17"/>
  <c r="P13" i="8"/>
  <c r="D21" i="4"/>
  <c r="H22" i="7"/>
  <c r="P13" i="4"/>
  <c r="P34" i="110"/>
  <c r="B39" i="46"/>
  <c r="H12" i="34"/>
  <c r="B13" i="25"/>
  <c r="H25" i="22"/>
  <c r="B16" i="16"/>
  <c r="H24" i="13"/>
  <c r="T34" i="13"/>
  <c r="H34" i="4"/>
  <c r="H22" i="111"/>
  <c r="D34" i="110"/>
  <c r="H12" i="112"/>
  <c r="D29" i="52"/>
  <c r="B16" i="53"/>
  <c r="D24" i="50"/>
  <c r="P21" i="52"/>
  <c r="T16" i="50"/>
  <c r="T25" i="47"/>
  <c r="T13" i="46"/>
  <c r="D34" i="47"/>
  <c r="D29" i="46"/>
  <c r="B39" i="38"/>
  <c r="H16" i="38"/>
  <c r="D21" i="37"/>
  <c r="B16" i="37"/>
  <c r="D15" i="41"/>
  <c r="H12" i="35"/>
  <c r="P29" i="32"/>
  <c r="P13" i="32"/>
  <c r="D12" i="31"/>
  <c r="T21" i="35"/>
  <c r="P21" i="26"/>
  <c r="T13" i="28"/>
  <c r="H29" i="29"/>
  <c r="D29" i="29"/>
  <c r="H15" i="25"/>
  <c r="D22" i="20"/>
  <c r="B22" i="28"/>
  <c r="H29" i="16"/>
  <c r="T15" i="22"/>
  <c r="D16" i="19"/>
  <c r="H25" i="23"/>
  <c r="T25" i="19"/>
  <c r="H13" i="23"/>
  <c r="T21" i="20"/>
  <c r="D34" i="25"/>
  <c r="H13" i="22"/>
  <c r="T12" i="29"/>
  <c r="D34" i="22"/>
  <c r="T20" i="19"/>
  <c r="H20" i="22"/>
  <c r="P12" i="17"/>
  <c r="D13" i="25"/>
  <c r="D5" i="20"/>
  <c r="T24" i="25"/>
  <c r="B38" i="20"/>
  <c r="P21" i="17"/>
  <c r="H24" i="16"/>
  <c r="P16" i="13"/>
  <c r="H25" i="13"/>
  <c r="D29" i="14"/>
  <c r="T20" i="17"/>
  <c r="D34" i="13"/>
  <c r="D16" i="16"/>
  <c r="D15" i="23"/>
  <c r="D16" i="14"/>
  <c r="D22" i="17"/>
  <c r="T12" i="14"/>
  <c r="T15" i="16"/>
  <c r="D16" i="22"/>
  <c r="T25" i="23"/>
  <c r="T20" i="14"/>
  <c r="H21" i="17"/>
  <c r="D33" i="11"/>
  <c r="T24" i="8"/>
  <c r="H29" i="5"/>
  <c r="D25" i="11"/>
  <c r="B39" i="5"/>
  <c r="B25" i="8"/>
  <c r="P25" i="10"/>
  <c r="B38" i="5"/>
  <c r="T16" i="13"/>
  <c r="T16" i="10"/>
  <c r="D24" i="5"/>
  <c r="P22" i="13"/>
  <c r="D12" i="8"/>
  <c r="H16" i="4"/>
  <c r="P20" i="10"/>
  <c r="B21" i="5"/>
  <c r="T25" i="11"/>
  <c r="H13" i="8"/>
  <c r="B16" i="5"/>
  <c r="H21" i="11"/>
  <c r="H21" i="8"/>
  <c r="T29" i="4"/>
  <c r="B39" i="11"/>
  <c r="B25" i="7"/>
  <c r="P33" i="4"/>
  <c r="D16" i="10"/>
  <c r="P16" i="5"/>
  <c r="D13" i="7"/>
  <c r="H34" i="11"/>
  <c r="T34" i="17"/>
  <c r="P15" i="5"/>
  <c r="D33" i="5"/>
  <c r="P21" i="11"/>
  <c r="D4" i="11"/>
  <c r="B16" i="4"/>
  <c r="P21" i="4"/>
  <c r="P16" i="14"/>
  <c r="D25" i="5"/>
  <c r="H12" i="7"/>
  <c r="D20" i="4"/>
  <c r="B16" i="17"/>
  <c r="P29" i="46"/>
  <c r="D15" i="26"/>
  <c r="H21" i="20"/>
  <c r="P16" i="110"/>
  <c r="H21" i="110"/>
  <c r="P25" i="111"/>
  <c r="P21" i="50"/>
  <c r="D20" i="52"/>
  <c r="B13" i="50"/>
  <c r="T34" i="50"/>
  <c r="P29" i="49"/>
  <c r="T22" i="46"/>
  <c r="P25" i="44"/>
  <c r="H34" i="46"/>
  <c r="B39" i="44"/>
  <c r="D4" i="38"/>
  <c r="D33" i="37"/>
  <c r="B38" i="41"/>
  <c r="B22" i="41"/>
  <c r="D16" i="40"/>
  <c r="T16" i="34"/>
  <c r="T22" i="31"/>
  <c r="T20" i="31"/>
  <c r="D20" i="35"/>
  <c r="B22" i="32"/>
  <c r="P24" i="25"/>
  <c r="P15" i="26"/>
  <c r="P16" i="28"/>
  <c r="H24" i="28"/>
  <c r="H15" i="29"/>
  <c r="D34" i="19"/>
  <c r="P13" i="23"/>
  <c r="H25" i="16"/>
  <c r="P13" i="22"/>
  <c r="B38" i="17"/>
  <c r="P15" i="23"/>
  <c r="B16" i="19"/>
  <c r="D4" i="23"/>
  <c r="T24" i="19"/>
  <c r="H21" i="25"/>
  <c r="D4" i="22"/>
  <c r="D20" i="28"/>
  <c r="D33" i="22"/>
  <c r="T16" i="19"/>
  <c r="H16" i="22"/>
  <c r="T34" i="16"/>
  <c r="B21" i="23"/>
  <c r="P20" i="19"/>
  <c r="P12" i="25"/>
  <c r="D34" i="20"/>
  <c r="T15" i="17"/>
  <c r="P21" i="16"/>
  <c r="D12" i="13"/>
  <c r="P15" i="13"/>
  <c r="D25" i="14"/>
  <c r="D5" i="17"/>
  <c r="D33" i="13"/>
  <c r="B22" i="14"/>
  <c r="B21" i="22"/>
  <c r="B22" i="13"/>
  <c r="H20" i="17"/>
  <c r="B21" i="13"/>
  <c r="D12" i="16"/>
  <c r="H16" i="17"/>
  <c r="H34" i="19"/>
  <c r="T16" i="14"/>
  <c r="T21" i="16"/>
  <c r="D29" i="11"/>
  <c r="T22" i="8"/>
  <c r="H25" i="5"/>
  <c r="T24" i="10"/>
  <c r="H24" i="5"/>
  <c r="D34" i="7"/>
  <c r="T21" i="10"/>
  <c r="D34" i="5"/>
  <c r="H20" i="8"/>
  <c r="T13" i="10"/>
  <c r="D22" i="5"/>
  <c r="T29" i="11"/>
  <c r="P21" i="7"/>
  <c r="B13" i="4"/>
  <c r="P16" i="10"/>
  <c r="D20" i="5"/>
  <c r="H13" i="11"/>
  <c r="D4" i="8"/>
  <c r="D15" i="5"/>
  <c r="D13" i="11"/>
  <c r="D13" i="8"/>
  <c r="T25" i="4"/>
  <c r="D21" i="11"/>
  <c r="D24" i="7"/>
  <c r="P29" i="4"/>
  <c r="T34" i="8"/>
  <c r="D12" i="5"/>
  <c r="P34" i="5"/>
  <c r="D16" i="8"/>
  <c r="T13" i="4"/>
  <c r="P34" i="16"/>
  <c r="P20" i="16"/>
  <c r="B13" i="16"/>
  <c r="H22" i="5"/>
  <c r="H21" i="7"/>
  <c r="D12" i="10"/>
  <c r="T12" i="5"/>
  <c r="H15" i="11"/>
  <c r="T33" i="8"/>
  <c r="P12" i="26"/>
  <c r="B25" i="11"/>
  <c r="H33" i="8"/>
  <c r="H16" i="7"/>
  <c r="T25" i="52"/>
  <c r="T13" i="40"/>
  <c r="P16" i="32"/>
  <c r="H13" i="25"/>
  <c r="T29" i="20"/>
  <c r="T16" i="20"/>
  <c r="P25" i="26"/>
  <c r="P22" i="16"/>
  <c r="D13" i="13"/>
  <c r="T29" i="23"/>
  <c r="D12" i="14"/>
  <c r="T16" i="8"/>
  <c r="H22" i="112"/>
  <c r="D33" i="111"/>
  <c r="D20" i="111"/>
  <c r="D15" i="110"/>
  <c r="T16" i="49"/>
  <c r="H34" i="49"/>
  <c r="T20" i="53"/>
  <c r="B21" i="49"/>
  <c r="P33" i="47"/>
  <c r="D15" i="44"/>
  <c r="P20" i="47"/>
  <c r="P16" i="44"/>
  <c r="H29" i="43"/>
  <c r="B25" i="47"/>
  <c r="D34" i="44"/>
  <c r="B39" i="40"/>
  <c r="H16" i="40"/>
  <c r="T20" i="37"/>
  <c r="D15" i="32"/>
  <c r="H24" i="35"/>
  <c r="D22" i="35"/>
  <c r="H22" i="32"/>
  <c r="H16" i="31"/>
  <c r="T12" i="34"/>
  <c r="P20" i="25"/>
  <c r="B38" i="26"/>
  <c r="H13" i="28"/>
  <c r="D24" i="28"/>
  <c r="D29" i="19"/>
  <c r="P24" i="22"/>
  <c r="P15" i="16"/>
  <c r="H12" i="22"/>
  <c r="D34" i="17"/>
  <c r="D5" i="23"/>
  <c r="D15" i="19"/>
  <c r="H34" i="22"/>
  <c r="T22" i="19"/>
  <c r="B38" i="23"/>
  <c r="P24" i="20"/>
  <c r="T33" i="25"/>
  <c r="D29" i="22"/>
  <c r="T13" i="19"/>
  <c r="B13" i="22"/>
  <c r="T33" i="16"/>
  <c r="D20" i="23"/>
  <c r="P16" i="19"/>
  <c r="T24" i="23"/>
  <c r="D33" i="20"/>
  <c r="P13" i="17"/>
  <c r="D20" i="16"/>
  <c r="B21" i="17"/>
  <c r="D5" i="13"/>
  <c r="H21" i="14"/>
  <c r="D29" i="13"/>
  <c r="D21" i="14"/>
  <c r="D20" i="13"/>
  <c r="T24" i="14"/>
  <c r="P15" i="19"/>
  <c r="B13" i="17"/>
  <c r="T15" i="7"/>
  <c r="D13" i="16"/>
  <c r="P16" i="11"/>
  <c r="H13" i="112"/>
  <c r="D29" i="111"/>
  <c r="D16" i="111"/>
  <c r="T12" i="110"/>
  <c r="T13" i="49"/>
  <c r="H33" i="49"/>
  <c r="T16" i="53"/>
  <c r="D20" i="49"/>
  <c r="H29" i="47"/>
  <c r="T12" i="44"/>
  <c r="P16" i="47"/>
  <c r="D12" i="44"/>
  <c r="H25" i="43"/>
  <c r="B13" i="46"/>
  <c r="H34" i="41"/>
  <c r="H24" i="40"/>
  <c r="B13" i="40"/>
  <c r="T16" i="37"/>
  <c r="T12" i="32"/>
  <c r="H22" i="35"/>
  <c r="H20" i="35"/>
  <c r="H13" i="32"/>
  <c r="B13" i="31"/>
  <c r="B38" i="31"/>
  <c r="P16" i="25"/>
  <c r="D34" i="26"/>
  <c r="D4" i="28"/>
  <c r="D22" i="28"/>
  <c r="D25" i="19"/>
  <c r="P22" i="22"/>
  <c r="T34" i="29"/>
  <c r="T34" i="20"/>
  <c r="D33" i="17"/>
  <c r="P20" i="22"/>
  <c r="T12" i="19"/>
  <c r="H33" i="22"/>
  <c r="P12" i="19"/>
  <c r="D34" i="23"/>
  <c r="P22" i="20"/>
  <c r="T25" i="25"/>
  <c r="D25" i="22"/>
  <c r="B21" i="29"/>
  <c r="P20" i="20"/>
  <c r="T29" i="16"/>
  <c r="D16" i="23"/>
  <c r="D12" i="19"/>
  <c r="T22" i="23"/>
  <c r="D29" i="20"/>
  <c r="H12" i="17"/>
  <c r="P16" i="16"/>
  <c r="P15" i="17"/>
  <c r="H25" i="19"/>
  <c r="D13" i="14"/>
  <c r="H21" i="16"/>
  <c r="D25" i="13"/>
  <c r="H15" i="14"/>
  <c r="T29" i="17"/>
  <c r="H15" i="13"/>
  <c r="D25" i="16"/>
  <c r="D16" i="13"/>
  <c r="T22" i="14"/>
  <c r="D5" i="16"/>
  <c r="T33" i="17"/>
  <c r="P34" i="13"/>
  <c r="P20" i="14"/>
  <c r="D24" i="11"/>
  <c r="T34" i="7"/>
  <c r="D5" i="5"/>
  <c r="P12" i="10"/>
  <c r="H13" i="5"/>
  <c r="T33" i="11"/>
  <c r="P22" i="8"/>
  <c r="D29" i="5"/>
  <c r="P33" i="5"/>
  <c r="T15" i="8"/>
  <c r="H16" i="5"/>
  <c r="P20" i="11"/>
  <c r="P13" i="7"/>
  <c r="D22" i="8"/>
  <c r="H34" i="8"/>
  <c r="B22" i="4"/>
  <c r="H34" i="10"/>
  <c r="H33" i="7"/>
  <c r="B21" i="4"/>
  <c r="H24" i="10"/>
  <c r="H24" i="7"/>
  <c r="D15" i="4"/>
  <c r="B25" i="10"/>
  <c r="H20" i="7"/>
  <c r="T21" i="4"/>
  <c r="T29" i="8"/>
  <c r="T15" i="4"/>
  <c r="D16" i="11"/>
  <c r="T15" i="5"/>
  <c r="P21" i="5"/>
  <c r="D15" i="25"/>
  <c r="H15" i="16"/>
  <c r="D12" i="17"/>
  <c r="P12" i="16"/>
  <c r="B25" i="13"/>
  <c r="H25" i="17"/>
  <c r="P13" i="16"/>
  <c r="P34" i="14"/>
  <c r="P12" i="11"/>
  <c r="P20" i="4"/>
  <c r="P34" i="8"/>
  <c r="P24" i="13"/>
  <c r="H33" i="10"/>
  <c r="D24" i="10"/>
  <c r="D21" i="7"/>
  <c r="D34" i="112"/>
  <c r="T24" i="50"/>
  <c r="H15" i="38"/>
  <c r="P25" i="28"/>
  <c r="D12" i="22"/>
  <c r="D13" i="22"/>
  <c r="H34" i="14"/>
  <c r="P33" i="11"/>
  <c r="T29" i="7"/>
  <c r="D12" i="111"/>
  <c r="D4" i="111"/>
  <c r="H20" i="110"/>
  <c r="H25" i="112"/>
  <c r="B25" i="52"/>
  <c r="D5" i="49"/>
  <c r="P29" i="52"/>
  <c r="H29" i="53"/>
  <c r="B21" i="46"/>
  <c r="H25" i="52"/>
  <c r="P13" i="46"/>
  <c r="H12" i="43"/>
  <c r="P25" i="50"/>
  <c r="T15" i="41"/>
  <c r="P15" i="41"/>
  <c r="T34" i="38"/>
  <c r="P25" i="38"/>
  <c r="H21" i="44"/>
  <c r="D5" i="38"/>
  <c r="H33" i="34"/>
  <c r="D34" i="34"/>
  <c r="H29" i="31"/>
  <c r="H21" i="31"/>
  <c r="T16" i="29"/>
  <c r="P16" i="29"/>
  <c r="H21" i="26"/>
  <c r="B25" i="25"/>
  <c r="T34" i="26"/>
  <c r="T25" i="29"/>
  <c r="B21" i="20"/>
  <c r="B16" i="29"/>
  <c r="T33" i="20"/>
  <c r="D29" i="17"/>
  <c r="P16" i="22"/>
  <c r="T33" i="29"/>
  <c r="H29" i="22"/>
  <c r="B22" i="17"/>
  <c r="D33" i="23"/>
  <c r="T20" i="20"/>
  <c r="H21" i="22"/>
  <c r="P33" i="26"/>
  <c r="P16" i="20"/>
  <c r="T25" i="16"/>
  <c r="B22" i="22"/>
  <c r="P34" i="17"/>
  <c r="P12" i="23"/>
  <c r="D25" i="20"/>
  <c r="P24" i="16"/>
  <c r="B39" i="14"/>
  <c r="B39" i="13"/>
  <c r="H21" i="13"/>
  <c r="P34" i="11"/>
  <c r="P12" i="14"/>
  <c r="T33" i="7"/>
  <c r="D4" i="5"/>
  <c r="B13" i="5"/>
  <c r="H29" i="7"/>
  <c r="T12" i="4"/>
  <c r="B22" i="10"/>
  <c r="P16" i="50"/>
  <c r="H15" i="46"/>
  <c r="T20" i="32"/>
  <c r="T20" i="23"/>
  <c r="D29" i="23"/>
  <c r="D21" i="22"/>
  <c r="B25" i="14"/>
  <c r="D16" i="17"/>
  <c r="T21" i="11"/>
  <c r="D33" i="112"/>
  <c r="D20" i="112"/>
  <c r="T34" i="111"/>
  <c r="P33" i="110"/>
  <c r="D12" i="50"/>
  <c r="B16" i="52"/>
  <c r="D22" i="49"/>
  <c r="T22" i="50"/>
  <c r="D22" i="43"/>
  <c r="P25" i="46"/>
  <c r="P33" i="43"/>
  <c r="H24" i="46"/>
  <c r="B25" i="44"/>
  <c r="B38" i="38"/>
  <c r="B25" i="37"/>
  <c r="D20" i="37"/>
  <c r="B21" i="41"/>
  <c r="P12" i="40"/>
  <c r="T24" i="32"/>
  <c r="T16" i="32"/>
  <c r="D12" i="32"/>
  <c r="T29" i="35"/>
  <c r="B16" i="28"/>
  <c r="P20" i="26"/>
  <c r="H24" i="26"/>
  <c r="D24" i="32"/>
  <c r="D24" i="29"/>
  <c r="B21" i="25"/>
  <c r="T13" i="23"/>
  <c r="H24" i="17"/>
  <c r="H16" i="26"/>
  <c r="T25" i="20"/>
  <c r="D21" i="28"/>
  <c r="T24" i="20"/>
  <c r="B21" i="28"/>
  <c r="P15" i="22"/>
  <c r="H15" i="17"/>
  <c r="D25" i="23"/>
  <c r="T13" i="20"/>
  <c r="D24" i="23"/>
  <c r="P21" i="20"/>
  <c r="B22" i="23"/>
  <c r="P21" i="19"/>
  <c r="T29" i="29"/>
  <c r="H15" i="22"/>
  <c r="P29" i="17"/>
  <c r="T33" i="22"/>
  <c r="D13" i="20"/>
  <c r="T20" i="16"/>
  <c r="H33" i="14"/>
  <c r="H22" i="14"/>
  <c r="P25" i="16"/>
  <c r="H22" i="13"/>
  <c r="D24" i="14"/>
  <c r="T34" i="23"/>
  <c r="D22" i="13"/>
  <c r="D15" i="17"/>
  <c r="P29" i="11"/>
  <c r="T34" i="14"/>
  <c r="D4" i="20"/>
  <c r="T33" i="13"/>
  <c r="P29" i="14"/>
  <c r="D13" i="17"/>
  <c r="P25" i="13"/>
  <c r="P21" i="13"/>
  <c r="T33" i="10"/>
  <c r="T25" i="7"/>
  <c r="D12" i="4"/>
  <c r="P29" i="8"/>
  <c r="H33" i="4"/>
  <c r="T20" i="11"/>
  <c r="T13" i="8"/>
  <c r="D13" i="5"/>
  <c r="T15" i="11"/>
  <c r="P24" i="7"/>
  <c r="D34" i="4"/>
  <c r="P21" i="10"/>
  <c r="D21" i="5"/>
  <c r="T15" i="14"/>
  <c r="H25" i="8"/>
  <c r="H22" i="11"/>
  <c r="H25" i="10"/>
  <c r="P15" i="7"/>
  <c r="H16" i="11"/>
  <c r="D4" i="10"/>
  <c r="D4" i="7"/>
  <c r="B38" i="7"/>
  <c r="H20" i="10"/>
  <c r="P24" i="5"/>
  <c r="B22" i="11"/>
  <c r="D15" i="8"/>
  <c r="H20" i="11"/>
  <c r="D21" i="10"/>
  <c r="T20" i="4"/>
  <c r="T25" i="22"/>
  <c r="T12" i="23"/>
  <c r="T21" i="14"/>
  <c r="T25" i="10"/>
  <c r="T21" i="8"/>
  <c r="P33" i="7"/>
  <c r="H12" i="11"/>
  <c r="P13" i="10"/>
  <c r="D5" i="8"/>
  <c r="T34" i="5"/>
  <c r="D34" i="8"/>
  <c r="B13" i="10"/>
  <c r="D13" i="10"/>
  <c r="D25" i="4"/>
  <c r="T33" i="5"/>
  <c r="B22" i="8"/>
  <c r="T16" i="4"/>
  <c r="D24" i="49"/>
  <c r="H13" i="43"/>
  <c r="D22" i="26"/>
  <c r="T34" i="22"/>
  <c r="H21" i="5"/>
  <c r="T22" i="11"/>
  <c r="H13" i="7"/>
  <c r="H12" i="8"/>
  <c r="P25" i="11"/>
  <c r="B38" i="4"/>
  <c r="D12" i="11"/>
  <c r="D22" i="10"/>
  <c r="B13" i="7"/>
  <c r="B22" i="5"/>
  <c r="H25" i="11"/>
  <c r="H33" i="19"/>
  <c r="B16" i="8"/>
  <c r="H12" i="4"/>
  <c r="D25" i="17"/>
  <c r="P13" i="5"/>
  <c r="H25" i="7"/>
  <c r="H29" i="8"/>
  <c r="H15" i="4"/>
  <c r="B21" i="8"/>
  <c r="H29" i="10"/>
  <c r="P29" i="13"/>
  <c r="P33" i="8"/>
  <c r="D16" i="4"/>
  <c r="H13" i="10"/>
  <c r="X160" i="15" l="1"/>
  <c r="Z160" i="15" s="1"/>
  <c r="L22" i="83"/>
  <c r="N25" i="72"/>
  <c r="X18" i="61"/>
  <c r="N18" i="58"/>
  <c r="N35" i="39"/>
  <c r="L18" i="91"/>
  <c r="N18" i="91" s="1"/>
  <c r="L185" i="18"/>
  <c r="L86" i="30"/>
  <c r="N86" i="30" s="1"/>
  <c r="L38" i="33"/>
  <c r="L35" i="39"/>
  <c r="N18" i="57"/>
  <c r="L18" i="58"/>
  <c r="Z53" i="73"/>
  <c r="L56" i="76"/>
  <c r="N56" i="76" s="1"/>
  <c r="Z22" i="80"/>
  <c r="N22" i="88"/>
  <c r="Z86" i="30"/>
  <c r="N30" i="36"/>
  <c r="L22" i="94"/>
  <c r="N22" i="94" s="1"/>
  <c r="L18" i="59"/>
  <c r="X22" i="83"/>
  <c r="Z22" i="83" s="1"/>
  <c r="T87" i="95"/>
  <c r="V87" i="95" s="1"/>
  <c r="N67" i="68"/>
  <c r="Z22" i="79"/>
  <c r="N22" i="87"/>
  <c r="Z18" i="91"/>
  <c r="Z21" i="100"/>
  <c r="L18" i="108"/>
  <c r="F19" i="109"/>
  <c r="Z18" i="9"/>
  <c r="L28" i="21"/>
  <c r="N28" i="21" s="1"/>
  <c r="N18" i="55"/>
  <c r="N18" i="59"/>
  <c r="Z60" i="70"/>
  <c r="L56" i="84"/>
  <c r="Z19" i="99"/>
  <c r="X18" i="59"/>
  <c r="L18" i="60"/>
  <c r="L18" i="61"/>
  <c r="N18" i="61" s="1"/>
  <c r="N56" i="84"/>
  <c r="Z22" i="87"/>
  <c r="N165" i="12"/>
  <c r="N18" i="67"/>
  <c r="L53" i="73"/>
  <c r="N26" i="78"/>
  <c r="X20" i="85"/>
  <c r="L22" i="97"/>
  <c r="Z26" i="78"/>
  <c r="L22" i="88"/>
  <c r="X21" i="5"/>
  <c r="Z13" i="4"/>
  <c r="N15" i="7"/>
  <c r="L22" i="11"/>
  <c r="N24" i="11"/>
  <c r="Z16" i="4"/>
  <c r="J24" i="5"/>
  <c r="J22" i="5"/>
  <c r="J21" i="5"/>
  <c r="N12" i="5"/>
  <c r="J20" i="5"/>
  <c r="J18" i="5"/>
  <c r="J16" i="5"/>
  <c r="H18" i="5"/>
  <c r="J15" i="5"/>
  <c r="J36" i="5"/>
  <c r="J34" i="5"/>
  <c r="J33" i="5"/>
  <c r="J31" i="5"/>
  <c r="J29" i="5"/>
  <c r="J27" i="5"/>
  <c r="J25" i="5"/>
  <c r="N15" i="10"/>
  <c r="Z20" i="4"/>
  <c r="X13" i="5"/>
  <c r="L21" i="7"/>
  <c r="Z15" i="5"/>
  <c r="L16" i="8"/>
  <c r="N34" i="11"/>
  <c r="L20" i="11"/>
  <c r="X22" i="4"/>
  <c r="Z13" i="13"/>
  <c r="X24" i="4"/>
  <c r="L20" i="8"/>
  <c r="L21" i="10"/>
  <c r="L16" i="11"/>
  <c r="L13" i="16"/>
  <c r="X34" i="5"/>
  <c r="L13" i="7"/>
  <c r="L25" i="7"/>
  <c r="L24" i="8"/>
  <c r="L13" i="10"/>
  <c r="L25" i="10"/>
  <c r="N20" i="11"/>
  <c r="J36" i="4"/>
  <c r="J34" i="4"/>
  <c r="J33" i="4"/>
  <c r="J31" i="4"/>
  <c r="J29" i="4"/>
  <c r="J27" i="4"/>
  <c r="J25" i="4"/>
  <c r="J24" i="4"/>
  <c r="J22" i="4"/>
  <c r="J21" i="4"/>
  <c r="J20" i="4"/>
  <c r="J18" i="4"/>
  <c r="J16" i="4"/>
  <c r="H18" i="4"/>
  <c r="J15" i="4"/>
  <c r="N12" i="4"/>
  <c r="X13" i="4"/>
  <c r="Z15" i="4"/>
  <c r="X21" i="4"/>
  <c r="F36" i="5"/>
  <c r="F34" i="5"/>
  <c r="F33" i="5"/>
  <c r="F31" i="5"/>
  <c r="F29" i="5"/>
  <c r="F27" i="5"/>
  <c r="F25" i="5"/>
  <c r="F24" i="5"/>
  <c r="F22" i="5"/>
  <c r="F21" i="5"/>
  <c r="F20" i="5"/>
  <c r="F18" i="5"/>
  <c r="F16" i="5"/>
  <c r="D18" i="5"/>
  <c r="F15" i="5"/>
  <c r="L12" i="5"/>
  <c r="X16" i="5"/>
  <c r="X20" i="5"/>
  <c r="L16" i="7"/>
  <c r="L20" i="7"/>
  <c r="V21" i="8"/>
  <c r="V20" i="8"/>
  <c r="V18" i="8"/>
  <c r="V16" i="8"/>
  <c r="T18" i="8"/>
  <c r="V15" i="8"/>
  <c r="Z12" i="8"/>
  <c r="V24" i="8"/>
  <c r="V22" i="8"/>
  <c r="V36" i="8"/>
  <c r="V34" i="8"/>
  <c r="V33" i="8"/>
  <c r="V31" i="8"/>
  <c r="V29" i="8"/>
  <c r="V27" i="8"/>
  <c r="V25" i="8"/>
  <c r="L15" i="8"/>
  <c r="Z25" i="8"/>
  <c r="Z29" i="8"/>
  <c r="Z33" i="8"/>
  <c r="Z34" i="8"/>
  <c r="L16" i="10"/>
  <c r="L20" i="10"/>
  <c r="V36" i="11"/>
  <c r="V34" i="11"/>
  <c r="V33" i="11"/>
  <c r="V31" i="11"/>
  <c r="V29" i="11"/>
  <c r="V27" i="11"/>
  <c r="V25" i="11"/>
  <c r="V21" i="11"/>
  <c r="V20" i="11"/>
  <c r="V18" i="11"/>
  <c r="V16" i="11"/>
  <c r="V22" i="11"/>
  <c r="T18" i="11"/>
  <c r="V15" i="11"/>
  <c r="V24" i="11"/>
  <c r="Z12" i="11"/>
  <c r="L15" i="11"/>
  <c r="N25" i="11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N16" i="10"/>
  <c r="N20" i="10"/>
  <c r="L22" i="10"/>
  <c r="L24" i="10"/>
  <c r="N15" i="11"/>
  <c r="L21" i="11"/>
  <c r="Z16" i="16"/>
  <c r="Z24" i="4"/>
  <c r="Z21" i="5"/>
  <c r="X29" i="5"/>
  <c r="X25" i="11"/>
  <c r="V21" i="4"/>
  <c r="Z12" i="4"/>
  <c r="V36" i="4"/>
  <c r="V34" i="4"/>
  <c r="V33" i="4"/>
  <c r="V31" i="4"/>
  <c r="V29" i="4"/>
  <c r="V27" i="4"/>
  <c r="V25" i="4"/>
  <c r="V24" i="4"/>
  <c r="V22" i="4"/>
  <c r="V20" i="4"/>
  <c r="V18" i="4"/>
  <c r="V16" i="4"/>
  <c r="T18" i="4"/>
  <c r="V15" i="4"/>
  <c r="L15" i="4"/>
  <c r="Z25" i="4"/>
  <c r="Z29" i="4"/>
  <c r="Z33" i="4"/>
  <c r="Z34" i="4"/>
  <c r="R22" i="5"/>
  <c r="X12" i="5"/>
  <c r="R36" i="5"/>
  <c r="R34" i="5"/>
  <c r="R33" i="5"/>
  <c r="R31" i="5"/>
  <c r="R29" i="5"/>
  <c r="R27" i="5"/>
  <c r="R25" i="5"/>
  <c r="R21" i="5"/>
  <c r="P18" i="5"/>
  <c r="R15" i="5"/>
  <c r="R24" i="5"/>
  <c r="R20" i="5"/>
  <c r="R18" i="5"/>
  <c r="R16" i="5"/>
  <c r="Z22" i="5"/>
  <c r="Z24" i="5"/>
  <c r="N13" i="7"/>
  <c r="N22" i="7"/>
  <c r="N24" i="7"/>
  <c r="L13" i="8"/>
  <c r="N21" i="8"/>
  <c r="L25" i="8"/>
  <c r="L29" i="8"/>
  <c r="L33" i="8"/>
  <c r="L34" i="8"/>
  <c r="N13" i="10"/>
  <c r="N22" i="10"/>
  <c r="N24" i="10"/>
  <c r="L13" i="11"/>
  <c r="N21" i="11"/>
  <c r="X24" i="11"/>
  <c r="N29" i="11"/>
  <c r="Z34" i="11"/>
  <c r="J24" i="14"/>
  <c r="J22" i="14"/>
  <c r="J21" i="14"/>
  <c r="J20" i="14"/>
  <c r="J18" i="14"/>
  <c r="J16" i="14"/>
  <c r="H18" i="14"/>
  <c r="J15" i="14"/>
  <c r="N12" i="14"/>
  <c r="J36" i="14"/>
  <c r="J34" i="14"/>
  <c r="J33" i="14"/>
  <c r="J31" i="14"/>
  <c r="J29" i="14"/>
  <c r="J27" i="14"/>
  <c r="J25" i="14"/>
  <c r="L29" i="10"/>
  <c r="N16" i="11"/>
  <c r="L16" i="4"/>
  <c r="L20" i="4"/>
  <c r="V20" i="5"/>
  <c r="Z12" i="5"/>
  <c r="V16" i="5"/>
  <c r="V36" i="5"/>
  <c r="V34" i="5"/>
  <c r="V33" i="5"/>
  <c r="V31" i="5"/>
  <c r="V29" i="5"/>
  <c r="V27" i="5"/>
  <c r="V25" i="5"/>
  <c r="V24" i="5"/>
  <c r="V22" i="5"/>
  <c r="V21" i="5"/>
  <c r="T18" i="5"/>
  <c r="V15" i="5"/>
  <c r="V18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X15" i="10"/>
  <c r="N25" i="10"/>
  <c r="N29" i="10"/>
  <c r="N33" i="10"/>
  <c r="N34" i="10"/>
  <c r="N13" i="11"/>
  <c r="Z25" i="11"/>
  <c r="Z20" i="13"/>
  <c r="X13" i="14"/>
  <c r="L33" i="7"/>
  <c r="N21" i="10"/>
  <c r="L34" i="10"/>
  <c r="N22" i="11"/>
  <c r="N15" i="4"/>
  <c r="L21" i="4"/>
  <c r="L16" i="5"/>
  <c r="L20" i="5"/>
  <c r="F22" i="7"/>
  <c r="L12" i="7"/>
  <c r="F24" i="7"/>
  <c r="F36" i="7"/>
  <c r="F34" i="7"/>
  <c r="F33" i="7"/>
  <c r="F31" i="7"/>
  <c r="F29" i="7"/>
  <c r="F27" i="7"/>
  <c r="F25" i="7"/>
  <c r="F21" i="7"/>
  <c r="D18" i="7"/>
  <c r="F15" i="7"/>
  <c r="F20" i="7"/>
  <c r="F18" i="7"/>
  <c r="F16" i="7"/>
  <c r="X16" i="7"/>
  <c r="X20" i="7"/>
  <c r="X15" i="8"/>
  <c r="N25" i="8"/>
  <c r="N29" i="8"/>
  <c r="N33" i="8"/>
  <c r="N34" i="8"/>
  <c r="F22" i="10"/>
  <c r="L12" i="10"/>
  <c r="F24" i="10"/>
  <c r="F36" i="10"/>
  <c r="F34" i="10"/>
  <c r="F33" i="10"/>
  <c r="F31" i="10"/>
  <c r="F29" i="10"/>
  <c r="F27" i="10"/>
  <c r="F25" i="10"/>
  <c r="F21" i="10"/>
  <c r="D18" i="10"/>
  <c r="F15" i="10"/>
  <c r="F20" i="10"/>
  <c r="F18" i="10"/>
  <c r="F16" i="10"/>
  <c r="X16" i="10"/>
  <c r="X20" i="10"/>
  <c r="X15" i="11"/>
  <c r="X22" i="11"/>
  <c r="Z24" i="11"/>
  <c r="N33" i="11"/>
  <c r="Z15" i="14"/>
  <c r="N33" i="19"/>
  <c r="L29" i="7"/>
  <c r="L22" i="8"/>
  <c r="L33" i="10"/>
  <c r="N16" i="4"/>
  <c r="N20" i="4"/>
  <c r="L22" i="4"/>
  <c r="L24" i="4"/>
  <c r="N15" i="5"/>
  <c r="L21" i="5"/>
  <c r="J18" i="7"/>
  <c r="N12" i="7"/>
  <c r="J20" i="7"/>
  <c r="J36" i="7"/>
  <c r="J34" i="7"/>
  <c r="J33" i="7"/>
  <c r="J31" i="7"/>
  <c r="J29" i="7"/>
  <c r="J27" i="7"/>
  <c r="J25" i="7"/>
  <c r="J24" i="7"/>
  <c r="J22" i="7"/>
  <c r="J21" i="7"/>
  <c r="J16" i="7"/>
  <c r="H18" i="7"/>
  <c r="J15" i="7"/>
  <c r="X13" i="7"/>
  <c r="Z15" i="7"/>
  <c r="X21" i="7"/>
  <c r="L12" i="8"/>
  <c r="F36" i="8"/>
  <c r="F34" i="8"/>
  <c r="F33" i="8"/>
  <c r="F31" i="8"/>
  <c r="F29" i="8"/>
  <c r="F27" i="8"/>
  <c r="F25" i="8"/>
  <c r="F24" i="8"/>
  <c r="F22" i="8"/>
  <c r="F21" i="8"/>
  <c r="F20" i="8"/>
  <c r="F18" i="8"/>
  <c r="F16" i="8"/>
  <c r="D18" i="8"/>
  <c r="F15" i="8"/>
  <c r="X16" i="8"/>
  <c r="X20" i="8"/>
  <c r="N12" i="10"/>
  <c r="J20" i="10"/>
  <c r="J36" i="10"/>
  <c r="J34" i="10"/>
  <c r="J33" i="10"/>
  <c r="J31" i="10"/>
  <c r="J29" i="10"/>
  <c r="J27" i="10"/>
  <c r="J25" i="10"/>
  <c r="J24" i="10"/>
  <c r="J22" i="10"/>
  <c r="J16" i="10"/>
  <c r="J21" i="10"/>
  <c r="J18" i="10"/>
  <c r="H18" i="10"/>
  <c r="J15" i="10"/>
  <c r="X13" i="10"/>
  <c r="Z15" i="10"/>
  <c r="X21" i="10"/>
  <c r="F25" i="11"/>
  <c r="F31" i="11"/>
  <c r="F21" i="11"/>
  <c r="L12" i="11"/>
  <c r="F27" i="11"/>
  <c r="F36" i="11"/>
  <c r="F33" i="11"/>
  <c r="F29" i="11"/>
  <c r="F22" i="11"/>
  <c r="F20" i="11"/>
  <c r="F18" i="11"/>
  <c r="F16" i="11"/>
  <c r="F34" i="11"/>
  <c r="F24" i="11"/>
  <c r="F15" i="11"/>
  <c r="D18" i="11"/>
  <c r="X16" i="11"/>
  <c r="X20" i="11"/>
  <c r="X21" i="11"/>
  <c r="Z29" i="11"/>
  <c r="X22" i="13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N12" i="8"/>
  <c r="J36" i="8"/>
  <c r="J34" i="8"/>
  <c r="J33" i="8"/>
  <c r="J31" i="8"/>
  <c r="J29" i="8"/>
  <c r="J27" i="8"/>
  <c r="J25" i="8"/>
  <c r="J15" i="8"/>
  <c r="J24" i="8"/>
  <c r="J22" i="8"/>
  <c r="H18" i="8"/>
  <c r="J21" i="8"/>
  <c r="J20" i="8"/>
  <c r="J18" i="8"/>
  <c r="J16" i="8"/>
  <c r="X13" i="8"/>
  <c r="Z15" i="8"/>
  <c r="X21" i="8"/>
  <c r="Z13" i="10"/>
  <c r="Z16" i="10"/>
  <c r="Z20" i="10"/>
  <c r="X22" i="10"/>
  <c r="X24" i="10"/>
  <c r="J36" i="11"/>
  <c r="J34" i="11"/>
  <c r="J33" i="11"/>
  <c r="J31" i="11"/>
  <c r="J29" i="11"/>
  <c r="J27" i="11"/>
  <c r="J25" i="11"/>
  <c r="N12" i="11"/>
  <c r="H18" i="11"/>
  <c r="J21" i="11"/>
  <c r="J22" i="11"/>
  <c r="J20" i="11"/>
  <c r="J18" i="11"/>
  <c r="J16" i="11"/>
  <c r="J15" i="11"/>
  <c r="J24" i="11"/>
  <c r="X13" i="11"/>
  <c r="Z15" i="11"/>
  <c r="Z22" i="11"/>
  <c r="X24" i="13"/>
  <c r="X33" i="5"/>
  <c r="N21" i="7"/>
  <c r="N20" i="8"/>
  <c r="Z16" i="13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Z21" i="10"/>
  <c r="X25" i="10"/>
  <c r="X29" i="10"/>
  <c r="X33" i="10"/>
  <c r="X34" i="10"/>
  <c r="Z13" i="11"/>
  <c r="Z16" i="11"/>
  <c r="Z20" i="11"/>
  <c r="Z21" i="11"/>
  <c r="Z33" i="11"/>
  <c r="X33" i="16"/>
  <c r="L34" i="7"/>
  <c r="X15" i="4"/>
  <c r="N25" i="4"/>
  <c r="N29" i="4"/>
  <c r="N33" i="4"/>
  <c r="N34" i="4"/>
  <c r="N13" i="5"/>
  <c r="N22" i="5"/>
  <c r="N24" i="5"/>
  <c r="R36" i="7"/>
  <c r="R34" i="7"/>
  <c r="R33" i="7"/>
  <c r="R31" i="7"/>
  <c r="R29" i="7"/>
  <c r="R27" i="7"/>
  <c r="R25" i="7"/>
  <c r="R24" i="7"/>
  <c r="R22" i="7"/>
  <c r="R21" i="7"/>
  <c r="R20" i="7"/>
  <c r="R18" i="7"/>
  <c r="R16" i="7"/>
  <c r="P18" i="7"/>
  <c r="R15" i="7"/>
  <c r="X12" i="7"/>
  <c r="Z22" i="7"/>
  <c r="Z24" i="7"/>
  <c r="Z21" i="8"/>
  <c r="X25" i="8"/>
  <c r="X29" i="8"/>
  <c r="X33" i="8"/>
  <c r="X34" i="8"/>
  <c r="R36" i="10"/>
  <c r="R34" i="10"/>
  <c r="R33" i="10"/>
  <c r="R31" i="10"/>
  <c r="R29" i="10"/>
  <c r="R27" i="10"/>
  <c r="R25" i="10"/>
  <c r="R24" i="10"/>
  <c r="R22" i="10"/>
  <c r="R21" i="10"/>
  <c r="R20" i="10"/>
  <c r="R18" i="10"/>
  <c r="R16" i="10"/>
  <c r="P18" i="10"/>
  <c r="R15" i="10"/>
  <c r="X12" i="10"/>
  <c r="Z22" i="10"/>
  <c r="Z24" i="10"/>
  <c r="L25" i="11"/>
  <c r="X21" i="14"/>
  <c r="P18" i="4"/>
  <c r="R15" i="4"/>
  <c r="R36" i="4"/>
  <c r="R31" i="4"/>
  <c r="R29" i="4"/>
  <c r="R25" i="4"/>
  <c r="R27" i="4"/>
  <c r="X12" i="4"/>
  <c r="R33" i="4"/>
  <c r="R24" i="4"/>
  <c r="R22" i="4"/>
  <c r="R20" i="4"/>
  <c r="R18" i="4"/>
  <c r="R16" i="4"/>
  <c r="R34" i="4"/>
  <c r="R21" i="4"/>
  <c r="Z22" i="4"/>
  <c r="X25" i="5"/>
  <c r="N16" i="8"/>
  <c r="F36" i="4"/>
  <c r="F34" i="4"/>
  <c r="F33" i="4"/>
  <c r="F31" i="4"/>
  <c r="F29" i="4"/>
  <c r="F27" i="4"/>
  <c r="F25" i="4"/>
  <c r="F24" i="4"/>
  <c r="F22" i="4"/>
  <c r="F21" i="4"/>
  <c r="F20" i="4"/>
  <c r="F18" i="4"/>
  <c r="F16" i="4"/>
  <c r="D18" i="4"/>
  <c r="F15" i="4"/>
  <c r="L12" i="4"/>
  <c r="X16" i="4"/>
  <c r="X20" i="4"/>
  <c r="X15" i="5"/>
  <c r="N25" i="5"/>
  <c r="N29" i="5"/>
  <c r="N33" i="5"/>
  <c r="N34" i="5"/>
  <c r="V24" i="7"/>
  <c r="V22" i="7"/>
  <c r="V21" i="7"/>
  <c r="V20" i="7"/>
  <c r="V18" i="7"/>
  <c r="V16" i="7"/>
  <c r="T18" i="7"/>
  <c r="V15" i="7"/>
  <c r="V36" i="7"/>
  <c r="V34" i="7"/>
  <c r="V33" i="7"/>
  <c r="V31" i="7"/>
  <c r="V29" i="7"/>
  <c r="V27" i="7"/>
  <c r="V25" i="7"/>
  <c r="Z12" i="7"/>
  <c r="L15" i="7"/>
  <c r="Z25" i="7"/>
  <c r="Z29" i="7"/>
  <c r="Z33" i="7"/>
  <c r="Z34" i="7"/>
  <c r="R36" i="8"/>
  <c r="R34" i="8"/>
  <c r="R33" i="8"/>
  <c r="R31" i="8"/>
  <c r="R29" i="8"/>
  <c r="R27" i="8"/>
  <c r="R25" i="8"/>
  <c r="R24" i="8"/>
  <c r="R22" i="8"/>
  <c r="R21" i="8"/>
  <c r="R20" i="8"/>
  <c r="R18" i="8"/>
  <c r="R16" i="8"/>
  <c r="P18" i="8"/>
  <c r="R15" i="8"/>
  <c r="X12" i="8"/>
  <c r="Z22" i="8"/>
  <c r="Z24" i="8"/>
  <c r="V24" i="10"/>
  <c r="V22" i="10"/>
  <c r="V21" i="10"/>
  <c r="V20" i="10"/>
  <c r="V18" i="10"/>
  <c r="V16" i="10"/>
  <c r="T18" i="10"/>
  <c r="V15" i="10"/>
  <c r="V36" i="10"/>
  <c r="V34" i="10"/>
  <c r="V33" i="10"/>
  <c r="V31" i="10"/>
  <c r="V29" i="10"/>
  <c r="V27" i="10"/>
  <c r="V25" i="10"/>
  <c r="Z12" i="10"/>
  <c r="L15" i="10"/>
  <c r="Z25" i="10"/>
  <c r="Z29" i="10"/>
  <c r="Z33" i="10"/>
  <c r="Z34" i="10"/>
  <c r="R36" i="11"/>
  <c r="R34" i="11"/>
  <c r="R33" i="11"/>
  <c r="R31" i="11"/>
  <c r="R29" i="11"/>
  <c r="R27" i="11"/>
  <c r="R21" i="11"/>
  <c r="R20" i="11"/>
  <c r="R18" i="11"/>
  <c r="R16" i="11"/>
  <c r="R22" i="11"/>
  <c r="P18" i="11"/>
  <c r="R15" i="11"/>
  <c r="R24" i="11"/>
  <c r="R25" i="11"/>
  <c r="X12" i="11"/>
  <c r="L24" i="11"/>
  <c r="L29" i="11"/>
  <c r="L33" i="11"/>
  <c r="L34" i="11"/>
  <c r="J36" i="13"/>
  <c r="J34" i="13"/>
  <c r="J33" i="13"/>
  <c r="J31" i="13"/>
  <c r="J29" i="13"/>
  <c r="J27" i="13"/>
  <c r="J25" i="13"/>
  <c r="J24" i="13"/>
  <c r="J22" i="13"/>
  <c r="J21" i="13"/>
  <c r="J20" i="13"/>
  <c r="J18" i="13"/>
  <c r="J16" i="13"/>
  <c r="H18" i="13"/>
  <c r="J15" i="13"/>
  <c r="N12" i="13"/>
  <c r="X13" i="13"/>
  <c r="Z15" i="13"/>
  <c r="X21" i="13"/>
  <c r="F36" i="14"/>
  <c r="F34" i="14"/>
  <c r="F33" i="14"/>
  <c r="F31" i="14"/>
  <c r="F29" i="14"/>
  <c r="F27" i="14"/>
  <c r="F25" i="14"/>
  <c r="F24" i="14"/>
  <c r="F22" i="14"/>
  <c r="F21" i="14"/>
  <c r="F20" i="14"/>
  <c r="F18" i="14"/>
  <c r="F16" i="14"/>
  <c r="D18" i="14"/>
  <c r="F15" i="14"/>
  <c r="L12" i="14"/>
  <c r="X16" i="14"/>
  <c r="X20" i="14"/>
  <c r="Z21" i="16"/>
  <c r="N21" i="17"/>
  <c r="N33" i="17"/>
  <c r="N24" i="20"/>
  <c r="V20" i="25"/>
  <c r="V18" i="25"/>
  <c r="V16" i="25"/>
  <c r="T18" i="25"/>
  <c r="V15" i="25"/>
  <c r="Z12" i="25"/>
  <c r="V36" i="25"/>
  <c r="V34" i="25"/>
  <c r="V33" i="25"/>
  <c r="V31" i="25"/>
  <c r="V29" i="25"/>
  <c r="V27" i="25"/>
  <c r="V25" i="25"/>
  <c r="V22" i="25"/>
  <c r="V21" i="25"/>
  <c r="V24" i="25"/>
  <c r="Z21" i="13"/>
  <c r="X25" i="13"/>
  <c r="X29" i="13"/>
  <c r="X33" i="13"/>
  <c r="X34" i="13"/>
  <c r="Z13" i="14"/>
  <c r="Z16" i="14"/>
  <c r="Z20" i="14"/>
  <c r="X22" i="14"/>
  <c r="X24" i="14"/>
  <c r="N13" i="16"/>
  <c r="L13" i="17"/>
  <c r="L16" i="17"/>
  <c r="X24" i="17"/>
  <c r="Z33" i="17"/>
  <c r="X15" i="19"/>
  <c r="N34" i="19"/>
  <c r="Z25" i="23"/>
  <c r="P18" i="13"/>
  <c r="R15" i="13"/>
  <c r="X12" i="13"/>
  <c r="R36" i="13"/>
  <c r="R34" i="13"/>
  <c r="R33" i="13"/>
  <c r="R31" i="13"/>
  <c r="R29" i="13"/>
  <c r="R27" i="13"/>
  <c r="R25" i="13"/>
  <c r="R24" i="13"/>
  <c r="R22" i="13"/>
  <c r="R20" i="13"/>
  <c r="R18" i="13"/>
  <c r="R16" i="13"/>
  <c r="R21" i="13"/>
  <c r="Z22" i="13"/>
  <c r="Z24" i="13"/>
  <c r="Z21" i="14"/>
  <c r="X25" i="14"/>
  <c r="X29" i="14"/>
  <c r="X33" i="14"/>
  <c r="X34" i="14"/>
  <c r="X20" i="16"/>
  <c r="N16" i="17"/>
  <c r="L16" i="22"/>
  <c r="Z12" i="13"/>
  <c r="V36" i="13"/>
  <c r="V34" i="13"/>
  <c r="V33" i="13"/>
  <c r="V31" i="13"/>
  <c r="V29" i="13"/>
  <c r="V27" i="13"/>
  <c r="V25" i="13"/>
  <c r="V24" i="13"/>
  <c r="V22" i="13"/>
  <c r="V21" i="13"/>
  <c r="V20" i="13"/>
  <c r="V18" i="13"/>
  <c r="V16" i="13"/>
  <c r="T18" i="13"/>
  <c r="V15" i="13"/>
  <c r="L15" i="13"/>
  <c r="Z25" i="13"/>
  <c r="Z29" i="13"/>
  <c r="Z33" i="13"/>
  <c r="Z34" i="13"/>
  <c r="X12" i="14"/>
  <c r="R36" i="14"/>
  <c r="R34" i="14"/>
  <c r="R33" i="14"/>
  <c r="R31" i="14"/>
  <c r="R29" i="14"/>
  <c r="R27" i="14"/>
  <c r="R25" i="14"/>
  <c r="R24" i="14"/>
  <c r="R22" i="14"/>
  <c r="R21" i="14"/>
  <c r="P18" i="14"/>
  <c r="R15" i="14"/>
  <c r="R20" i="14"/>
  <c r="R18" i="14"/>
  <c r="R16" i="14"/>
  <c r="Z22" i="14"/>
  <c r="Z24" i="14"/>
  <c r="F21" i="16"/>
  <c r="F33" i="16"/>
  <c r="F24" i="16"/>
  <c r="F15" i="16"/>
  <c r="F29" i="16"/>
  <c r="F16" i="16"/>
  <c r="F25" i="16"/>
  <c r="L12" i="16"/>
  <c r="F34" i="16"/>
  <c r="F18" i="16"/>
  <c r="F31" i="16"/>
  <c r="F22" i="16"/>
  <c r="D18" i="16"/>
  <c r="F36" i="16"/>
  <c r="F20" i="16"/>
  <c r="F27" i="16"/>
  <c r="Z15" i="16"/>
  <c r="N22" i="16"/>
  <c r="L34" i="16"/>
  <c r="L20" i="17"/>
  <c r="N29" i="17"/>
  <c r="N34" i="17"/>
  <c r="Z29" i="23"/>
  <c r="R21" i="26"/>
  <c r="R20" i="26"/>
  <c r="R18" i="26"/>
  <c r="R16" i="26"/>
  <c r="P18" i="26"/>
  <c r="R15" i="26"/>
  <c r="X12" i="26"/>
  <c r="R36" i="26"/>
  <c r="R29" i="26"/>
  <c r="R22" i="26"/>
  <c r="R34" i="26"/>
  <c r="R27" i="26"/>
  <c r="R33" i="26"/>
  <c r="R25" i="26"/>
  <c r="R24" i="26"/>
  <c r="R31" i="26"/>
  <c r="L16" i="13"/>
  <c r="L20" i="13"/>
  <c r="Z12" i="14"/>
  <c r="V36" i="14"/>
  <c r="V34" i="14"/>
  <c r="V33" i="14"/>
  <c r="V31" i="14"/>
  <c r="V29" i="14"/>
  <c r="V27" i="14"/>
  <c r="V25" i="14"/>
  <c r="V24" i="14"/>
  <c r="V22" i="14"/>
  <c r="V21" i="14"/>
  <c r="V20" i="14"/>
  <c r="V18" i="14"/>
  <c r="V16" i="14"/>
  <c r="T18" i="14"/>
  <c r="V15" i="14"/>
  <c r="L15" i="14"/>
  <c r="Z25" i="14"/>
  <c r="Z29" i="14"/>
  <c r="Z33" i="14"/>
  <c r="Z34" i="14"/>
  <c r="J24" i="16"/>
  <c r="J22" i="16"/>
  <c r="H18" i="16"/>
  <c r="J33" i="16"/>
  <c r="J29" i="16"/>
  <c r="J21" i="16"/>
  <c r="J16" i="16"/>
  <c r="J25" i="16"/>
  <c r="N12" i="16"/>
  <c r="J34" i="16"/>
  <c r="J18" i="16"/>
  <c r="J31" i="16"/>
  <c r="J27" i="16"/>
  <c r="J15" i="16"/>
  <c r="J36" i="16"/>
  <c r="J20" i="16"/>
  <c r="X13" i="16"/>
  <c r="L25" i="16"/>
  <c r="Z13" i="17"/>
  <c r="N20" i="17"/>
  <c r="L22" i="17"/>
  <c r="N13" i="20"/>
  <c r="L20" i="22"/>
  <c r="V20" i="23"/>
  <c r="V18" i="23"/>
  <c r="V16" i="23"/>
  <c r="T18" i="23"/>
  <c r="V15" i="23"/>
  <c r="Z12" i="23"/>
  <c r="V36" i="23"/>
  <c r="V34" i="23"/>
  <c r="V33" i="23"/>
  <c r="V31" i="23"/>
  <c r="V29" i="23"/>
  <c r="V27" i="23"/>
  <c r="V25" i="23"/>
  <c r="V21" i="23"/>
  <c r="V22" i="23"/>
  <c r="V24" i="23"/>
  <c r="L20" i="29"/>
  <c r="X29" i="11"/>
  <c r="X33" i="11"/>
  <c r="X34" i="11"/>
  <c r="N15" i="13"/>
  <c r="L21" i="13"/>
  <c r="L16" i="14"/>
  <c r="L20" i="14"/>
  <c r="Z13" i="16"/>
  <c r="L15" i="17"/>
  <c r="X16" i="17"/>
  <c r="N25" i="17"/>
  <c r="Z29" i="17"/>
  <c r="Z34" i="17"/>
  <c r="L15" i="23"/>
  <c r="Z33" i="23"/>
  <c r="Z24" i="26"/>
  <c r="N16" i="13"/>
  <c r="N20" i="13"/>
  <c r="L22" i="13"/>
  <c r="L24" i="13"/>
  <c r="N15" i="14"/>
  <c r="L21" i="14"/>
  <c r="L16" i="16"/>
  <c r="L21" i="16"/>
  <c r="L29" i="16"/>
  <c r="Z16" i="17"/>
  <c r="Z34" i="23"/>
  <c r="L13" i="13"/>
  <c r="N21" i="13"/>
  <c r="L25" i="13"/>
  <c r="L29" i="13"/>
  <c r="L33" i="13"/>
  <c r="L34" i="13"/>
  <c r="N16" i="14"/>
  <c r="N20" i="14"/>
  <c r="L22" i="14"/>
  <c r="L24" i="14"/>
  <c r="R36" i="16"/>
  <c r="R34" i="16"/>
  <c r="R33" i="16"/>
  <c r="R31" i="16"/>
  <c r="R29" i="16"/>
  <c r="R27" i="16"/>
  <c r="R25" i="16"/>
  <c r="R21" i="16"/>
  <c r="X12" i="16"/>
  <c r="R18" i="16"/>
  <c r="R22" i="16"/>
  <c r="P18" i="16"/>
  <c r="R20" i="16"/>
  <c r="R15" i="16"/>
  <c r="R24" i="16"/>
  <c r="R16" i="16"/>
  <c r="N21" i="16"/>
  <c r="X34" i="16"/>
  <c r="Z20" i="17"/>
  <c r="X22" i="17"/>
  <c r="Z25" i="17"/>
  <c r="N13" i="13"/>
  <c r="N22" i="13"/>
  <c r="N24" i="13"/>
  <c r="L13" i="14"/>
  <c r="N21" i="14"/>
  <c r="L25" i="14"/>
  <c r="L29" i="14"/>
  <c r="L33" i="14"/>
  <c r="L34" i="14"/>
  <c r="V24" i="16"/>
  <c r="V22" i="16"/>
  <c r="V21" i="16"/>
  <c r="Z12" i="16"/>
  <c r="V25" i="16"/>
  <c r="V18" i="16"/>
  <c r="V34" i="16"/>
  <c r="T18" i="16"/>
  <c r="V31" i="16"/>
  <c r="V27" i="16"/>
  <c r="V20" i="16"/>
  <c r="V15" i="16"/>
  <c r="V36" i="16"/>
  <c r="V33" i="16"/>
  <c r="V16" i="16"/>
  <c r="V29" i="16"/>
  <c r="L15" i="16"/>
  <c r="X25" i="16"/>
  <c r="L33" i="16"/>
  <c r="F36" i="17"/>
  <c r="F34" i="17"/>
  <c r="F33" i="17"/>
  <c r="F31" i="17"/>
  <c r="F29" i="17"/>
  <c r="F27" i="17"/>
  <c r="F25" i="17"/>
  <c r="F20" i="17"/>
  <c r="F18" i="17"/>
  <c r="F16" i="17"/>
  <c r="F21" i="17"/>
  <c r="L12" i="17"/>
  <c r="D18" i="17"/>
  <c r="F15" i="17"/>
  <c r="F22" i="17"/>
  <c r="F24" i="17"/>
  <c r="N25" i="19"/>
  <c r="X15" i="13"/>
  <c r="N25" i="13"/>
  <c r="N29" i="13"/>
  <c r="N33" i="13"/>
  <c r="N34" i="13"/>
  <c r="N13" i="14"/>
  <c r="N22" i="14"/>
  <c r="N24" i="14"/>
  <c r="X15" i="17"/>
  <c r="F36" i="13"/>
  <c r="F34" i="13"/>
  <c r="F33" i="13"/>
  <c r="F31" i="13"/>
  <c r="F29" i="13"/>
  <c r="F27" i="13"/>
  <c r="F25" i="13"/>
  <c r="F24" i="13"/>
  <c r="F22" i="13"/>
  <c r="F21" i="13"/>
  <c r="F20" i="13"/>
  <c r="F18" i="13"/>
  <c r="F16" i="13"/>
  <c r="D18" i="13"/>
  <c r="F15" i="13"/>
  <c r="L12" i="13"/>
  <c r="X16" i="13"/>
  <c r="X20" i="13"/>
  <c r="X15" i="14"/>
  <c r="N25" i="14"/>
  <c r="N29" i="14"/>
  <c r="N33" i="14"/>
  <c r="N34" i="14"/>
  <c r="N15" i="16"/>
  <c r="X16" i="16"/>
  <c r="L20" i="16"/>
  <c r="X21" i="16"/>
  <c r="N24" i="16"/>
  <c r="X29" i="16"/>
  <c r="Z12" i="17"/>
  <c r="V36" i="17"/>
  <c r="V34" i="17"/>
  <c r="V33" i="17"/>
  <c r="V31" i="17"/>
  <c r="V29" i="17"/>
  <c r="V21" i="17"/>
  <c r="V20" i="17"/>
  <c r="V18" i="17"/>
  <c r="V16" i="17"/>
  <c r="V25" i="17"/>
  <c r="V22" i="17"/>
  <c r="V24" i="17"/>
  <c r="V27" i="17"/>
  <c r="T18" i="17"/>
  <c r="V15" i="17"/>
  <c r="L24" i="17"/>
  <c r="N29" i="19"/>
  <c r="N22" i="20"/>
  <c r="Z20" i="16"/>
  <c r="X22" i="16"/>
  <c r="X24" i="16"/>
  <c r="J36" i="17"/>
  <c r="J34" i="17"/>
  <c r="J33" i="17"/>
  <c r="J31" i="17"/>
  <c r="J29" i="17"/>
  <c r="J27" i="17"/>
  <c r="J25" i="17"/>
  <c r="J21" i="17"/>
  <c r="N12" i="17"/>
  <c r="J18" i="17"/>
  <c r="H18" i="17"/>
  <c r="J15" i="17"/>
  <c r="J22" i="17"/>
  <c r="J20" i="17"/>
  <c r="J16" i="17"/>
  <c r="J24" i="17"/>
  <c r="X13" i="17"/>
  <c r="Z15" i="17"/>
  <c r="X21" i="17"/>
  <c r="N13" i="19"/>
  <c r="N22" i="19"/>
  <c r="N24" i="19"/>
  <c r="L13" i="20"/>
  <c r="N21" i="20"/>
  <c r="L25" i="20"/>
  <c r="L29" i="20"/>
  <c r="L33" i="20"/>
  <c r="L34" i="20"/>
  <c r="V21" i="22"/>
  <c r="V20" i="22"/>
  <c r="V18" i="22"/>
  <c r="V16" i="22"/>
  <c r="T18" i="22"/>
  <c r="V15" i="22"/>
  <c r="Z12" i="22"/>
  <c r="V24" i="22"/>
  <c r="V22" i="22"/>
  <c r="V27" i="22"/>
  <c r="V25" i="22"/>
  <c r="V36" i="22"/>
  <c r="V34" i="22"/>
  <c r="V33" i="22"/>
  <c r="V29" i="22"/>
  <c r="V31" i="22"/>
  <c r="L15" i="22"/>
  <c r="Z25" i="22"/>
  <c r="Z29" i="22"/>
  <c r="Z33" i="22"/>
  <c r="Z34" i="22"/>
  <c r="R24" i="23"/>
  <c r="R22" i="23"/>
  <c r="R21" i="23"/>
  <c r="R20" i="23"/>
  <c r="R18" i="23"/>
  <c r="R16" i="23"/>
  <c r="P18" i="23"/>
  <c r="R15" i="23"/>
  <c r="X12" i="23"/>
  <c r="R36" i="23"/>
  <c r="R34" i="23"/>
  <c r="R33" i="23"/>
  <c r="R31" i="23"/>
  <c r="R29" i="23"/>
  <c r="R27" i="23"/>
  <c r="R25" i="23"/>
  <c r="Z22" i="23"/>
  <c r="Z24" i="23"/>
  <c r="R24" i="25"/>
  <c r="R22" i="25"/>
  <c r="R21" i="25"/>
  <c r="R20" i="25"/>
  <c r="R18" i="25"/>
  <c r="R16" i="25"/>
  <c r="P18" i="25"/>
  <c r="R15" i="25"/>
  <c r="X12" i="25"/>
  <c r="R36" i="25"/>
  <c r="R29" i="25"/>
  <c r="R34" i="25"/>
  <c r="R27" i="25"/>
  <c r="R33" i="25"/>
  <c r="R25" i="25"/>
  <c r="R31" i="25"/>
  <c r="Z24" i="25"/>
  <c r="L16" i="28"/>
  <c r="Z22" i="16"/>
  <c r="Z24" i="16"/>
  <c r="Z21" i="17"/>
  <c r="X25" i="17"/>
  <c r="X29" i="17"/>
  <c r="X33" i="17"/>
  <c r="X34" i="17"/>
  <c r="F24" i="19"/>
  <c r="F22" i="19"/>
  <c r="F21" i="19"/>
  <c r="F20" i="19"/>
  <c r="F18" i="19"/>
  <c r="F16" i="19"/>
  <c r="D18" i="19"/>
  <c r="F15" i="19"/>
  <c r="L12" i="19"/>
  <c r="F36" i="19"/>
  <c r="F34" i="19"/>
  <c r="F33" i="19"/>
  <c r="F31" i="19"/>
  <c r="F29" i="19"/>
  <c r="F27" i="19"/>
  <c r="F25" i="19"/>
  <c r="X16" i="19"/>
  <c r="X20" i="19"/>
  <c r="X15" i="20"/>
  <c r="N25" i="20"/>
  <c r="N29" i="20"/>
  <c r="N33" i="20"/>
  <c r="N34" i="20"/>
  <c r="N15" i="22"/>
  <c r="L21" i="22"/>
  <c r="L16" i="23"/>
  <c r="L20" i="23"/>
  <c r="L13" i="25"/>
  <c r="L25" i="25"/>
  <c r="L33" i="25"/>
  <c r="N20" i="26"/>
  <c r="Z29" i="29"/>
  <c r="Z25" i="16"/>
  <c r="Z29" i="16"/>
  <c r="Z33" i="16"/>
  <c r="Z34" i="16"/>
  <c r="R36" i="17"/>
  <c r="R34" i="17"/>
  <c r="R33" i="17"/>
  <c r="R31" i="17"/>
  <c r="R29" i="17"/>
  <c r="R27" i="17"/>
  <c r="R25" i="17"/>
  <c r="R24" i="17"/>
  <c r="R22" i="17"/>
  <c r="R20" i="17"/>
  <c r="R18" i="17"/>
  <c r="R16" i="17"/>
  <c r="R15" i="17"/>
  <c r="R21" i="17"/>
  <c r="X12" i="17"/>
  <c r="P18" i="17"/>
  <c r="Z22" i="17"/>
  <c r="Z24" i="17"/>
  <c r="J20" i="19"/>
  <c r="J18" i="19"/>
  <c r="J16" i="19"/>
  <c r="H18" i="19"/>
  <c r="J15" i="19"/>
  <c r="N12" i="19"/>
  <c r="J36" i="19"/>
  <c r="J34" i="19"/>
  <c r="J33" i="19"/>
  <c r="J31" i="19"/>
  <c r="J29" i="19"/>
  <c r="J27" i="19"/>
  <c r="J25" i="19"/>
  <c r="J21" i="19"/>
  <c r="J24" i="19"/>
  <c r="J22" i="19"/>
  <c r="X13" i="19"/>
  <c r="Z15" i="19"/>
  <c r="X21" i="19"/>
  <c r="F21" i="20"/>
  <c r="F20" i="20"/>
  <c r="F18" i="20"/>
  <c r="F16" i="20"/>
  <c r="D18" i="20"/>
  <c r="F15" i="20"/>
  <c r="L12" i="20"/>
  <c r="F24" i="20"/>
  <c r="F22" i="20"/>
  <c r="F36" i="20"/>
  <c r="F34" i="20"/>
  <c r="F33" i="20"/>
  <c r="F31" i="20"/>
  <c r="F29" i="20"/>
  <c r="F27" i="20"/>
  <c r="F25" i="20"/>
  <c r="X16" i="20"/>
  <c r="X20" i="20"/>
  <c r="N16" i="22"/>
  <c r="N20" i="22"/>
  <c r="L22" i="22"/>
  <c r="L24" i="22"/>
  <c r="N15" i="23"/>
  <c r="L21" i="23"/>
  <c r="X25" i="26"/>
  <c r="X33" i="26"/>
  <c r="Z13" i="19"/>
  <c r="Z16" i="19"/>
  <c r="Z20" i="19"/>
  <c r="X22" i="19"/>
  <c r="X24" i="19"/>
  <c r="H18" i="20"/>
  <c r="J15" i="20"/>
  <c r="N12" i="20"/>
  <c r="J36" i="20"/>
  <c r="J34" i="20"/>
  <c r="J33" i="20"/>
  <c r="J31" i="20"/>
  <c r="J29" i="20"/>
  <c r="J27" i="20"/>
  <c r="J25" i="20"/>
  <c r="J24" i="20"/>
  <c r="J22" i="20"/>
  <c r="J20" i="20"/>
  <c r="J18" i="20"/>
  <c r="J16" i="20"/>
  <c r="J21" i="20"/>
  <c r="X13" i="20"/>
  <c r="Z15" i="20"/>
  <c r="X21" i="20"/>
  <c r="L13" i="22"/>
  <c r="N21" i="22"/>
  <c r="L25" i="22"/>
  <c r="L29" i="22"/>
  <c r="L33" i="22"/>
  <c r="L34" i="22"/>
  <c r="N16" i="23"/>
  <c r="N20" i="23"/>
  <c r="L22" i="23"/>
  <c r="L24" i="23"/>
  <c r="L15" i="25"/>
  <c r="Z25" i="25"/>
  <c r="Z33" i="25"/>
  <c r="L20" i="28"/>
  <c r="V21" i="29"/>
  <c r="V20" i="29"/>
  <c r="V18" i="29"/>
  <c r="V16" i="29"/>
  <c r="T18" i="29"/>
  <c r="V15" i="29"/>
  <c r="Z12" i="29"/>
  <c r="V36" i="29"/>
  <c r="V25" i="29"/>
  <c r="V34" i="29"/>
  <c r="V24" i="29"/>
  <c r="V33" i="29"/>
  <c r="V22" i="29"/>
  <c r="V31" i="29"/>
  <c r="V29" i="29"/>
  <c r="V27" i="29"/>
  <c r="Z21" i="19"/>
  <c r="X25" i="19"/>
  <c r="X29" i="19"/>
  <c r="X33" i="19"/>
  <c r="X34" i="19"/>
  <c r="Z13" i="20"/>
  <c r="Z16" i="20"/>
  <c r="Z20" i="20"/>
  <c r="X22" i="20"/>
  <c r="X24" i="20"/>
  <c r="N13" i="22"/>
  <c r="N22" i="22"/>
  <c r="N24" i="22"/>
  <c r="L13" i="23"/>
  <c r="N21" i="23"/>
  <c r="L25" i="23"/>
  <c r="L29" i="23"/>
  <c r="L33" i="23"/>
  <c r="L34" i="23"/>
  <c r="N21" i="25"/>
  <c r="L34" i="25"/>
  <c r="N16" i="16"/>
  <c r="N20" i="16"/>
  <c r="L22" i="16"/>
  <c r="L24" i="16"/>
  <c r="N15" i="17"/>
  <c r="L21" i="17"/>
  <c r="X12" i="19"/>
  <c r="R36" i="19"/>
  <c r="R34" i="19"/>
  <c r="R33" i="19"/>
  <c r="R31" i="19"/>
  <c r="R29" i="19"/>
  <c r="R27" i="19"/>
  <c r="R25" i="19"/>
  <c r="R24" i="19"/>
  <c r="R22" i="19"/>
  <c r="R21" i="19"/>
  <c r="R20" i="19"/>
  <c r="R18" i="19"/>
  <c r="R16" i="19"/>
  <c r="P18" i="19"/>
  <c r="R15" i="19"/>
  <c r="Z22" i="19"/>
  <c r="Z24" i="19"/>
  <c r="Z21" i="20"/>
  <c r="X25" i="20"/>
  <c r="X29" i="20"/>
  <c r="X33" i="20"/>
  <c r="X34" i="20"/>
  <c r="X15" i="22"/>
  <c r="N25" i="22"/>
  <c r="N29" i="22"/>
  <c r="N33" i="22"/>
  <c r="N34" i="22"/>
  <c r="N13" i="23"/>
  <c r="N22" i="23"/>
  <c r="N24" i="23"/>
  <c r="Z21" i="26"/>
  <c r="X34" i="26"/>
  <c r="L15" i="29"/>
  <c r="Z33" i="29"/>
  <c r="Z12" i="19"/>
  <c r="V36" i="19"/>
  <c r="V34" i="19"/>
  <c r="V33" i="19"/>
  <c r="V31" i="19"/>
  <c r="V29" i="19"/>
  <c r="V27" i="19"/>
  <c r="V25" i="19"/>
  <c r="V24" i="19"/>
  <c r="V22" i="19"/>
  <c r="V21" i="19"/>
  <c r="V20" i="19"/>
  <c r="V18" i="19"/>
  <c r="V16" i="19"/>
  <c r="T18" i="19"/>
  <c r="V15" i="19"/>
  <c r="L15" i="19"/>
  <c r="Z25" i="19"/>
  <c r="Z29" i="19"/>
  <c r="Z33" i="19"/>
  <c r="Z34" i="19"/>
  <c r="X12" i="20"/>
  <c r="R36" i="20"/>
  <c r="R34" i="20"/>
  <c r="R33" i="20"/>
  <c r="R31" i="20"/>
  <c r="R29" i="20"/>
  <c r="R27" i="20"/>
  <c r="R25" i="20"/>
  <c r="R24" i="20"/>
  <c r="R22" i="20"/>
  <c r="R21" i="20"/>
  <c r="R20" i="20"/>
  <c r="R18" i="20"/>
  <c r="R16" i="20"/>
  <c r="P18" i="20"/>
  <c r="R15" i="20"/>
  <c r="Z22" i="20"/>
  <c r="Z24" i="20"/>
  <c r="L12" i="22"/>
  <c r="F36" i="22"/>
  <c r="F34" i="22"/>
  <c r="F33" i="22"/>
  <c r="F31" i="22"/>
  <c r="F29" i="22"/>
  <c r="F27" i="22"/>
  <c r="F25" i="22"/>
  <c r="F24" i="22"/>
  <c r="F22" i="22"/>
  <c r="F21" i="22"/>
  <c r="F20" i="22"/>
  <c r="F18" i="22"/>
  <c r="F16" i="22"/>
  <c r="D18" i="22"/>
  <c r="F15" i="22"/>
  <c r="X16" i="22"/>
  <c r="X20" i="22"/>
  <c r="X15" i="23"/>
  <c r="N25" i="23"/>
  <c r="N29" i="23"/>
  <c r="N33" i="23"/>
  <c r="N34" i="23"/>
  <c r="Z34" i="25"/>
  <c r="L21" i="28"/>
  <c r="L25" i="17"/>
  <c r="L29" i="17"/>
  <c r="L33" i="17"/>
  <c r="L34" i="17"/>
  <c r="L16" i="19"/>
  <c r="L20" i="19"/>
  <c r="Z12" i="20"/>
  <c r="V36" i="20"/>
  <c r="V34" i="20"/>
  <c r="V33" i="20"/>
  <c r="V31" i="20"/>
  <c r="V29" i="20"/>
  <c r="V27" i="20"/>
  <c r="V25" i="20"/>
  <c r="V24" i="20"/>
  <c r="V22" i="20"/>
  <c r="V21" i="20"/>
  <c r="V20" i="20"/>
  <c r="V18" i="20"/>
  <c r="V16" i="20"/>
  <c r="T18" i="20"/>
  <c r="V15" i="20"/>
  <c r="L15" i="20"/>
  <c r="Z25" i="20"/>
  <c r="Z29" i="20"/>
  <c r="Z33" i="20"/>
  <c r="Z34" i="20"/>
  <c r="N12" i="22"/>
  <c r="J36" i="22"/>
  <c r="J34" i="22"/>
  <c r="J33" i="22"/>
  <c r="J31" i="22"/>
  <c r="J29" i="22"/>
  <c r="J27" i="22"/>
  <c r="J25" i="22"/>
  <c r="J24" i="22"/>
  <c r="J22" i="22"/>
  <c r="J21" i="22"/>
  <c r="J20" i="22"/>
  <c r="J18" i="22"/>
  <c r="J16" i="22"/>
  <c r="H18" i="22"/>
  <c r="J15" i="22"/>
  <c r="X13" i="22"/>
  <c r="Z15" i="22"/>
  <c r="X21" i="22"/>
  <c r="L12" i="23"/>
  <c r="F36" i="23"/>
  <c r="F34" i="23"/>
  <c r="F33" i="23"/>
  <c r="F31" i="23"/>
  <c r="F29" i="23"/>
  <c r="F27" i="23"/>
  <c r="F25" i="23"/>
  <c r="F24" i="23"/>
  <c r="F22" i="23"/>
  <c r="F21" i="23"/>
  <c r="F20" i="23"/>
  <c r="F18" i="23"/>
  <c r="F16" i="23"/>
  <c r="D18" i="23"/>
  <c r="F15" i="23"/>
  <c r="X16" i="23"/>
  <c r="X20" i="23"/>
  <c r="L29" i="25"/>
  <c r="N16" i="26"/>
  <c r="L22" i="26"/>
  <c r="Z34" i="29"/>
  <c r="X15" i="16"/>
  <c r="N25" i="16"/>
  <c r="N29" i="16"/>
  <c r="N33" i="16"/>
  <c r="N34" i="16"/>
  <c r="N13" i="17"/>
  <c r="N22" i="17"/>
  <c r="N24" i="17"/>
  <c r="N15" i="19"/>
  <c r="L21" i="19"/>
  <c r="L16" i="20"/>
  <c r="L20" i="20"/>
  <c r="Z13" i="22"/>
  <c r="Z16" i="22"/>
  <c r="Z20" i="22"/>
  <c r="X22" i="22"/>
  <c r="X24" i="22"/>
  <c r="N12" i="23"/>
  <c r="J36" i="23"/>
  <c r="J34" i="23"/>
  <c r="J33" i="23"/>
  <c r="J31" i="23"/>
  <c r="J29" i="23"/>
  <c r="J27" i="23"/>
  <c r="J25" i="23"/>
  <c r="J24" i="23"/>
  <c r="J22" i="23"/>
  <c r="J21" i="23"/>
  <c r="J20" i="23"/>
  <c r="J18" i="23"/>
  <c r="J16" i="23"/>
  <c r="H18" i="23"/>
  <c r="J15" i="23"/>
  <c r="X13" i="23"/>
  <c r="Z15" i="23"/>
  <c r="X21" i="23"/>
  <c r="Z22" i="25"/>
  <c r="X29" i="26"/>
  <c r="L16" i="29"/>
  <c r="R21" i="35"/>
  <c r="R20" i="35"/>
  <c r="R18" i="35"/>
  <c r="R16" i="35"/>
  <c r="P18" i="35"/>
  <c r="R15" i="35"/>
  <c r="X12" i="35"/>
  <c r="R24" i="35"/>
  <c r="R22" i="35"/>
  <c r="R27" i="35"/>
  <c r="R25" i="35"/>
  <c r="R36" i="35"/>
  <c r="R34" i="35"/>
  <c r="R33" i="35"/>
  <c r="R29" i="35"/>
  <c r="R31" i="35"/>
  <c r="N16" i="19"/>
  <c r="N20" i="19"/>
  <c r="L22" i="19"/>
  <c r="L24" i="19"/>
  <c r="N15" i="20"/>
  <c r="L21" i="20"/>
  <c r="Z21" i="22"/>
  <c r="X25" i="22"/>
  <c r="X29" i="22"/>
  <c r="X33" i="22"/>
  <c r="X34" i="22"/>
  <c r="Z13" i="23"/>
  <c r="Z16" i="23"/>
  <c r="Z20" i="23"/>
  <c r="X22" i="23"/>
  <c r="X24" i="23"/>
  <c r="Z29" i="25"/>
  <c r="Z22" i="26"/>
  <c r="Z25" i="29"/>
  <c r="X20" i="17"/>
  <c r="L13" i="19"/>
  <c r="N21" i="19"/>
  <c r="L25" i="19"/>
  <c r="L29" i="19"/>
  <c r="L33" i="19"/>
  <c r="L34" i="19"/>
  <c r="N16" i="20"/>
  <c r="N20" i="20"/>
  <c r="L22" i="20"/>
  <c r="L24" i="20"/>
  <c r="R36" i="22"/>
  <c r="R34" i="22"/>
  <c r="R33" i="22"/>
  <c r="R31" i="22"/>
  <c r="R29" i="22"/>
  <c r="R27" i="22"/>
  <c r="R25" i="22"/>
  <c r="R24" i="22"/>
  <c r="R22" i="22"/>
  <c r="R21" i="22"/>
  <c r="R20" i="22"/>
  <c r="R18" i="22"/>
  <c r="R16" i="22"/>
  <c r="P18" i="22"/>
  <c r="R15" i="22"/>
  <c r="X12" i="22"/>
  <c r="Z22" i="22"/>
  <c r="Z24" i="22"/>
  <c r="Z21" i="23"/>
  <c r="X25" i="23"/>
  <c r="X29" i="23"/>
  <c r="X33" i="23"/>
  <c r="X34" i="23"/>
  <c r="L24" i="26"/>
  <c r="N15" i="28"/>
  <c r="N16" i="32"/>
  <c r="L16" i="25"/>
  <c r="L20" i="25"/>
  <c r="T18" i="26"/>
  <c r="V15" i="26"/>
  <c r="Z12" i="26"/>
  <c r="V36" i="26"/>
  <c r="V34" i="26"/>
  <c r="V33" i="26"/>
  <c r="V31" i="26"/>
  <c r="V29" i="26"/>
  <c r="V27" i="26"/>
  <c r="V25" i="26"/>
  <c r="V24" i="26"/>
  <c r="V22" i="26"/>
  <c r="V16" i="26"/>
  <c r="V21" i="26"/>
  <c r="V20" i="26"/>
  <c r="V18" i="26"/>
  <c r="L15" i="26"/>
  <c r="Z25" i="26"/>
  <c r="Z29" i="26"/>
  <c r="Z33" i="26"/>
  <c r="Z34" i="26"/>
  <c r="N16" i="28"/>
  <c r="N20" i="28"/>
  <c r="L22" i="28"/>
  <c r="L24" i="28"/>
  <c r="N15" i="29"/>
  <c r="L21" i="29"/>
  <c r="L25" i="31"/>
  <c r="N20" i="32"/>
  <c r="N15" i="25"/>
  <c r="L21" i="25"/>
  <c r="L16" i="26"/>
  <c r="L20" i="26"/>
  <c r="L13" i="28"/>
  <c r="N21" i="28"/>
  <c r="L25" i="28"/>
  <c r="L29" i="28"/>
  <c r="L33" i="28"/>
  <c r="L34" i="28"/>
  <c r="N16" i="29"/>
  <c r="N20" i="29"/>
  <c r="L22" i="29"/>
  <c r="L24" i="29"/>
  <c r="N16" i="25"/>
  <c r="N20" i="25"/>
  <c r="L22" i="25"/>
  <c r="L24" i="25"/>
  <c r="N15" i="26"/>
  <c r="L21" i="26"/>
  <c r="N13" i="28"/>
  <c r="N22" i="28"/>
  <c r="N24" i="28"/>
  <c r="L13" i="29"/>
  <c r="N21" i="29"/>
  <c r="L25" i="29"/>
  <c r="L29" i="29"/>
  <c r="L33" i="29"/>
  <c r="L34" i="29"/>
  <c r="L29" i="31"/>
  <c r="L22" i="32"/>
  <c r="X15" i="28"/>
  <c r="N25" i="28"/>
  <c r="N29" i="28"/>
  <c r="N33" i="28"/>
  <c r="N34" i="28"/>
  <c r="N13" i="29"/>
  <c r="N22" i="29"/>
  <c r="N24" i="29"/>
  <c r="L24" i="32"/>
  <c r="N13" i="25"/>
  <c r="N22" i="25"/>
  <c r="N24" i="25"/>
  <c r="L13" i="26"/>
  <c r="N21" i="26"/>
  <c r="L25" i="26"/>
  <c r="L29" i="26"/>
  <c r="L33" i="26"/>
  <c r="L34" i="26"/>
  <c r="L12" i="28"/>
  <c r="F36" i="28"/>
  <c r="F34" i="28"/>
  <c r="F33" i="28"/>
  <c r="F31" i="28"/>
  <c r="F29" i="28"/>
  <c r="F27" i="28"/>
  <c r="F25" i="28"/>
  <c r="F24" i="28"/>
  <c r="F22" i="28"/>
  <c r="F21" i="28"/>
  <c r="F15" i="28"/>
  <c r="F20" i="28"/>
  <c r="F18" i="28"/>
  <c r="D18" i="28"/>
  <c r="F16" i="28"/>
  <c r="X16" i="28"/>
  <c r="X20" i="28"/>
  <c r="X15" i="29"/>
  <c r="N25" i="29"/>
  <c r="N29" i="29"/>
  <c r="N33" i="29"/>
  <c r="N34" i="29"/>
  <c r="L13" i="31"/>
  <c r="L33" i="31"/>
  <c r="Z25" i="34"/>
  <c r="F36" i="37"/>
  <c r="F34" i="37"/>
  <c r="F33" i="37"/>
  <c r="F31" i="37"/>
  <c r="F29" i="37"/>
  <c r="F27" i="37"/>
  <c r="F25" i="37"/>
  <c r="F24" i="37"/>
  <c r="F22" i="37"/>
  <c r="F21" i="37"/>
  <c r="F20" i="37"/>
  <c r="F18" i="37"/>
  <c r="F16" i="37"/>
  <c r="D18" i="37"/>
  <c r="F15" i="37"/>
  <c r="L12" i="37"/>
  <c r="X15" i="25"/>
  <c r="N25" i="25"/>
  <c r="N29" i="25"/>
  <c r="N33" i="25"/>
  <c r="N34" i="25"/>
  <c r="N13" i="26"/>
  <c r="N22" i="26"/>
  <c r="N24" i="26"/>
  <c r="N12" i="28"/>
  <c r="J36" i="28"/>
  <c r="J34" i="28"/>
  <c r="J33" i="28"/>
  <c r="J31" i="28"/>
  <c r="J29" i="28"/>
  <c r="J27" i="28"/>
  <c r="J25" i="28"/>
  <c r="J24" i="28"/>
  <c r="J22" i="28"/>
  <c r="J21" i="28"/>
  <c r="J20" i="28"/>
  <c r="J18" i="28"/>
  <c r="J16" i="28"/>
  <c r="H18" i="28"/>
  <c r="J15" i="28"/>
  <c r="X13" i="28"/>
  <c r="Z15" i="28"/>
  <c r="X21" i="28"/>
  <c r="L12" i="29"/>
  <c r="F36" i="29"/>
  <c r="F34" i="29"/>
  <c r="F33" i="29"/>
  <c r="F31" i="29"/>
  <c r="F29" i="29"/>
  <c r="F27" i="29"/>
  <c r="F25" i="29"/>
  <c r="F24" i="29"/>
  <c r="F22" i="29"/>
  <c r="F21" i="29"/>
  <c r="F20" i="29"/>
  <c r="F18" i="29"/>
  <c r="F16" i="29"/>
  <c r="D18" i="29"/>
  <c r="F15" i="29"/>
  <c r="X16" i="29"/>
  <c r="X20" i="29"/>
  <c r="L34" i="31"/>
  <c r="L12" i="25"/>
  <c r="F36" i="25"/>
  <c r="F34" i="25"/>
  <c r="F33" i="25"/>
  <c r="F31" i="25"/>
  <c r="F29" i="25"/>
  <c r="F27" i="25"/>
  <c r="F25" i="25"/>
  <c r="F21" i="25"/>
  <c r="F20" i="25"/>
  <c r="F18" i="25"/>
  <c r="F16" i="25"/>
  <c r="D18" i="25"/>
  <c r="F15" i="25"/>
  <c r="F24" i="25"/>
  <c r="F22" i="25"/>
  <c r="X16" i="25"/>
  <c r="X20" i="25"/>
  <c r="X15" i="26"/>
  <c r="N25" i="26"/>
  <c r="N29" i="26"/>
  <c r="N33" i="26"/>
  <c r="N34" i="26"/>
  <c r="Z13" i="28"/>
  <c r="Z16" i="28"/>
  <c r="Z20" i="28"/>
  <c r="X22" i="28"/>
  <c r="X24" i="28"/>
  <c r="N12" i="29"/>
  <c r="J36" i="29"/>
  <c r="J34" i="29"/>
  <c r="J33" i="29"/>
  <c r="J31" i="29"/>
  <c r="J29" i="29"/>
  <c r="J27" i="29"/>
  <c r="J25" i="29"/>
  <c r="J24" i="29"/>
  <c r="J22" i="29"/>
  <c r="J21" i="29"/>
  <c r="J20" i="29"/>
  <c r="J18" i="29"/>
  <c r="J16" i="29"/>
  <c r="H18" i="29"/>
  <c r="J15" i="29"/>
  <c r="X13" i="29"/>
  <c r="Z15" i="29"/>
  <c r="X21" i="29"/>
  <c r="Z29" i="34"/>
  <c r="Z22" i="35"/>
  <c r="N12" i="25"/>
  <c r="J36" i="25"/>
  <c r="J34" i="25"/>
  <c r="J33" i="25"/>
  <c r="J31" i="25"/>
  <c r="J29" i="25"/>
  <c r="J27" i="25"/>
  <c r="J25" i="25"/>
  <c r="J24" i="25"/>
  <c r="J22" i="25"/>
  <c r="J21" i="25"/>
  <c r="H18" i="25"/>
  <c r="J15" i="25"/>
  <c r="J18" i="25"/>
  <c r="J16" i="25"/>
  <c r="J20" i="25"/>
  <c r="X13" i="25"/>
  <c r="Z15" i="25"/>
  <c r="X21" i="25"/>
  <c r="L12" i="26"/>
  <c r="F36" i="26"/>
  <c r="F34" i="26"/>
  <c r="F33" i="26"/>
  <c r="F31" i="26"/>
  <c r="F29" i="26"/>
  <c r="F27" i="26"/>
  <c r="F25" i="26"/>
  <c r="F24" i="26"/>
  <c r="F22" i="26"/>
  <c r="F20" i="26"/>
  <c r="F18" i="26"/>
  <c r="F16" i="26"/>
  <c r="D18" i="26"/>
  <c r="F15" i="26"/>
  <c r="F21" i="26"/>
  <c r="X16" i="26"/>
  <c r="X20" i="26"/>
  <c r="Z21" i="28"/>
  <c r="X25" i="28"/>
  <c r="X29" i="28"/>
  <c r="X33" i="28"/>
  <c r="X34" i="28"/>
  <c r="Z13" i="29"/>
  <c r="Z16" i="29"/>
  <c r="Z20" i="29"/>
  <c r="X22" i="29"/>
  <c r="X24" i="29"/>
  <c r="V20" i="34"/>
  <c r="V18" i="34"/>
  <c r="V16" i="34"/>
  <c r="T18" i="34"/>
  <c r="V15" i="34"/>
  <c r="Z12" i="34"/>
  <c r="V36" i="34"/>
  <c r="V34" i="34"/>
  <c r="V33" i="34"/>
  <c r="V31" i="34"/>
  <c r="V29" i="34"/>
  <c r="V27" i="34"/>
  <c r="V25" i="34"/>
  <c r="V21" i="34"/>
  <c r="V24" i="34"/>
  <c r="V22" i="34"/>
  <c r="Z24" i="35"/>
  <c r="X15" i="38"/>
  <c r="Z13" i="25"/>
  <c r="Z16" i="25"/>
  <c r="Z20" i="25"/>
  <c r="X22" i="25"/>
  <c r="X24" i="25"/>
  <c r="J36" i="26"/>
  <c r="J34" i="26"/>
  <c r="J33" i="26"/>
  <c r="J31" i="26"/>
  <c r="J29" i="26"/>
  <c r="J27" i="26"/>
  <c r="J25" i="26"/>
  <c r="J24" i="26"/>
  <c r="J22" i="26"/>
  <c r="J21" i="26"/>
  <c r="J20" i="26"/>
  <c r="J18" i="26"/>
  <c r="J16" i="26"/>
  <c r="H18" i="26"/>
  <c r="J15" i="26"/>
  <c r="N12" i="26"/>
  <c r="X13" i="26"/>
  <c r="Z15" i="26"/>
  <c r="X21" i="26"/>
  <c r="R36" i="28"/>
  <c r="R34" i="28"/>
  <c r="R33" i="28"/>
  <c r="R31" i="28"/>
  <c r="R29" i="28"/>
  <c r="R27" i="28"/>
  <c r="R25" i="28"/>
  <c r="R24" i="28"/>
  <c r="R22" i="28"/>
  <c r="R21" i="28"/>
  <c r="R20" i="28"/>
  <c r="R18" i="28"/>
  <c r="R16" i="28"/>
  <c r="P18" i="28"/>
  <c r="R15" i="28"/>
  <c r="X12" i="28"/>
  <c r="Z22" i="28"/>
  <c r="Z24" i="28"/>
  <c r="Z21" i="29"/>
  <c r="X25" i="29"/>
  <c r="X29" i="29"/>
  <c r="X33" i="29"/>
  <c r="X34" i="29"/>
  <c r="L15" i="34"/>
  <c r="Z33" i="34"/>
  <c r="Z21" i="25"/>
  <c r="X25" i="25"/>
  <c r="X29" i="25"/>
  <c r="X33" i="25"/>
  <c r="X34" i="25"/>
  <c r="Z13" i="26"/>
  <c r="Z16" i="26"/>
  <c r="Z20" i="26"/>
  <c r="X22" i="26"/>
  <c r="X24" i="26"/>
  <c r="V24" i="28"/>
  <c r="V22" i="28"/>
  <c r="V21" i="28"/>
  <c r="V20" i="28"/>
  <c r="V18" i="28"/>
  <c r="V16" i="28"/>
  <c r="T18" i="28"/>
  <c r="V15" i="28"/>
  <c r="V33" i="28"/>
  <c r="Z12" i="28"/>
  <c r="V31" i="28"/>
  <c r="V29" i="28"/>
  <c r="V27" i="28"/>
  <c r="V36" i="28"/>
  <c r="V25" i="28"/>
  <c r="V34" i="28"/>
  <c r="L15" i="28"/>
  <c r="Z25" i="28"/>
  <c r="Z29" i="28"/>
  <c r="Z33" i="28"/>
  <c r="Z34" i="28"/>
  <c r="R36" i="29"/>
  <c r="R34" i="29"/>
  <c r="R33" i="29"/>
  <c r="R31" i="29"/>
  <c r="R29" i="29"/>
  <c r="R27" i="29"/>
  <c r="R25" i="29"/>
  <c r="R24" i="29"/>
  <c r="R22" i="29"/>
  <c r="R21" i="29"/>
  <c r="R20" i="29"/>
  <c r="R18" i="29"/>
  <c r="R16" i="29"/>
  <c r="P18" i="29"/>
  <c r="R15" i="29"/>
  <c r="X12" i="29"/>
  <c r="Z22" i="29"/>
  <c r="Z24" i="29"/>
  <c r="N21" i="31"/>
  <c r="Z34" i="34"/>
  <c r="N34" i="38"/>
  <c r="N16" i="31"/>
  <c r="N20" i="31"/>
  <c r="L22" i="31"/>
  <c r="L24" i="31"/>
  <c r="N15" i="32"/>
  <c r="L21" i="32"/>
  <c r="R24" i="34"/>
  <c r="R22" i="34"/>
  <c r="R21" i="34"/>
  <c r="R20" i="34"/>
  <c r="R18" i="34"/>
  <c r="R16" i="34"/>
  <c r="P18" i="34"/>
  <c r="R15" i="34"/>
  <c r="X12" i="34"/>
  <c r="R36" i="34"/>
  <c r="R34" i="34"/>
  <c r="R33" i="34"/>
  <c r="R31" i="34"/>
  <c r="R29" i="34"/>
  <c r="R27" i="34"/>
  <c r="R25" i="34"/>
  <c r="Z22" i="34"/>
  <c r="Z24" i="34"/>
  <c r="Z21" i="35"/>
  <c r="X25" i="35"/>
  <c r="X29" i="35"/>
  <c r="X33" i="35"/>
  <c r="X34" i="35"/>
  <c r="N13" i="31"/>
  <c r="N22" i="31"/>
  <c r="N24" i="31"/>
  <c r="L13" i="32"/>
  <c r="N21" i="32"/>
  <c r="L25" i="32"/>
  <c r="L29" i="32"/>
  <c r="L33" i="32"/>
  <c r="L34" i="32"/>
  <c r="L16" i="34"/>
  <c r="L20" i="34"/>
  <c r="T18" i="35"/>
  <c r="V15" i="35"/>
  <c r="Z12" i="35"/>
  <c r="V36" i="35"/>
  <c r="V34" i="35"/>
  <c r="V33" i="35"/>
  <c r="V31" i="35"/>
  <c r="V29" i="35"/>
  <c r="V27" i="35"/>
  <c r="V25" i="35"/>
  <c r="V24" i="35"/>
  <c r="V22" i="35"/>
  <c r="V20" i="35"/>
  <c r="V18" i="35"/>
  <c r="V16" i="35"/>
  <c r="V21" i="35"/>
  <c r="L15" i="35"/>
  <c r="Z25" i="35"/>
  <c r="Z29" i="35"/>
  <c r="Z33" i="35"/>
  <c r="Z34" i="35"/>
  <c r="J24" i="37"/>
  <c r="J22" i="37"/>
  <c r="J21" i="37"/>
  <c r="J20" i="37"/>
  <c r="J18" i="37"/>
  <c r="J16" i="37"/>
  <c r="H18" i="37"/>
  <c r="J15" i="37"/>
  <c r="N12" i="37"/>
  <c r="J29" i="37"/>
  <c r="J27" i="37"/>
  <c r="J36" i="37"/>
  <c r="J25" i="37"/>
  <c r="J34" i="37"/>
  <c r="J33" i="37"/>
  <c r="J31" i="37"/>
  <c r="X21" i="37"/>
  <c r="X15" i="31"/>
  <c r="N25" i="31"/>
  <c r="N29" i="31"/>
  <c r="N33" i="31"/>
  <c r="N34" i="31"/>
  <c r="N13" i="32"/>
  <c r="N22" i="32"/>
  <c r="N24" i="32"/>
  <c r="N15" i="34"/>
  <c r="L21" i="34"/>
  <c r="L16" i="35"/>
  <c r="L20" i="35"/>
  <c r="N25" i="38"/>
  <c r="Z25" i="40"/>
  <c r="F20" i="31"/>
  <c r="F18" i="31"/>
  <c r="F16" i="31"/>
  <c r="D18" i="31"/>
  <c r="F15" i="31"/>
  <c r="L12" i="31"/>
  <c r="F36" i="31"/>
  <c r="F34" i="31"/>
  <c r="F33" i="31"/>
  <c r="F31" i="31"/>
  <c r="F29" i="31"/>
  <c r="F27" i="31"/>
  <c r="F25" i="31"/>
  <c r="F21" i="31"/>
  <c r="F22" i="31"/>
  <c r="F24" i="31"/>
  <c r="X16" i="31"/>
  <c r="X20" i="31"/>
  <c r="X15" i="32"/>
  <c r="N25" i="32"/>
  <c r="N29" i="32"/>
  <c r="N33" i="32"/>
  <c r="N34" i="32"/>
  <c r="N16" i="34"/>
  <c r="N20" i="34"/>
  <c r="L22" i="34"/>
  <c r="L24" i="34"/>
  <c r="N15" i="35"/>
  <c r="L21" i="35"/>
  <c r="X13" i="37"/>
  <c r="X16" i="38"/>
  <c r="N12" i="31"/>
  <c r="J36" i="31"/>
  <c r="J34" i="31"/>
  <c r="J33" i="31"/>
  <c r="J31" i="31"/>
  <c r="J29" i="31"/>
  <c r="J27" i="31"/>
  <c r="J25" i="31"/>
  <c r="J24" i="31"/>
  <c r="J22" i="31"/>
  <c r="J21" i="31"/>
  <c r="H18" i="31"/>
  <c r="J15" i="31"/>
  <c r="J20" i="31"/>
  <c r="J18" i="31"/>
  <c r="J16" i="31"/>
  <c r="X13" i="31"/>
  <c r="Z15" i="31"/>
  <c r="X21" i="31"/>
  <c r="D18" i="32"/>
  <c r="F15" i="32"/>
  <c r="L12" i="32"/>
  <c r="F36" i="32"/>
  <c r="F34" i="32"/>
  <c r="F33" i="32"/>
  <c r="F31" i="32"/>
  <c r="F29" i="32"/>
  <c r="F27" i="32"/>
  <c r="F25" i="32"/>
  <c r="F24" i="32"/>
  <c r="F22" i="32"/>
  <c r="F20" i="32"/>
  <c r="F18" i="32"/>
  <c r="F16" i="32"/>
  <c r="F21" i="32"/>
  <c r="X16" i="32"/>
  <c r="X20" i="32"/>
  <c r="L13" i="34"/>
  <c r="N21" i="34"/>
  <c r="L25" i="34"/>
  <c r="L29" i="34"/>
  <c r="L33" i="34"/>
  <c r="L34" i="34"/>
  <c r="N16" i="35"/>
  <c r="N20" i="35"/>
  <c r="L22" i="35"/>
  <c r="L24" i="35"/>
  <c r="Z29" i="40"/>
  <c r="Z22" i="41"/>
  <c r="Z13" i="31"/>
  <c r="Z16" i="31"/>
  <c r="Z20" i="31"/>
  <c r="X22" i="31"/>
  <c r="X24" i="31"/>
  <c r="N12" i="32"/>
  <c r="J36" i="32"/>
  <c r="J34" i="32"/>
  <c r="J33" i="32"/>
  <c r="J31" i="32"/>
  <c r="J29" i="32"/>
  <c r="J27" i="32"/>
  <c r="J25" i="32"/>
  <c r="J24" i="32"/>
  <c r="J22" i="32"/>
  <c r="J21" i="32"/>
  <c r="J20" i="32"/>
  <c r="J18" i="32"/>
  <c r="J16" i="32"/>
  <c r="J15" i="32"/>
  <c r="H18" i="32"/>
  <c r="X13" i="32"/>
  <c r="Z15" i="32"/>
  <c r="X21" i="32"/>
  <c r="N13" i="34"/>
  <c r="N22" i="34"/>
  <c r="N24" i="34"/>
  <c r="L13" i="35"/>
  <c r="N21" i="35"/>
  <c r="L25" i="35"/>
  <c r="L29" i="35"/>
  <c r="L33" i="35"/>
  <c r="L34" i="35"/>
  <c r="Z15" i="37"/>
  <c r="V20" i="40"/>
  <c r="V18" i="40"/>
  <c r="V16" i="40"/>
  <c r="T18" i="40"/>
  <c r="V15" i="40"/>
  <c r="Z12" i="40"/>
  <c r="V36" i="40"/>
  <c r="V34" i="40"/>
  <c r="V33" i="40"/>
  <c r="V31" i="40"/>
  <c r="V29" i="40"/>
  <c r="V27" i="40"/>
  <c r="V25" i="40"/>
  <c r="V21" i="40"/>
  <c r="V24" i="40"/>
  <c r="V22" i="40"/>
  <c r="Z24" i="41"/>
  <c r="Z21" i="31"/>
  <c r="X25" i="31"/>
  <c r="X29" i="31"/>
  <c r="X33" i="31"/>
  <c r="X34" i="31"/>
  <c r="Z13" i="32"/>
  <c r="Z16" i="32"/>
  <c r="Z20" i="32"/>
  <c r="X22" i="32"/>
  <c r="X24" i="32"/>
  <c r="X15" i="34"/>
  <c r="N25" i="34"/>
  <c r="N29" i="34"/>
  <c r="N33" i="34"/>
  <c r="N34" i="34"/>
  <c r="N13" i="35"/>
  <c r="N22" i="35"/>
  <c r="N24" i="35"/>
  <c r="X16" i="37"/>
  <c r="N29" i="38"/>
  <c r="L15" i="40"/>
  <c r="Z33" i="40"/>
  <c r="X12" i="31"/>
  <c r="R36" i="31"/>
  <c r="R34" i="31"/>
  <c r="R33" i="31"/>
  <c r="R31" i="31"/>
  <c r="R29" i="31"/>
  <c r="R27" i="31"/>
  <c r="R25" i="31"/>
  <c r="R24" i="31"/>
  <c r="R22" i="31"/>
  <c r="R21" i="31"/>
  <c r="R20" i="31"/>
  <c r="R18" i="31"/>
  <c r="R16" i="31"/>
  <c r="P18" i="31"/>
  <c r="R15" i="31"/>
  <c r="Z22" i="31"/>
  <c r="Z24" i="31"/>
  <c r="Z21" i="32"/>
  <c r="X25" i="32"/>
  <c r="X29" i="32"/>
  <c r="X33" i="32"/>
  <c r="X34" i="32"/>
  <c r="L12" i="34"/>
  <c r="F36" i="34"/>
  <c r="F34" i="34"/>
  <c r="F33" i="34"/>
  <c r="F31" i="34"/>
  <c r="F29" i="34"/>
  <c r="F27" i="34"/>
  <c r="F25" i="34"/>
  <c r="F24" i="34"/>
  <c r="F22" i="34"/>
  <c r="F21" i="34"/>
  <c r="F20" i="34"/>
  <c r="F18" i="34"/>
  <c r="F16" i="34"/>
  <c r="D18" i="34"/>
  <c r="F15" i="34"/>
  <c r="X16" i="34"/>
  <c r="X20" i="34"/>
  <c r="X15" i="35"/>
  <c r="N25" i="35"/>
  <c r="N29" i="35"/>
  <c r="N33" i="35"/>
  <c r="N34" i="35"/>
  <c r="X20" i="38"/>
  <c r="Z34" i="40"/>
  <c r="Z12" i="31"/>
  <c r="V36" i="31"/>
  <c r="V34" i="31"/>
  <c r="V33" i="31"/>
  <c r="V31" i="31"/>
  <c r="V29" i="31"/>
  <c r="V27" i="31"/>
  <c r="V25" i="31"/>
  <c r="V24" i="31"/>
  <c r="V22" i="31"/>
  <c r="V21" i="31"/>
  <c r="V20" i="31"/>
  <c r="V18" i="31"/>
  <c r="V16" i="31"/>
  <c r="T18" i="31"/>
  <c r="V15" i="31"/>
  <c r="L15" i="31"/>
  <c r="Z25" i="31"/>
  <c r="Z29" i="31"/>
  <c r="Z33" i="31"/>
  <c r="Z34" i="31"/>
  <c r="X12" i="32"/>
  <c r="R36" i="32"/>
  <c r="R34" i="32"/>
  <c r="R33" i="32"/>
  <c r="R31" i="32"/>
  <c r="R29" i="32"/>
  <c r="R27" i="32"/>
  <c r="R25" i="32"/>
  <c r="R24" i="32"/>
  <c r="R22" i="32"/>
  <c r="R21" i="32"/>
  <c r="R20" i="32"/>
  <c r="R18" i="32"/>
  <c r="R16" i="32"/>
  <c r="P18" i="32"/>
  <c r="R15" i="32"/>
  <c r="Z22" i="32"/>
  <c r="Z24" i="32"/>
  <c r="N12" i="34"/>
  <c r="J36" i="34"/>
  <c r="J34" i="34"/>
  <c r="J33" i="34"/>
  <c r="J31" i="34"/>
  <c r="J29" i="34"/>
  <c r="J27" i="34"/>
  <c r="J25" i="34"/>
  <c r="J24" i="34"/>
  <c r="J22" i="34"/>
  <c r="J21" i="34"/>
  <c r="J20" i="34"/>
  <c r="J18" i="34"/>
  <c r="J16" i="34"/>
  <c r="H18" i="34"/>
  <c r="J15" i="34"/>
  <c r="X13" i="34"/>
  <c r="Z15" i="34"/>
  <c r="X21" i="34"/>
  <c r="L12" i="35"/>
  <c r="F36" i="35"/>
  <c r="F34" i="35"/>
  <c r="F33" i="35"/>
  <c r="F31" i="35"/>
  <c r="F29" i="35"/>
  <c r="F27" i="35"/>
  <c r="F25" i="35"/>
  <c r="F24" i="35"/>
  <c r="F22" i="35"/>
  <c r="F21" i="35"/>
  <c r="F20" i="35"/>
  <c r="F18" i="35"/>
  <c r="F16" i="35"/>
  <c r="D18" i="35"/>
  <c r="F15" i="35"/>
  <c r="X16" i="35"/>
  <c r="X20" i="35"/>
  <c r="L16" i="31"/>
  <c r="L20" i="31"/>
  <c r="V36" i="32"/>
  <c r="V34" i="32"/>
  <c r="V33" i="32"/>
  <c r="V31" i="32"/>
  <c r="V29" i="32"/>
  <c r="V27" i="32"/>
  <c r="V25" i="32"/>
  <c r="V24" i="32"/>
  <c r="V22" i="32"/>
  <c r="V21" i="32"/>
  <c r="V20" i="32"/>
  <c r="V18" i="32"/>
  <c r="V16" i="32"/>
  <c r="T18" i="32"/>
  <c r="V15" i="32"/>
  <c r="Z12" i="32"/>
  <c r="L15" i="32"/>
  <c r="Z25" i="32"/>
  <c r="Z29" i="32"/>
  <c r="Z33" i="32"/>
  <c r="Z34" i="32"/>
  <c r="Z13" i="34"/>
  <c r="Z16" i="34"/>
  <c r="Z20" i="34"/>
  <c r="X22" i="34"/>
  <c r="X24" i="34"/>
  <c r="J36" i="35"/>
  <c r="J34" i="35"/>
  <c r="J33" i="35"/>
  <c r="J31" i="35"/>
  <c r="J29" i="35"/>
  <c r="J27" i="35"/>
  <c r="J25" i="35"/>
  <c r="J24" i="35"/>
  <c r="J22" i="35"/>
  <c r="J21" i="35"/>
  <c r="J20" i="35"/>
  <c r="J18" i="35"/>
  <c r="J16" i="35"/>
  <c r="H18" i="35"/>
  <c r="J15" i="35"/>
  <c r="N12" i="35"/>
  <c r="X13" i="35"/>
  <c r="Z15" i="35"/>
  <c r="X21" i="35"/>
  <c r="F36" i="38"/>
  <c r="F34" i="38"/>
  <c r="F33" i="38"/>
  <c r="F31" i="38"/>
  <c r="F29" i="38"/>
  <c r="F27" i="38"/>
  <c r="F25" i="38"/>
  <c r="F24" i="38"/>
  <c r="F22" i="38"/>
  <c r="F21" i="38"/>
  <c r="F20" i="38"/>
  <c r="F18" i="38"/>
  <c r="F16" i="38"/>
  <c r="D18" i="38"/>
  <c r="F15" i="38"/>
  <c r="L12" i="38"/>
  <c r="R21" i="41"/>
  <c r="R20" i="41"/>
  <c r="R18" i="41"/>
  <c r="R16" i="41"/>
  <c r="P18" i="41"/>
  <c r="R15" i="41"/>
  <c r="X12" i="41"/>
  <c r="R24" i="41"/>
  <c r="R22" i="41"/>
  <c r="R33" i="41"/>
  <c r="R31" i="41"/>
  <c r="R29" i="41"/>
  <c r="R27" i="41"/>
  <c r="R25" i="41"/>
  <c r="R34" i="41"/>
  <c r="R36" i="41"/>
  <c r="N15" i="31"/>
  <c r="L21" i="31"/>
  <c r="L16" i="32"/>
  <c r="L20" i="32"/>
  <c r="Z21" i="34"/>
  <c r="X25" i="34"/>
  <c r="X29" i="34"/>
  <c r="X33" i="34"/>
  <c r="X34" i="34"/>
  <c r="Z13" i="35"/>
  <c r="Z16" i="35"/>
  <c r="Z20" i="35"/>
  <c r="X22" i="35"/>
  <c r="X24" i="35"/>
  <c r="X20" i="37"/>
  <c r="N33" i="38"/>
  <c r="R24" i="40"/>
  <c r="R22" i="40"/>
  <c r="R21" i="40"/>
  <c r="R20" i="40"/>
  <c r="R18" i="40"/>
  <c r="R16" i="40"/>
  <c r="P18" i="40"/>
  <c r="R15" i="40"/>
  <c r="X12" i="40"/>
  <c r="R36" i="40"/>
  <c r="R34" i="40"/>
  <c r="R33" i="40"/>
  <c r="R31" i="40"/>
  <c r="R29" i="40"/>
  <c r="R27" i="40"/>
  <c r="R25" i="40"/>
  <c r="Z22" i="40"/>
  <c r="Z24" i="40"/>
  <c r="Z21" i="41"/>
  <c r="X25" i="41"/>
  <c r="X29" i="41"/>
  <c r="X33" i="41"/>
  <c r="X34" i="41"/>
  <c r="N21" i="44"/>
  <c r="N16" i="46"/>
  <c r="N34" i="52"/>
  <c r="Z13" i="37"/>
  <c r="Z16" i="37"/>
  <c r="Z20" i="37"/>
  <c r="X22" i="37"/>
  <c r="X24" i="37"/>
  <c r="J21" i="38"/>
  <c r="J20" i="38"/>
  <c r="J18" i="38"/>
  <c r="J16" i="38"/>
  <c r="H18" i="38"/>
  <c r="J15" i="38"/>
  <c r="N12" i="38"/>
  <c r="J22" i="38"/>
  <c r="J31" i="38"/>
  <c r="J29" i="38"/>
  <c r="J27" i="38"/>
  <c r="J36" i="38"/>
  <c r="J25" i="38"/>
  <c r="J34" i="38"/>
  <c r="J33" i="38"/>
  <c r="J24" i="38"/>
  <c r="X13" i="38"/>
  <c r="Z15" i="38"/>
  <c r="X21" i="38"/>
  <c r="L16" i="40"/>
  <c r="L20" i="40"/>
  <c r="T18" i="41"/>
  <c r="V15" i="41"/>
  <c r="Z12" i="41"/>
  <c r="V36" i="41"/>
  <c r="V34" i="41"/>
  <c r="V33" i="41"/>
  <c r="V31" i="41"/>
  <c r="V29" i="41"/>
  <c r="V27" i="41"/>
  <c r="V25" i="41"/>
  <c r="V24" i="41"/>
  <c r="V22" i="41"/>
  <c r="V20" i="41"/>
  <c r="V18" i="41"/>
  <c r="V16" i="41"/>
  <c r="V21" i="41"/>
  <c r="L15" i="41"/>
  <c r="Z25" i="41"/>
  <c r="Z29" i="41"/>
  <c r="Z33" i="41"/>
  <c r="Z34" i="41"/>
  <c r="N20" i="46"/>
  <c r="Z33" i="47"/>
  <c r="Z21" i="37"/>
  <c r="X25" i="37"/>
  <c r="X29" i="37"/>
  <c r="X33" i="37"/>
  <c r="X34" i="37"/>
  <c r="Z13" i="38"/>
  <c r="Z16" i="38"/>
  <c r="Z20" i="38"/>
  <c r="X22" i="38"/>
  <c r="X24" i="38"/>
  <c r="N15" i="40"/>
  <c r="L21" i="40"/>
  <c r="L16" i="41"/>
  <c r="L20" i="41"/>
  <c r="N13" i="43"/>
  <c r="L25" i="44"/>
  <c r="N15" i="47"/>
  <c r="X12" i="37"/>
  <c r="R36" i="37"/>
  <c r="R34" i="37"/>
  <c r="R33" i="37"/>
  <c r="R31" i="37"/>
  <c r="R29" i="37"/>
  <c r="R27" i="37"/>
  <c r="R25" i="37"/>
  <c r="R24" i="37"/>
  <c r="R22" i="37"/>
  <c r="R21" i="37"/>
  <c r="R18" i="37"/>
  <c r="P18" i="37"/>
  <c r="R16" i="37"/>
  <c r="R15" i="37"/>
  <c r="R20" i="37"/>
  <c r="Z22" i="37"/>
  <c r="Z24" i="37"/>
  <c r="Z21" i="38"/>
  <c r="X25" i="38"/>
  <c r="X29" i="38"/>
  <c r="X33" i="38"/>
  <c r="X34" i="38"/>
  <c r="N16" i="40"/>
  <c r="N20" i="40"/>
  <c r="L22" i="40"/>
  <c r="L24" i="40"/>
  <c r="N15" i="41"/>
  <c r="L21" i="41"/>
  <c r="L22" i="46"/>
  <c r="Z12" i="37"/>
  <c r="V36" i="37"/>
  <c r="V34" i="37"/>
  <c r="V33" i="37"/>
  <c r="V31" i="37"/>
  <c r="V29" i="37"/>
  <c r="V27" i="37"/>
  <c r="V25" i="37"/>
  <c r="V24" i="37"/>
  <c r="V22" i="37"/>
  <c r="V21" i="37"/>
  <c r="V20" i="37"/>
  <c r="V18" i="37"/>
  <c r="V16" i="37"/>
  <c r="T18" i="37"/>
  <c r="V15" i="37"/>
  <c r="L15" i="37"/>
  <c r="Z25" i="37"/>
  <c r="Z29" i="37"/>
  <c r="Z33" i="37"/>
  <c r="Z34" i="37"/>
  <c r="X12" i="38"/>
  <c r="R36" i="38"/>
  <c r="R34" i="38"/>
  <c r="R33" i="38"/>
  <c r="R31" i="38"/>
  <c r="R29" i="38"/>
  <c r="R27" i="38"/>
  <c r="R25" i="38"/>
  <c r="R24" i="38"/>
  <c r="R22" i="38"/>
  <c r="R21" i="38"/>
  <c r="R20" i="38"/>
  <c r="R18" i="38"/>
  <c r="R16" i="38"/>
  <c r="P18" i="38"/>
  <c r="R15" i="38"/>
  <c r="Z22" i="38"/>
  <c r="Z24" i="38"/>
  <c r="L13" i="40"/>
  <c r="N21" i="40"/>
  <c r="L25" i="40"/>
  <c r="L29" i="40"/>
  <c r="L33" i="40"/>
  <c r="L34" i="40"/>
  <c r="N16" i="41"/>
  <c r="N20" i="41"/>
  <c r="L22" i="41"/>
  <c r="L24" i="41"/>
  <c r="L29" i="44"/>
  <c r="L24" i="46"/>
  <c r="L16" i="37"/>
  <c r="L20" i="37"/>
  <c r="Z12" i="38"/>
  <c r="V36" i="38"/>
  <c r="V34" i="38"/>
  <c r="V33" i="38"/>
  <c r="V31" i="38"/>
  <c r="V29" i="38"/>
  <c r="V27" i="38"/>
  <c r="V25" i="38"/>
  <c r="V24" i="38"/>
  <c r="V22" i="38"/>
  <c r="V21" i="38"/>
  <c r="V20" i="38"/>
  <c r="V18" i="38"/>
  <c r="V16" i="38"/>
  <c r="T18" i="38"/>
  <c r="V15" i="38"/>
  <c r="L15" i="38"/>
  <c r="Z25" i="38"/>
  <c r="Z29" i="38"/>
  <c r="Z33" i="38"/>
  <c r="Z34" i="38"/>
  <c r="N13" i="40"/>
  <c r="N22" i="40"/>
  <c r="N24" i="40"/>
  <c r="L13" i="41"/>
  <c r="N21" i="41"/>
  <c r="L25" i="41"/>
  <c r="L29" i="41"/>
  <c r="L33" i="41"/>
  <c r="L34" i="41"/>
  <c r="N15" i="37"/>
  <c r="L21" i="37"/>
  <c r="L16" i="38"/>
  <c r="L20" i="38"/>
  <c r="X15" i="40"/>
  <c r="N25" i="40"/>
  <c r="N29" i="40"/>
  <c r="N33" i="40"/>
  <c r="N34" i="40"/>
  <c r="N13" i="41"/>
  <c r="N22" i="41"/>
  <c r="N24" i="41"/>
  <c r="L13" i="44"/>
  <c r="L33" i="44"/>
  <c r="L21" i="47"/>
  <c r="N16" i="37"/>
  <c r="N20" i="37"/>
  <c r="L22" i="37"/>
  <c r="L24" i="37"/>
  <c r="N15" i="38"/>
  <c r="L21" i="38"/>
  <c r="L12" i="40"/>
  <c r="F36" i="40"/>
  <c r="F34" i="40"/>
  <c r="F33" i="40"/>
  <c r="F31" i="40"/>
  <c r="F29" i="40"/>
  <c r="F27" i="40"/>
  <c r="F25" i="40"/>
  <c r="F24" i="40"/>
  <c r="F22" i="40"/>
  <c r="F21" i="40"/>
  <c r="F20" i="40"/>
  <c r="F18" i="40"/>
  <c r="F16" i="40"/>
  <c r="D18" i="40"/>
  <c r="F15" i="40"/>
  <c r="X16" i="40"/>
  <c r="X20" i="40"/>
  <c r="X15" i="41"/>
  <c r="N25" i="41"/>
  <c r="N29" i="41"/>
  <c r="N33" i="41"/>
  <c r="N34" i="41"/>
  <c r="L34" i="44"/>
  <c r="R21" i="49"/>
  <c r="R20" i="49"/>
  <c r="R18" i="49"/>
  <c r="R16" i="49"/>
  <c r="P18" i="49"/>
  <c r="R15" i="49"/>
  <c r="X12" i="49"/>
  <c r="R24" i="49"/>
  <c r="R22" i="49"/>
  <c r="R31" i="49"/>
  <c r="R29" i="49"/>
  <c r="R27" i="49"/>
  <c r="R25" i="49"/>
  <c r="R36" i="49"/>
  <c r="R33" i="49"/>
  <c r="R34" i="49"/>
  <c r="L13" i="37"/>
  <c r="N21" i="37"/>
  <c r="L25" i="37"/>
  <c r="L29" i="37"/>
  <c r="L33" i="37"/>
  <c r="L34" i="37"/>
  <c r="N16" i="38"/>
  <c r="N20" i="38"/>
  <c r="L22" i="38"/>
  <c r="L24" i="38"/>
  <c r="N12" i="40"/>
  <c r="J36" i="40"/>
  <c r="J34" i="40"/>
  <c r="J33" i="40"/>
  <c r="J31" i="40"/>
  <c r="J29" i="40"/>
  <c r="J27" i="40"/>
  <c r="J25" i="40"/>
  <c r="J24" i="40"/>
  <c r="J22" i="40"/>
  <c r="J21" i="40"/>
  <c r="J20" i="40"/>
  <c r="J18" i="40"/>
  <c r="J16" i="40"/>
  <c r="H18" i="40"/>
  <c r="J15" i="40"/>
  <c r="X13" i="40"/>
  <c r="Z15" i="40"/>
  <c r="X21" i="40"/>
  <c r="L12" i="41"/>
  <c r="F36" i="41"/>
  <c r="F34" i="41"/>
  <c r="F33" i="41"/>
  <c r="F31" i="41"/>
  <c r="F29" i="41"/>
  <c r="F27" i="41"/>
  <c r="F25" i="41"/>
  <c r="F24" i="41"/>
  <c r="F22" i="41"/>
  <c r="F21" i="41"/>
  <c r="F20" i="41"/>
  <c r="F18" i="41"/>
  <c r="F16" i="41"/>
  <c r="D18" i="41"/>
  <c r="F15" i="41"/>
  <c r="X16" i="41"/>
  <c r="X20" i="41"/>
  <c r="N22" i="43"/>
  <c r="N13" i="37"/>
  <c r="N22" i="37"/>
  <c r="N24" i="37"/>
  <c r="L13" i="38"/>
  <c r="N21" i="38"/>
  <c r="L25" i="38"/>
  <c r="L29" i="38"/>
  <c r="L33" i="38"/>
  <c r="L34" i="38"/>
  <c r="Z13" i="40"/>
  <c r="Z16" i="40"/>
  <c r="Z20" i="40"/>
  <c r="X22" i="40"/>
  <c r="X24" i="40"/>
  <c r="J36" i="41"/>
  <c r="J34" i="41"/>
  <c r="J33" i="41"/>
  <c r="J31" i="41"/>
  <c r="J29" i="41"/>
  <c r="J27" i="41"/>
  <c r="J25" i="41"/>
  <c r="J24" i="41"/>
  <c r="J22" i="41"/>
  <c r="J21" i="41"/>
  <c r="J20" i="41"/>
  <c r="J18" i="41"/>
  <c r="J16" i="41"/>
  <c r="H18" i="41"/>
  <c r="J15" i="41"/>
  <c r="N12" i="41"/>
  <c r="X13" i="41"/>
  <c r="Z15" i="41"/>
  <c r="X21" i="41"/>
  <c r="N24" i="43"/>
  <c r="X15" i="37"/>
  <c r="N25" i="37"/>
  <c r="N29" i="37"/>
  <c r="N33" i="37"/>
  <c r="N34" i="37"/>
  <c r="N13" i="38"/>
  <c r="N22" i="38"/>
  <c r="N24" i="38"/>
  <c r="Z21" i="40"/>
  <c r="X25" i="40"/>
  <c r="X29" i="40"/>
  <c r="X33" i="40"/>
  <c r="X34" i="40"/>
  <c r="Z13" i="41"/>
  <c r="Z16" i="41"/>
  <c r="Z20" i="41"/>
  <c r="X22" i="41"/>
  <c r="X24" i="41"/>
  <c r="X15" i="52"/>
  <c r="L13" i="43"/>
  <c r="N21" i="43"/>
  <c r="L25" i="43"/>
  <c r="L29" i="43"/>
  <c r="L33" i="43"/>
  <c r="L34" i="43"/>
  <c r="N16" i="44"/>
  <c r="N20" i="44"/>
  <c r="L22" i="44"/>
  <c r="L24" i="44"/>
  <c r="N15" i="46"/>
  <c r="L21" i="46"/>
  <c r="L16" i="47"/>
  <c r="L20" i="47"/>
  <c r="N21" i="49"/>
  <c r="X25" i="50"/>
  <c r="N33" i="52"/>
  <c r="X15" i="43"/>
  <c r="N25" i="43"/>
  <c r="N29" i="43"/>
  <c r="N33" i="43"/>
  <c r="N34" i="43"/>
  <c r="N13" i="44"/>
  <c r="N22" i="44"/>
  <c r="N24" i="44"/>
  <c r="L13" i="46"/>
  <c r="N21" i="46"/>
  <c r="L25" i="46"/>
  <c r="L29" i="46"/>
  <c r="L33" i="46"/>
  <c r="L34" i="46"/>
  <c r="N16" i="47"/>
  <c r="N20" i="47"/>
  <c r="L22" i="47"/>
  <c r="L24" i="47"/>
  <c r="L25" i="47"/>
  <c r="L13" i="49"/>
  <c r="X29" i="50"/>
  <c r="F21" i="43"/>
  <c r="F20" i="43"/>
  <c r="F18" i="43"/>
  <c r="F16" i="43"/>
  <c r="D18" i="43"/>
  <c r="F15" i="43"/>
  <c r="L12" i="43"/>
  <c r="F24" i="43"/>
  <c r="F22" i="43"/>
  <c r="F25" i="43"/>
  <c r="F36" i="43"/>
  <c r="F34" i="43"/>
  <c r="F33" i="43"/>
  <c r="F31" i="43"/>
  <c r="F27" i="43"/>
  <c r="F29" i="43"/>
  <c r="X16" i="43"/>
  <c r="X20" i="43"/>
  <c r="X15" i="44"/>
  <c r="N25" i="44"/>
  <c r="N29" i="44"/>
  <c r="N33" i="44"/>
  <c r="N34" i="44"/>
  <c r="N13" i="46"/>
  <c r="N22" i="46"/>
  <c r="N24" i="46"/>
  <c r="L13" i="47"/>
  <c r="N21" i="47"/>
  <c r="N25" i="47"/>
  <c r="X29" i="47"/>
  <c r="Z22" i="49"/>
  <c r="H18" i="43"/>
  <c r="J15" i="43"/>
  <c r="N12" i="43"/>
  <c r="J36" i="43"/>
  <c r="J34" i="43"/>
  <c r="J33" i="43"/>
  <c r="J31" i="43"/>
  <c r="J29" i="43"/>
  <c r="J27" i="43"/>
  <c r="J25" i="43"/>
  <c r="J24" i="43"/>
  <c r="J22" i="43"/>
  <c r="J20" i="43"/>
  <c r="J18" i="43"/>
  <c r="J16" i="43"/>
  <c r="J21" i="43"/>
  <c r="X13" i="43"/>
  <c r="Z15" i="43"/>
  <c r="X21" i="43"/>
  <c r="F20" i="44"/>
  <c r="F18" i="44"/>
  <c r="F16" i="44"/>
  <c r="D18" i="44"/>
  <c r="F15" i="44"/>
  <c r="L12" i="44"/>
  <c r="F36" i="44"/>
  <c r="F34" i="44"/>
  <c r="F33" i="44"/>
  <c r="F31" i="44"/>
  <c r="F29" i="44"/>
  <c r="F27" i="44"/>
  <c r="F25" i="44"/>
  <c r="F21" i="44"/>
  <c r="F24" i="44"/>
  <c r="F22" i="44"/>
  <c r="X16" i="44"/>
  <c r="X20" i="44"/>
  <c r="X15" i="46"/>
  <c r="N25" i="46"/>
  <c r="N29" i="46"/>
  <c r="N33" i="46"/>
  <c r="N34" i="46"/>
  <c r="N13" i="47"/>
  <c r="N22" i="47"/>
  <c r="L34" i="47"/>
  <c r="X33" i="50"/>
  <c r="N13" i="53"/>
  <c r="Z13" i="43"/>
  <c r="Z16" i="43"/>
  <c r="Z20" i="43"/>
  <c r="X22" i="43"/>
  <c r="X24" i="43"/>
  <c r="N12" i="44"/>
  <c r="J36" i="44"/>
  <c r="J34" i="44"/>
  <c r="J33" i="44"/>
  <c r="J31" i="44"/>
  <c r="J29" i="44"/>
  <c r="J27" i="44"/>
  <c r="J25" i="44"/>
  <c r="J24" i="44"/>
  <c r="J22" i="44"/>
  <c r="J21" i="44"/>
  <c r="H18" i="44"/>
  <c r="J15" i="44"/>
  <c r="J20" i="44"/>
  <c r="J18" i="44"/>
  <c r="J16" i="44"/>
  <c r="X13" i="44"/>
  <c r="Z15" i="44"/>
  <c r="X21" i="44"/>
  <c r="D18" i="46"/>
  <c r="F15" i="46"/>
  <c r="L12" i="46"/>
  <c r="F36" i="46"/>
  <c r="F34" i="46"/>
  <c r="F33" i="46"/>
  <c r="F31" i="46"/>
  <c r="F29" i="46"/>
  <c r="F27" i="46"/>
  <c r="F25" i="46"/>
  <c r="F24" i="46"/>
  <c r="F22" i="46"/>
  <c r="F20" i="46"/>
  <c r="F18" i="46"/>
  <c r="F16" i="46"/>
  <c r="F21" i="46"/>
  <c r="X16" i="46"/>
  <c r="X20" i="46"/>
  <c r="X15" i="47"/>
  <c r="Z29" i="47"/>
  <c r="N34" i="47"/>
  <c r="Z24" i="49"/>
  <c r="X34" i="50"/>
  <c r="Z21" i="43"/>
  <c r="X25" i="43"/>
  <c r="X29" i="43"/>
  <c r="X33" i="43"/>
  <c r="X34" i="43"/>
  <c r="Z13" i="44"/>
  <c r="Z16" i="44"/>
  <c r="Z20" i="44"/>
  <c r="X22" i="44"/>
  <c r="X24" i="44"/>
  <c r="N12" i="46"/>
  <c r="J36" i="46"/>
  <c r="J34" i="46"/>
  <c r="J33" i="46"/>
  <c r="J31" i="46"/>
  <c r="J29" i="46"/>
  <c r="J27" i="46"/>
  <c r="J25" i="46"/>
  <c r="J24" i="46"/>
  <c r="J22" i="46"/>
  <c r="J21" i="46"/>
  <c r="J20" i="46"/>
  <c r="J18" i="46"/>
  <c r="J16" i="46"/>
  <c r="J15" i="46"/>
  <c r="H18" i="46"/>
  <c r="X13" i="46"/>
  <c r="Z15" i="46"/>
  <c r="X21" i="46"/>
  <c r="F36" i="47"/>
  <c r="F34" i="47"/>
  <c r="F33" i="47"/>
  <c r="F31" i="47"/>
  <c r="F29" i="47"/>
  <c r="F27" i="47"/>
  <c r="F25" i="47"/>
  <c r="L12" i="47"/>
  <c r="F24" i="47"/>
  <c r="F22" i="47"/>
  <c r="F21" i="47"/>
  <c r="D18" i="47"/>
  <c r="F15" i="47"/>
  <c r="F20" i="47"/>
  <c r="F18" i="47"/>
  <c r="F16" i="47"/>
  <c r="X16" i="47"/>
  <c r="X20" i="47"/>
  <c r="L33" i="47"/>
  <c r="L25" i="49"/>
  <c r="X12" i="43"/>
  <c r="R36" i="43"/>
  <c r="R34" i="43"/>
  <c r="R33" i="43"/>
  <c r="R31" i="43"/>
  <c r="R29" i="43"/>
  <c r="R27" i="43"/>
  <c r="R25" i="43"/>
  <c r="R24" i="43"/>
  <c r="R22" i="43"/>
  <c r="R21" i="43"/>
  <c r="R20" i="43"/>
  <c r="R18" i="43"/>
  <c r="R16" i="43"/>
  <c r="P18" i="43"/>
  <c r="R15" i="43"/>
  <c r="Z22" i="43"/>
  <c r="Z24" i="43"/>
  <c r="Z21" i="44"/>
  <c r="X25" i="44"/>
  <c r="X29" i="44"/>
  <c r="X33" i="44"/>
  <c r="X34" i="44"/>
  <c r="Z13" i="46"/>
  <c r="Z16" i="46"/>
  <c r="Z20" i="46"/>
  <c r="X22" i="46"/>
  <c r="X24" i="46"/>
  <c r="J31" i="47"/>
  <c r="N12" i="47"/>
  <c r="J33" i="47"/>
  <c r="J34" i="47"/>
  <c r="J22" i="47"/>
  <c r="J36" i="47"/>
  <c r="J25" i="47"/>
  <c r="J24" i="47"/>
  <c r="J21" i="47"/>
  <c r="J20" i="47"/>
  <c r="J18" i="47"/>
  <c r="J16" i="47"/>
  <c r="J27" i="47"/>
  <c r="H18" i="47"/>
  <c r="J15" i="47"/>
  <c r="J29" i="47"/>
  <c r="X13" i="47"/>
  <c r="Z15" i="47"/>
  <c r="X21" i="47"/>
  <c r="X24" i="47"/>
  <c r="X25" i="47"/>
  <c r="N33" i="47"/>
  <c r="Z12" i="43"/>
  <c r="V36" i="43"/>
  <c r="V34" i="43"/>
  <c r="V33" i="43"/>
  <c r="V31" i="43"/>
  <c r="V29" i="43"/>
  <c r="V27" i="43"/>
  <c r="V25" i="43"/>
  <c r="V24" i="43"/>
  <c r="V22" i="43"/>
  <c r="V21" i="43"/>
  <c r="V20" i="43"/>
  <c r="V18" i="43"/>
  <c r="V16" i="43"/>
  <c r="T18" i="43"/>
  <c r="V15" i="43"/>
  <c r="L15" i="43"/>
  <c r="Z25" i="43"/>
  <c r="Z29" i="43"/>
  <c r="Z33" i="43"/>
  <c r="Z34" i="43"/>
  <c r="X12" i="44"/>
  <c r="R36" i="44"/>
  <c r="R34" i="44"/>
  <c r="R33" i="44"/>
  <c r="R31" i="44"/>
  <c r="R29" i="44"/>
  <c r="R27" i="44"/>
  <c r="R25" i="44"/>
  <c r="R24" i="44"/>
  <c r="R22" i="44"/>
  <c r="R21" i="44"/>
  <c r="R20" i="44"/>
  <c r="R18" i="44"/>
  <c r="R16" i="44"/>
  <c r="P18" i="44"/>
  <c r="R15" i="44"/>
  <c r="Z22" i="44"/>
  <c r="Z24" i="44"/>
  <c r="Z21" i="46"/>
  <c r="X25" i="46"/>
  <c r="X29" i="46"/>
  <c r="X33" i="46"/>
  <c r="X34" i="46"/>
  <c r="Z13" i="47"/>
  <c r="Z16" i="47"/>
  <c r="Z20" i="47"/>
  <c r="X22" i="47"/>
  <c r="N25" i="52"/>
  <c r="L16" i="43"/>
  <c r="L20" i="43"/>
  <c r="Z12" i="44"/>
  <c r="V36" i="44"/>
  <c r="V34" i="44"/>
  <c r="V33" i="44"/>
  <c r="V31" i="44"/>
  <c r="V29" i="44"/>
  <c r="V27" i="44"/>
  <c r="V25" i="44"/>
  <c r="V24" i="44"/>
  <c r="V22" i="44"/>
  <c r="V21" i="44"/>
  <c r="V20" i="44"/>
  <c r="V18" i="44"/>
  <c r="V16" i="44"/>
  <c r="T18" i="44"/>
  <c r="V15" i="44"/>
  <c r="L15" i="44"/>
  <c r="Z25" i="44"/>
  <c r="Z29" i="44"/>
  <c r="Z33" i="44"/>
  <c r="Z34" i="44"/>
  <c r="X12" i="46"/>
  <c r="R36" i="46"/>
  <c r="R34" i="46"/>
  <c r="R33" i="46"/>
  <c r="R31" i="46"/>
  <c r="R29" i="46"/>
  <c r="R27" i="46"/>
  <c r="R25" i="46"/>
  <c r="R24" i="46"/>
  <c r="R22" i="46"/>
  <c r="R21" i="46"/>
  <c r="R20" i="46"/>
  <c r="R18" i="46"/>
  <c r="R16" i="46"/>
  <c r="P18" i="46"/>
  <c r="R15" i="46"/>
  <c r="Z22" i="46"/>
  <c r="Z24" i="46"/>
  <c r="Z21" i="47"/>
  <c r="Z24" i="47"/>
  <c r="Z25" i="47"/>
  <c r="X34" i="47"/>
  <c r="Z21" i="50"/>
  <c r="N15" i="43"/>
  <c r="L21" i="43"/>
  <c r="L16" i="44"/>
  <c r="L20" i="44"/>
  <c r="V36" i="46"/>
  <c r="V34" i="46"/>
  <c r="V33" i="46"/>
  <c r="V31" i="46"/>
  <c r="V29" i="46"/>
  <c r="V27" i="46"/>
  <c r="V25" i="46"/>
  <c r="V24" i="46"/>
  <c r="V22" i="46"/>
  <c r="V21" i="46"/>
  <c r="V20" i="46"/>
  <c r="V18" i="46"/>
  <c r="V16" i="46"/>
  <c r="T18" i="46"/>
  <c r="V15" i="46"/>
  <c r="Z12" i="46"/>
  <c r="L15" i="46"/>
  <c r="Z25" i="46"/>
  <c r="Z29" i="46"/>
  <c r="Z33" i="46"/>
  <c r="Z34" i="46"/>
  <c r="R36" i="47"/>
  <c r="R34" i="47"/>
  <c r="R22" i="47"/>
  <c r="R25" i="47"/>
  <c r="R24" i="47"/>
  <c r="R21" i="47"/>
  <c r="R20" i="47"/>
  <c r="R18" i="47"/>
  <c r="R16" i="47"/>
  <c r="R27" i="47"/>
  <c r="P18" i="47"/>
  <c r="R15" i="47"/>
  <c r="R29" i="47"/>
  <c r="R31" i="47"/>
  <c r="R33" i="47"/>
  <c r="X12" i="47"/>
  <c r="Z22" i="47"/>
  <c r="L29" i="47"/>
  <c r="N29" i="52"/>
  <c r="N22" i="53"/>
  <c r="N16" i="43"/>
  <c r="N20" i="43"/>
  <c r="L22" i="43"/>
  <c r="L24" i="43"/>
  <c r="N15" i="44"/>
  <c r="L21" i="44"/>
  <c r="L16" i="46"/>
  <c r="L20" i="46"/>
  <c r="V36" i="47"/>
  <c r="V34" i="47"/>
  <c r="V33" i="47"/>
  <c r="V31" i="47"/>
  <c r="V29" i="47"/>
  <c r="V27" i="47"/>
  <c r="V25" i="47"/>
  <c r="V22" i="47"/>
  <c r="V24" i="47"/>
  <c r="V21" i="47"/>
  <c r="V20" i="47"/>
  <c r="V18" i="47"/>
  <c r="V16" i="47"/>
  <c r="T18" i="47"/>
  <c r="V15" i="47"/>
  <c r="Z12" i="47"/>
  <c r="L15" i="47"/>
  <c r="N29" i="47"/>
  <c r="X33" i="47"/>
  <c r="Z34" i="47"/>
  <c r="N24" i="53"/>
  <c r="Z21" i="49"/>
  <c r="X25" i="49"/>
  <c r="X29" i="49"/>
  <c r="X33" i="49"/>
  <c r="X34" i="49"/>
  <c r="Z13" i="50"/>
  <c r="Z16" i="50"/>
  <c r="Z20" i="50"/>
  <c r="X22" i="50"/>
  <c r="X24" i="50"/>
  <c r="N13" i="52"/>
  <c r="N22" i="52"/>
  <c r="N24" i="52"/>
  <c r="L13" i="53"/>
  <c r="N21" i="53"/>
  <c r="L25" i="53"/>
  <c r="L29" i="53"/>
  <c r="L33" i="53"/>
  <c r="L34" i="53"/>
  <c r="T18" i="49"/>
  <c r="V15" i="49"/>
  <c r="Z12" i="49"/>
  <c r="V36" i="49"/>
  <c r="V34" i="49"/>
  <c r="V33" i="49"/>
  <c r="V31" i="49"/>
  <c r="V29" i="49"/>
  <c r="V27" i="49"/>
  <c r="V25" i="49"/>
  <c r="V24" i="49"/>
  <c r="V22" i="49"/>
  <c r="V20" i="49"/>
  <c r="V18" i="49"/>
  <c r="V16" i="49"/>
  <c r="V21" i="49"/>
  <c r="L15" i="49"/>
  <c r="Z25" i="49"/>
  <c r="Z29" i="49"/>
  <c r="Z33" i="49"/>
  <c r="Z34" i="49"/>
  <c r="R20" i="50"/>
  <c r="R18" i="50"/>
  <c r="R16" i="50"/>
  <c r="P18" i="50"/>
  <c r="R15" i="50"/>
  <c r="X12" i="50"/>
  <c r="R36" i="50"/>
  <c r="R34" i="50"/>
  <c r="R33" i="50"/>
  <c r="R31" i="50"/>
  <c r="R29" i="50"/>
  <c r="R27" i="50"/>
  <c r="R25" i="50"/>
  <c r="R21" i="50"/>
  <c r="R24" i="50"/>
  <c r="R22" i="50"/>
  <c r="Z22" i="50"/>
  <c r="Z24" i="50"/>
  <c r="F24" i="52"/>
  <c r="F22" i="52"/>
  <c r="F21" i="52"/>
  <c r="F20" i="52"/>
  <c r="F18" i="52"/>
  <c r="F16" i="52"/>
  <c r="D18" i="52"/>
  <c r="F15" i="52"/>
  <c r="L12" i="52"/>
  <c r="F36" i="52"/>
  <c r="F34" i="52"/>
  <c r="F33" i="52"/>
  <c r="F31" i="52"/>
  <c r="F29" i="52"/>
  <c r="F27" i="52"/>
  <c r="F25" i="52"/>
  <c r="X16" i="52"/>
  <c r="X20" i="52"/>
  <c r="X15" i="53"/>
  <c r="N25" i="53"/>
  <c r="N29" i="53"/>
  <c r="N33" i="53"/>
  <c r="N34" i="53"/>
  <c r="L16" i="49"/>
  <c r="L20" i="49"/>
  <c r="Z12" i="50"/>
  <c r="V36" i="50"/>
  <c r="V34" i="50"/>
  <c r="V33" i="50"/>
  <c r="V31" i="50"/>
  <c r="V29" i="50"/>
  <c r="V27" i="50"/>
  <c r="V25" i="50"/>
  <c r="V24" i="50"/>
  <c r="V22" i="50"/>
  <c r="V21" i="50"/>
  <c r="T18" i="50"/>
  <c r="V15" i="50"/>
  <c r="V20" i="50"/>
  <c r="V18" i="50"/>
  <c r="V16" i="50"/>
  <c r="L15" i="50"/>
  <c r="Z25" i="50"/>
  <c r="Z29" i="50"/>
  <c r="Z33" i="50"/>
  <c r="Z34" i="50"/>
  <c r="J20" i="52"/>
  <c r="J18" i="52"/>
  <c r="J16" i="52"/>
  <c r="H18" i="52"/>
  <c r="J15" i="52"/>
  <c r="N12" i="52"/>
  <c r="J36" i="52"/>
  <c r="J34" i="52"/>
  <c r="J33" i="52"/>
  <c r="J31" i="52"/>
  <c r="J29" i="52"/>
  <c r="J27" i="52"/>
  <c r="J25" i="52"/>
  <c r="J21" i="52"/>
  <c r="J24" i="52"/>
  <c r="J22" i="52"/>
  <c r="X13" i="52"/>
  <c r="Z15" i="52"/>
  <c r="X21" i="52"/>
  <c r="F21" i="53"/>
  <c r="F20" i="53"/>
  <c r="F18" i="53"/>
  <c r="F16" i="53"/>
  <c r="D18" i="53"/>
  <c r="F15" i="53"/>
  <c r="L12" i="53"/>
  <c r="F24" i="53"/>
  <c r="F22" i="53"/>
  <c r="F36" i="53"/>
  <c r="F34" i="53"/>
  <c r="F33" i="53"/>
  <c r="F31" i="53"/>
  <c r="F29" i="53"/>
  <c r="F25" i="53"/>
  <c r="F27" i="53"/>
  <c r="X16" i="53"/>
  <c r="X20" i="53"/>
  <c r="N24" i="47"/>
  <c r="N15" i="49"/>
  <c r="L21" i="49"/>
  <c r="L16" i="50"/>
  <c r="L20" i="50"/>
  <c r="Z13" i="52"/>
  <c r="Z16" i="52"/>
  <c r="Z20" i="52"/>
  <c r="X22" i="52"/>
  <c r="X24" i="52"/>
  <c r="H18" i="53"/>
  <c r="J15" i="53"/>
  <c r="N12" i="53"/>
  <c r="J36" i="53"/>
  <c r="J34" i="53"/>
  <c r="J33" i="53"/>
  <c r="J31" i="53"/>
  <c r="J29" i="53"/>
  <c r="J27" i="53"/>
  <c r="J25" i="53"/>
  <c r="J24" i="53"/>
  <c r="J22" i="53"/>
  <c r="J20" i="53"/>
  <c r="J18" i="53"/>
  <c r="J16" i="53"/>
  <c r="J21" i="53"/>
  <c r="X13" i="53"/>
  <c r="Z15" i="53"/>
  <c r="X21" i="53"/>
  <c r="N16" i="49"/>
  <c r="N20" i="49"/>
  <c r="L22" i="49"/>
  <c r="L24" i="49"/>
  <c r="N15" i="50"/>
  <c r="L21" i="50"/>
  <c r="Z21" i="52"/>
  <c r="X25" i="52"/>
  <c r="X29" i="52"/>
  <c r="X33" i="52"/>
  <c r="X34" i="52"/>
  <c r="Z13" i="53"/>
  <c r="Z16" i="53"/>
  <c r="Z20" i="53"/>
  <c r="X22" i="53"/>
  <c r="X24" i="53"/>
  <c r="L29" i="49"/>
  <c r="L33" i="49"/>
  <c r="L34" i="49"/>
  <c r="N16" i="50"/>
  <c r="N20" i="50"/>
  <c r="L22" i="50"/>
  <c r="L24" i="50"/>
  <c r="X12" i="52"/>
  <c r="R36" i="52"/>
  <c r="R34" i="52"/>
  <c r="R33" i="52"/>
  <c r="R31" i="52"/>
  <c r="R29" i="52"/>
  <c r="R27" i="52"/>
  <c r="R25" i="52"/>
  <c r="R24" i="52"/>
  <c r="R22" i="52"/>
  <c r="R21" i="52"/>
  <c r="R20" i="52"/>
  <c r="R18" i="52"/>
  <c r="R16" i="52"/>
  <c r="P18" i="52"/>
  <c r="R15" i="52"/>
  <c r="Z22" i="52"/>
  <c r="Z24" i="52"/>
  <c r="Z21" i="53"/>
  <c r="X25" i="53"/>
  <c r="X29" i="53"/>
  <c r="X33" i="53"/>
  <c r="X34" i="53"/>
  <c r="N13" i="49"/>
  <c r="N22" i="49"/>
  <c r="N24" i="49"/>
  <c r="L13" i="50"/>
  <c r="N21" i="50"/>
  <c r="L25" i="50"/>
  <c r="L29" i="50"/>
  <c r="L33" i="50"/>
  <c r="L34" i="50"/>
  <c r="Z12" i="52"/>
  <c r="V36" i="52"/>
  <c r="V34" i="52"/>
  <c r="V33" i="52"/>
  <c r="V31" i="52"/>
  <c r="V29" i="52"/>
  <c r="V27" i="52"/>
  <c r="V25" i="52"/>
  <c r="V24" i="52"/>
  <c r="V22" i="52"/>
  <c r="V21" i="52"/>
  <c r="V20" i="52"/>
  <c r="V18" i="52"/>
  <c r="V16" i="52"/>
  <c r="T18" i="52"/>
  <c r="V15" i="52"/>
  <c r="L15" i="52"/>
  <c r="Z25" i="52"/>
  <c r="Z29" i="52"/>
  <c r="Z33" i="52"/>
  <c r="Z34" i="52"/>
  <c r="X12" i="53"/>
  <c r="R36" i="53"/>
  <c r="R34" i="53"/>
  <c r="R33" i="53"/>
  <c r="R31" i="53"/>
  <c r="R29" i="53"/>
  <c r="R27" i="53"/>
  <c r="R25" i="53"/>
  <c r="R24" i="53"/>
  <c r="R22" i="53"/>
  <c r="R21" i="53"/>
  <c r="R20" i="53"/>
  <c r="R18" i="53"/>
  <c r="R16" i="53"/>
  <c r="P18" i="53"/>
  <c r="R15" i="53"/>
  <c r="Z22" i="53"/>
  <c r="Z24" i="53"/>
  <c r="X15" i="49"/>
  <c r="N25" i="49"/>
  <c r="N29" i="49"/>
  <c r="N33" i="49"/>
  <c r="N34" i="49"/>
  <c r="N13" i="50"/>
  <c r="N22" i="50"/>
  <c r="N24" i="50"/>
  <c r="L16" i="52"/>
  <c r="L20" i="52"/>
  <c r="Z12" i="53"/>
  <c r="V36" i="53"/>
  <c r="V34" i="53"/>
  <c r="V33" i="53"/>
  <c r="V31" i="53"/>
  <c r="V29" i="53"/>
  <c r="V27" i="53"/>
  <c r="V25" i="53"/>
  <c r="V24" i="53"/>
  <c r="V22" i="53"/>
  <c r="V21" i="53"/>
  <c r="V20" i="53"/>
  <c r="V18" i="53"/>
  <c r="V16" i="53"/>
  <c r="T18" i="53"/>
  <c r="V15" i="53"/>
  <c r="L15" i="53"/>
  <c r="Z25" i="53"/>
  <c r="Z29" i="53"/>
  <c r="Z33" i="53"/>
  <c r="Z34" i="53"/>
  <c r="L12" i="49"/>
  <c r="F36" i="49"/>
  <c r="F34" i="49"/>
  <c r="F33" i="49"/>
  <c r="F31" i="49"/>
  <c r="F29" i="49"/>
  <c r="F27" i="49"/>
  <c r="F25" i="49"/>
  <c r="F21" i="49"/>
  <c r="F20" i="49"/>
  <c r="F18" i="49"/>
  <c r="F16" i="49"/>
  <c r="D18" i="49"/>
  <c r="F15" i="49"/>
  <c r="F24" i="49"/>
  <c r="F22" i="49"/>
  <c r="X16" i="49"/>
  <c r="X20" i="49"/>
  <c r="X15" i="50"/>
  <c r="N25" i="50"/>
  <c r="N29" i="50"/>
  <c r="N33" i="50"/>
  <c r="N34" i="50"/>
  <c r="N15" i="52"/>
  <c r="L21" i="52"/>
  <c r="L16" i="53"/>
  <c r="L20" i="53"/>
  <c r="J36" i="49"/>
  <c r="J34" i="49"/>
  <c r="J33" i="49"/>
  <c r="J31" i="49"/>
  <c r="J29" i="49"/>
  <c r="J27" i="49"/>
  <c r="J25" i="49"/>
  <c r="J24" i="49"/>
  <c r="J22" i="49"/>
  <c r="J21" i="49"/>
  <c r="H18" i="49"/>
  <c r="J15" i="49"/>
  <c r="N12" i="49"/>
  <c r="J20" i="49"/>
  <c r="J18" i="49"/>
  <c r="J16" i="49"/>
  <c r="X13" i="49"/>
  <c r="Z15" i="49"/>
  <c r="X21" i="49"/>
  <c r="F36" i="50"/>
  <c r="F34" i="50"/>
  <c r="F33" i="50"/>
  <c r="F31" i="50"/>
  <c r="F29" i="50"/>
  <c r="F27" i="50"/>
  <c r="F25" i="50"/>
  <c r="F24" i="50"/>
  <c r="F22" i="50"/>
  <c r="F21" i="50"/>
  <c r="F20" i="50"/>
  <c r="F18" i="50"/>
  <c r="F16" i="50"/>
  <c r="D18" i="50"/>
  <c r="F15" i="50"/>
  <c r="L12" i="50"/>
  <c r="X16" i="50"/>
  <c r="X20" i="50"/>
  <c r="N16" i="52"/>
  <c r="N20" i="52"/>
  <c r="L22" i="52"/>
  <c r="L24" i="52"/>
  <c r="N15" i="53"/>
  <c r="L21" i="53"/>
  <c r="Z13" i="49"/>
  <c r="Z16" i="49"/>
  <c r="Z20" i="49"/>
  <c r="X22" i="49"/>
  <c r="X24" i="49"/>
  <c r="J36" i="50"/>
  <c r="J34" i="50"/>
  <c r="J33" i="50"/>
  <c r="J31" i="50"/>
  <c r="J29" i="50"/>
  <c r="J27" i="50"/>
  <c r="J25" i="50"/>
  <c r="J24" i="50"/>
  <c r="J22" i="50"/>
  <c r="J21" i="50"/>
  <c r="J20" i="50"/>
  <c r="J18" i="50"/>
  <c r="J16" i="50"/>
  <c r="H18" i="50"/>
  <c r="J15" i="50"/>
  <c r="N12" i="50"/>
  <c r="X13" i="50"/>
  <c r="Z15" i="50"/>
  <c r="X21" i="50"/>
  <c r="L13" i="52"/>
  <c r="N21" i="52"/>
  <c r="L25" i="52"/>
  <c r="L29" i="52"/>
  <c r="L33" i="52"/>
  <c r="L34" i="52"/>
  <c r="N16" i="53"/>
  <c r="N20" i="53"/>
  <c r="L22" i="53"/>
  <c r="L24" i="53"/>
  <c r="X20" i="112"/>
  <c r="R21" i="110"/>
  <c r="R20" i="110"/>
  <c r="R18" i="110"/>
  <c r="R16" i="110"/>
  <c r="P18" i="110"/>
  <c r="R15" i="110"/>
  <c r="X12" i="110"/>
  <c r="R24" i="110"/>
  <c r="R22" i="110"/>
  <c r="R29" i="110"/>
  <c r="R27" i="110"/>
  <c r="R25" i="110"/>
  <c r="R36" i="110"/>
  <c r="R34" i="110"/>
  <c r="R31" i="110"/>
  <c r="R33" i="110"/>
  <c r="X24" i="111"/>
  <c r="Z13" i="111"/>
  <c r="Z22" i="110"/>
  <c r="Z16" i="111"/>
  <c r="Z24" i="110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Z20" i="111"/>
  <c r="X22" i="111"/>
  <c r="X16" i="112"/>
  <c r="Z21" i="110"/>
  <c r="X25" i="110"/>
  <c r="X29" i="110"/>
  <c r="X33" i="110"/>
  <c r="X34" i="110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13" i="111"/>
  <c r="Z15" i="111"/>
  <c r="X21" i="111"/>
  <c r="X15" i="112"/>
  <c r="N25" i="112"/>
  <c r="N29" i="112"/>
  <c r="N33" i="112"/>
  <c r="N34" i="112"/>
  <c r="T18" i="110"/>
  <c r="V15" i="110"/>
  <c r="Z12" i="110"/>
  <c r="V36" i="110"/>
  <c r="V34" i="110"/>
  <c r="V33" i="110"/>
  <c r="V31" i="110"/>
  <c r="V29" i="110"/>
  <c r="V27" i="110"/>
  <c r="V25" i="110"/>
  <c r="V24" i="110"/>
  <c r="V22" i="110"/>
  <c r="V20" i="110"/>
  <c r="V18" i="110"/>
  <c r="V16" i="110"/>
  <c r="V21" i="110"/>
  <c r="L15" i="110"/>
  <c r="Z25" i="110"/>
  <c r="Z29" i="110"/>
  <c r="Z33" i="110"/>
  <c r="Z34" i="110"/>
  <c r="Z21" i="111"/>
  <c r="X25" i="111"/>
  <c r="X29" i="111"/>
  <c r="X33" i="111"/>
  <c r="X34" i="111"/>
  <c r="J21" i="112"/>
  <c r="J20" i="112"/>
  <c r="J18" i="112"/>
  <c r="J16" i="112"/>
  <c r="H18" i="112"/>
  <c r="J15" i="112"/>
  <c r="N12" i="112"/>
  <c r="J24" i="112"/>
  <c r="J22" i="112"/>
  <c r="J36" i="112"/>
  <c r="J34" i="112"/>
  <c r="J33" i="112"/>
  <c r="J31" i="112"/>
  <c r="J29" i="112"/>
  <c r="J27" i="112"/>
  <c r="J25" i="112"/>
  <c r="X13" i="112"/>
  <c r="Z15" i="112"/>
  <c r="X21" i="112"/>
  <c r="L16" i="110"/>
  <c r="L20" i="110"/>
  <c r="P18" i="111"/>
  <c r="R15" i="111"/>
  <c r="X12" i="111"/>
  <c r="R36" i="111"/>
  <c r="R34" i="111"/>
  <c r="R33" i="111"/>
  <c r="R31" i="111"/>
  <c r="R29" i="111"/>
  <c r="R27" i="111"/>
  <c r="R25" i="111"/>
  <c r="R24" i="111"/>
  <c r="R22" i="111"/>
  <c r="R20" i="111"/>
  <c r="R18" i="111"/>
  <c r="R16" i="111"/>
  <c r="R21" i="111"/>
  <c r="Z22" i="111"/>
  <c r="Z24" i="111"/>
  <c r="Z13" i="112"/>
  <c r="Z16" i="112"/>
  <c r="Z20" i="112"/>
  <c r="X22" i="112"/>
  <c r="X24" i="112"/>
  <c r="N15" i="110"/>
  <c r="L21" i="110"/>
  <c r="Z12" i="111"/>
  <c r="V36" i="111"/>
  <c r="V34" i="111"/>
  <c r="V33" i="111"/>
  <c r="V31" i="111"/>
  <c r="V29" i="111"/>
  <c r="V27" i="111"/>
  <c r="V25" i="111"/>
  <c r="V24" i="111"/>
  <c r="V22" i="111"/>
  <c r="V21" i="111"/>
  <c r="V20" i="111"/>
  <c r="V18" i="111"/>
  <c r="V16" i="111"/>
  <c r="T18" i="111"/>
  <c r="V15" i="111"/>
  <c r="L15" i="111"/>
  <c r="Z25" i="111"/>
  <c r="Z29" i="111"/>
  <c r="Z33" i="111"/>
  <c r="Z34" i="111"/>
  <c r="Z21" i="112"/>
  <c r="X25" i="112"/>
  <c r="X29" i="112"/>
  <c r="X33" i="112"/>
  <c r="X34" i="112"/>
  <c r="N16" i="110"/>
  <c r="N20" i="110"/>
  <c r="L22" i="110"/>
  <c r="L24" i="110"/>
  <c r="L16" i="111"/>
  <c r="L20" i="111"/>
  <c r="X12" i="112"/>
  <c r="R36" i="112"/>
  <c r="R34" i="112"/>
  <c r="R33" i="112"/>
  <c r="R31" i="112"/>
  <c r="R29" i="112"/>
  <c r="R27" i="112"/>
  <c r="R25" i="112"/>
  <c r="R24" i="112"/>
  <c r="R22" i="112"/>
  <c r="R21" i="112"/>
  <c r="R20" i="112"/>
  <c r="R18" i="112"/>
  <c r="R16" i="112"/>
  <c r="R15" i="112"/>
  <c r="P18" i="112"/>
  <c r="Z22" i="112"/>
  <c r="Z24" i="112"/>
  <c r="L13" i="110"/>
  <c r="N21" i="110"/>
  <c r="L25" i="110"/>
  <c r="L29" i="110"/>
  <c r="L33" i="110"/>
  <c r="L34" i="110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L15" i="112"/>
  <c r="Z25" i="112"/>
  <c r="Z29" i="112"/>
  <c r="Z33" i="112"/>
  <c r="Z34" i="112"/>
  <c r="N13" i="110"/>
  <c r="N22" i="110"/>
  <c r="N24" i="110"/>
  <c r="N16" i="111"/>
  <c r="N20" i="111"/>
  <c r="L22" i="111"/>
  <c r="L24" i="111"/>
  <c r="L16" i="112"/>
  <c r="L20" i="112"/>
  <c r="X15" i="110"/>
  <c r="N25" i="110"/>
  <c r="N29" i="110"/>
  <c r="N33" i="110"/>
  <c r="N34" i="110"/>
  <c r="L13" i="111"/>
  <c r="N21" i="111"/>
  <c r="L25" i="111"/>
  <c r="L29" i="111"/>
  <c r="L33" i="111"/>
  <c r="L34" i="111"/>
  <c r="N15" i="112"/>
  <c r="L21" i="112"/>
  <c r="L12" i="110"/>
  <c r="F36" i="110"/>
  <c r="F34" i="110"/>
  <c r="F33" i="110"/>
  <c r="F31" i="110"/>
  <c r="F29" i="110"/>
  <c r="F27" i="110"/>
  <c r="F25" i="110"/>
  <c r="F24" i="110"/>
  <c r="F22" i="110"/>
  <c r="F21" i="110"/>
  <c r="F20" i="110"/>
  <c r="F18" i="110"/>
  <c r="F16" i="110"/>
  <c r="D18" i="110"/>
  <c r="F15" i="110"/>
  <c r="X16" i="110"/>
  <c r="X20" i="110"/>
  <c r="N13" i="111"/>
  <c r="N22" i="111"/>
  <c r="N24" i="111"/>
  <c r="N16" i="112"/>
  <c r="N20" i="112"/>
  <c r="L22" i="112"/>
  <c r="L24" i="112"/>
  <c r="J36" i="110"/>
  <c r="J34" i="110"/>
  <c r="J33" i="110"/>
  <c r="J31" i="110"/>
  <c r="J29" i="110"/>
  <c r="J27" i="110"/>
  <c r="J25" i="110"/>
  <c r="J24" i="110"/>
  <c r="J22" i="110"/>
  <c r="J21" i="110"/>
  <c r="J20" i="110"/>
  <c r="J18" i="110"/>
  <c r="J16" i="110"/>
  <c r="H18" i="110"/>
  <c r="J15" i="110"/>
  <c r="N12" i="110"/>
  <c r="X13" i="110"/>
  <c r="Z15" i="110"/>
  <c r="X21" i="110"/>
  <c r="X15" i="111"/>
  <c r="N25" i="111"/>
  <c r="N29" i="111"/>
  <c r="N33" i="111"/>
  <c r="N34" i="111"/>
  <c r="L13" i="112"/>
  <c r="N21" i="112"/>
  <c r="L25" i="112"/>
  <c r="L29" i="112"/>
  <c r="L33" i="112"/>
  <c r="L34" i="112"/>
  <c r="Z13" i="110"/>
  <c r="Z16" i="110"/>
  <c r="Z20" i="110"/>
  <c r="X22" i="110"/>
  <c r="X24" i="110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L12" i="111"/>
  <c r="X16" i="111"/>
  <c r="X20" i="111"/>
  <c r="N13" i="112"/>
  <c r="N22" i="112"/>
  <c r="N24" i="112"/>
  <c r="T12" i="3"/>
  <c r="Z34" i="3"/>
  <c r="L44" i="3"/>
  <c r="N44" i="3" s="1"/>
  <c r="Z81" i="3"/>
  <c r="N96" i="3"/>
  <c r="L96" i="3"/>
  <c r="Z101" i="3"/>
  <c r="Z126" i="3"/>
  <c r="F277" i="3"/>
  <c r="J22" i="6"/>
  <c r="J20" i="6"/>
  <c r="J18" i="6"/>
  <c r="J16" i="6"/>
  <c r="J14" i="6"/>
  <c r="N12" i="6"/>
  <c r="H16" i="6"/>
  <c r="J24" i="6"/>
  <c r="J31" i="6"/>
  <c r="J29" i="6"/>
  <c r="J28" i="6"/>
  <c r="J26" i="6"/>
  <c r="L12" i="6"/>
  <c r="N49" i="9"/>
  <c r="H12" i="12"/>
  <c r="L12" i="12" s="1"/>
  <c r="L17" i="12"/>
  <c r="N17" i="12" s="1"/>
  <c r="Z42" i="3"/>
  <c r="Z57" i="3"/>
  <c r="N76" i="3"/>
  <c r="L76" i="3"/>
  <c r="Z85" i="3"/>
  <c r="Z105" i="3"/>
  <c r="Z114" i="3"/>
  <c r="Z121" i="3"/>
  <c r="D195" i="3"/>
  <c r="F195" i="3" s="1"/>
  <c r="L217" i="3"/>
  <c r="N253" i="3"/>
  <c r="P295" i="3"/>
  <c r="Z306" i="3"/>
  <c r="Z39" i="9"/>
  <c r="Z40" i="12"/>
  <c r="L49" i="12"/>
  <c r="N49" i="12" s="1"/>
  <c r="N97" i="12"/>
  <c r="L97" i="12"/>
  <c r="N92" i="15"/>
  <c r="L92" i="15"/>
  <c r="L80" i="3"/>
  <c r="N80" i="3" s="1"/>
  <c r="L100" i="3"/>
  <c r="N100" i="3" s="1"/>
  <c r="N132" i="3"/>
  <c r="L132" i="3"/>
  <c r="N217" i="3"/>
  <c r="X299" i="3"/>
  <c r="Z299" i="3" s="1"/>
  <c r="D22" i="6"/>
  <c r="L16" i="6"/>
  <c r="N74" i="9"/>
  <c r="L74" i="9"/>
  <c r="Z55" i="12"/>
  <c r="L116" i="3"/>
  <c r="N116" i="3" s="1"/>
  <c r="N16" i="3"/>
  <c r="L16" i="3"/>
  <c r="L52" i="3"/>
  <c r="N52" i="3" s="1"/>
  <c r="N120" i="3"/>
  <c r="L120" i="3"/>
  <c r="N233" i="3"/>
  <c r="F281" i="3"/>
  <c r="Z301" i="3"/>
  <c r="L305" i="3"/>
  <c r="H295" i="3"/>
  <c r="N305" i="3"/>
  <c r="N315" i="3"/>
  <c r="Z13" i="12"/>
  <c r="T12" i="12"/>
  <c r="N26" i="12"/>
  <c r="L26" i="12"/>
  <c r="L48" i="3"/>
  <c r="N48" i="3" s="1"/>
  <c r="H12" i="3"/>
  <c r="L56" i="3"/>
  <c r="N56" i="3" s="1"/>
  <c r="Z61" i="3"/>
  <c r="Z78" i="3"/>
  <c r="L84" i="3"/>
  <c r="N84" i="3" s="1"/>
  <c r="Z89" i="3"/>
  <c r="N104" i="3"/>
  <c r="L104" i="3"/>
  <c r="Z118" i="3"/>
  <c r="N197" i="3"/>
  <c r="Z14" i="3"/>
  <c r="L20" i="3"/>
  <c r="N20" i="3" s="1"/>
  <c r="Z33" i="3"/>
  <c r="Z50" i="3"/>
  <c r="Z65" i="3"/>
  <c r="Z82" i="3"/>
  <c r="Z102" i="3"/>
  <c r="Z125" i="3"/>
  <c r="N222" i="3"/>
  <c r="N286" i="3"/>
  <c r="N300" i="3"/>
  <c r="Z51" i="9"/>
  <c r="Z45" i="12"/>
  <c r="N58" i="12"/>
  <c r="L58" i="12"/>
  <c r="N68" i="15"/>
  <c r="L68" i="15"/>
  <c r="F304" i="3"/>
  <c r="F267" i="3"/>
  <c r="F227" i="3"/>
  <c r="F191" i="3"/>
  <c r="F187" i="3"/>
  <c r="F183" i="3"/>
  <c r="F179" i="3"/>
  <c r="F175" i="3"/>
  <c r="F171" i="3"/>
  <c r="F167" i="3"/>
  <c r="F163" i="3"/>
  <c r="F159" i="3"/>
  <c r="F155" i="3"/>
  <c r="F151" i="3"/>
  <c r="F147" i="3"/>
  <c r="F143" i="3"/>
  <c r="F139" i="3"/>
  <c r="F135" i="3"/>
  <c r="F134" i="3"/>
  <c r="F270" i="3"/>
  <c r="F316" i="3"/>
  <c r="F315" i="3"/>
  <c r="F303" i="3"/>
  <c r="F290" i="3"/>
  <c r="F282" i="3"/>
  <c r="F278" i="3"/>
  <c r="F274" i="3"/>
  <c r="F273" i="3"/>
  <c r="F262" i="3"/>
  <c r="F246" i="3"/>
  <c r="F245" i="3"/>
  <c r="F238" i="3"/>
  <c r="F237" i="3"/>
  <c r="F214" i="3"/>
  <c r="F210" i="3"/>
  <c r="F209" i="3"/>
  <c r="F302" i="3"/>
  <c r="F257" i="3"/>
  <c r="F229" i="3"/>
  <c r="F228" i="3"/>
  <c r="F221" i="3"/>
  <c r="F205" i="3"/>
  <c r="F201" i="3"/>
  <c r="F286" i="3"/>
  <c r="F301" i="3"/>
  <c r="F284" i="3"/>
  <c r="F283" i="3"/>
  <c r="F268" i="3"/>
  <c r="F248" i="3"/>
  <c r="F247" i="3"/>
  <c r="F192" i="3"/>
  <c r="F188" i="3"/>
  <c r="F184" i="3"/>
  <c r="F180" i="3"/>
  <c r="F176" i="3"/>
  <c r="F172" i="3"/>
  <c r="F168" i="3"/>
  <c r="F164" i="3"/>
  <c r="F160" i="3"/>
  <c r="F156" i="3"/>
  <c r="F152" i="3"/>
  <c r="F148" i="3"/>
  <c r="F144" i="3"/>
  <c r="F140" i="3"/>
  <c r="F136" i="3"/>
  <c r="F300" i="3"/>
  <c r="F291" i="3"/>
  <c r="F279" i="3"/>
  <c r="F275" i="3"/>
  <c r="F263" i="3"/>
  <c r="F239" i="3"/>
  <c r="F223" i="3"/>
  <c r="F222" i="3"/>
  <c r="F215" i="3"/>
  <c r="F211" i="3"/>
  <c r="F271" i="3"/>
  <c r="F299" i="3"/>
  <c r="F258" i="3"/>
  <c r="F250" i="3"/>
  <c r="F249" i="3"/>
  <c r="F230" i="3"/>
  <c r="F206" i="3"/>
  <c r="F202" i="3"/>
  <c r="F298" i="3"/>
  <c r="F293" i="3"/>
  <c r="F292" i="3"/>
  <c r="F285" i="3"/>
  <c r="F269" i="3"/>
  <c r="F265" i="3"/>
  <c r="F264" i="3"/>
  <c r="F241" i="3"/>
  <c r="F240" i="3"/>
  <c r="F225" i="3"/>
  <c r="F224" i="3"/>
  <c r="F193" i="3"/>
  <c r="F189" i="3"/>
  <c r="F185" i="3"/>
  <c r="F181" i="3"/>
  <c r="F177" i="3"/>
  <c r="F173" i="3"/>
  <c r="F169" i="3"/>
  <c r="F165" i="3"/>
  <c r="F161" i="3"/>
  <c r="F157" i="3"/>
  <c r="F153" i="3"/>
  <c r="F149" i="3"/>
  <c r="F145" i="3"/>
  <c r="F141" i="3"/>
  <c r="F137" i="3"/>
  <c r="F297" i="3"/>
  <c r="F280" i="3"/>
  <c r="F276" i="3"/>
  <c r="F252" i="3"/>
  <c r="F251" i="3"/>
  <c r="F232" i="3"/>
  <c r="F231" i="3"/>
  <c r="F216" i="3"/>
  <c r="F212" i="3"/>
  <c r="L12" i="3"/>
  <c r="F296" i="3"/>
  <c r="F287" i="3"/>
  <c r="F307" i="3"/>
  <c r="F295" i="3"/>
  <c r="F266" i="3"/>
  <c r="F254" i="3"/>
  <c r="F253" i="3"/>
  <c r="F242" i="3"/>
  <c r="F234" i="3"/>
  <c r="F233" i="3"/>
  <c r="F226" i="3"/>
  <c r="F218" i="3"/>
  <c r="F217" i="3"/>
  <c r="F197" i="3"/>
  <c r="F190" i="3"/>
  <c r="F186" i="3"/>
  <c r="F182" i="3"/>
  <c r="F178" i="3"/>
  <c r="F174" i="3"/>
  <c r="F170" i="3"/>
  <c r="F166" i="3"/>
  <c r="F162" i="3"/>
  <c r="F158" i="3"/>
  <c r="F154" i="3"/>
  <c r="F150" i="3"/>
  <c r="F146" i="3"/>
  <c r="F142" i="3"/>
  <c r="F138" i="3"/>
  <c r="F305" i="3"/>
  <c r="F272" i="3"/>
  <c r="F256" i="3"/>
  <c r="F255" i="3"/>
  <c r="F244" i="3"/>
  <c r="F243" i="3"/>
  <c r="F236" i="3"/>
  <c r="F235" i="3"/>
  <c r="F220" i="3"/>
  <c r="F219" i="3"/>
  <c r="F208" i="3"/>
  <c r="F204" i="3"/>
  <c r="F200" i="3"/>
  <c r="N24" i="3"/>
  <c r="L24" i="3"/>
  <c r="Z37" i="3"/>
  <c r="Z54" i="3"/>
  <c r="N60" i="3"/>
  <c r="L60" i="3"/>
  <c r="Z93" i="3"/>
  <c r="N108" i="3"/>
  <c r="L108" i="3"/>
  <c r="Z113" i="3"/>
  <c r="Z228" i="3"/>
  <c r="L243" i="3"/>
  <c r="N243" i="3"/>
  <c r="Z247" i="3"/>
  <c r="F259" i="3"/>
  <c r="F261" i="3"/>
  <c r="Z22" i="12"/>
  <c r="L33" i="12"/>
  <c r="N33" i="12" s="1"/>
  <c r="L28" i="3"/>
  <c r="N28" i="3" s="1"/>
  <c r="L88" i="3"/>
  <c r="N88" i="3" s="1"/>
  <c r="N124" i="3"/>
  <c r="L124" i="3"/>
  <c r="Z249" i="3"/>
  <c r="X249" i="3"/>
  <c r="N65" i="9"/>
  <c r="Z77" i="12"/>
  <c r="N106" i="12"/>
  <c r="L106" i="12"/>
  <c r="N235" i="3"/>
  <c r="Z23" i="12"/>
  <c r="Z61" i="12"/>
  <c r="Z22" i="3"/>
  <c r="N32" i="3"/>
  <c r="L32" i="3"/>
  <c r="Z45" i="3"/>
  <c r="Z58" i="3"/>
  <c r="L64" i="3"/>
  <c r="N64" i="3" s="1"/>
  <c r="Z86" i="3"/>
  <c r="Z97" i="3"/>
  <c r="Z122" i="3"/>
  <c r="Z129" i="3"/>
  <c r="T295" i="3"/>
  <c r="N316" i="3"/>
  <c r="X56" i="9"/>
  <c r="Z56" i="9" s="1"/>
  <c r="N69" i="9"/>
  <c r="Z56" i="12"/>
  <c r="N65" i="12"/>
  <c r="L65" i="12"/>
  <c r="Z75" i="12"/>
  <c r="N72" i="3"/>
  <c r="L72" i="3"/>
  <c r="N219" i="3"/>
  <c r="N74" i="12"/>
  <c r="L74" i="12"/>
  <c r="L36" i="3"/>
  <c r="N36" i="3" s="1"/>
  <c r="N92" i="3"/>
  <c r="L92" i="3"/>
  <c r="L112" i="3"/>
  <c r="N112" i="3" s="1"/>
  <c r="F289" i="3"/>
  <c r="L295" i="3"/>
  <c r="F306" i="3"/>
  <c r="F311" i="3"/>
  <c r="T91" i="9"/>
  <c r="Z16" i="9"/>
  <c r="Z31" i="9"/>
  <c r="N60" i="9"/>
  <c r="L88" i="12"/>
  <c r="N88" i="12" s="1"/>
  <c r="Z102" i="12"/>
  <c r="P12" i="3"/>
  <c r="X13" i="3"/>
  <c r="Z30" i="3"/>
  <c r="L40" i="3"/>
  <c r="N40" i="3" s="1"/>
  <c r="Z49" i="3"/>
  <c r="Z62" i="3"/>
  <c r="N68" i="3"/>
  <c r="L68" i="3"/>
  <c r="Z77" i="3"/>
  <c r="Z90" i="3"/>
  <c r="Z110" i="3"/>
  <c r="Z117" i="3"/>
  <c r="L128" i="3"/>
  <c r="N128" i="3" s="1"/>
  <c r="N198" i="3"/>
  <c r="L255" i="3"/>
  <c r="N255" i="3"/>
  <c r="N42" i="12"/>
  <c r="L42" i="12"/>
  <c r="N36" i="15"/>
  <c r="L36" i="15"/>
  <c r="Z15" i="3"/>
  <c r="Z19" i="3"/>
  <c r="Z23" i="3"/>
  <c r="Z27" i="3"/>
  <c r="Z31" i="3"/>
  <c r="Z35" i="3"/>
  <c r="Z39" i="3"/>
  <c r="Z43" i="3"/>
  <c r="Z47" i="3"/>
  <c r="Z51" i="3"/>
  <c r="Z55" i="3"/>
  <c r="Z59" i="3"/>
  <c r="Z63" i="3"/>
  <c r="Z67" i="3"/>
  <c r="Z71" i="3"/>
  <c r="Z75" i="3"/>
  <c r="Z79" i="3"/>
  <c r="Z197" i="3"/>
  <c r="X296" i="3"/>
  <c r="Z296" i="3" s="1"/>
  <c r="L14" i="6"/>
  <c r="R24" i="6"/>
  <c r="V14" i="9"/>
  <c r="V16" i="9"/>
  <c r="V18" i="9"/>
  <c r="J22" i="9"/>
  <c r="R23" i="9"/>
  <c r="J26" i="9"/>
  <c r="R27" i="9"/>
  <c r="J30" i="9"/>
  <c r="F35" i="9"/>
  <c r="J42" i="9"/>
  <c r="V46" i="9"/>
  <c r="J54" i="9"/>
  <c r="R55" i="9"/>
  <c r="R56" i="9"/>
  <c r="V58" i="9"/>
  <c r="Z60" i="9"/>
  <c r="J62" i="9"/>
  <c r="R63" i="9"/>
  <c r="F67" i="9"/>
  <c r="V70" i="9"/>
  <c r="Z72" i="9"/>
  <c r="F74" i="9"/>
  <c r="F75" i="9"/>
  <c r="F79" i="9"/>
  <c r="J80" i="9"/>
  <c r="V82" i="9"/>
  <c r="F87" i="9"/>
  <c r="R93" i="9"/>
  <c r="P12" i="12"/>
  <c r="X13" i="12"/>
  <c r="X22" i="12"/>
  <c r="N24" i="12"/>
  <c r="X29" i="12"/>
  <c r="Z29" i="12" s="1"/>
  <c r="X38" i="12"/>
  <c r="Z38" i="12" s="1"/>
  <c r="N40" i="12"/>
  <c r="X45" i="12"/>
  <c r="X54" i="12"/>
  <c r="Z54" i="12" s="1"/>
  <c r="X61" i="12"/>
  <c r="X70" i="12"/>
  <c r="Z70" i="12" s="1"/>
  <c r="N72" i="12"/>
  <c r="X77" i="12"/>
  <c r="X84" i="12"/>
  <c r="Z84" i="12" s="1"/>
  <c r="X102" i="12"/>
  <c r="N104" i="12"/>
  <c r="F188" i="12"/>
  <c r="F190" i="12"/>
  <c r="X200" i="12"/>
  <c r="Z200" i="12" s="1"/>
  <c r="F216" i="12"/>
  <c r="T257" i="12"/>
  <c r="N264" i="12"/>
  <c r="Z29" i="15"/>
  <c r="Z44" i="15"/>
  <c r="Z57" i="15"/>
  <c r="N96" i="15"/>
  <c r="L96" i="15"/>
  <c r="Z100" i="15"/>
  <c r="V206" i="15"/>
  <c r="F223" i="15"/>
  <c r="Z297" i="3"/>
  <c r="P16" i="6"/>
  <c r="Z14" i="9"/>
  <c r="J40" i="9"/>
  <c r="J52" i="9"/>
  <c r="F72" i="9"/>
  <c r="F73" i="9"/>
  <c r="J74" i="9"/>
  <c r="V76" i="9"/>
  <c r="R81" i="9"/>
  <c r="N19" i="12"/>
  <c r="X24" i="12"/>
  <c r="Z24" i="12" s="1"/>
  <c r="N35" i="12"/>
  <c r="X40" i="12"/>
  <c r="X56" i="12"/>
  <c r="N67" i="12"/>
  <c r="X72" i="12"/>
  <c r="Z72" i="12" s="1"/>
  <c r="X79" i="12"/>
  <c r="Z79" i="12" s="1"/>
  <c r="N81" i="12"/>
  <c r="N90" i="12"/>
  <c r="Z93" i="12"/>
  <c r="N109" i="12"/>
  <c r="P12" i="15"/>
  <c r="X13" i="15"/>
  <c r="Z25" i="15"/>
  <c r="Z53" i="15"/>
  <c r="Z96" i="15"/>
  <c r="F182" i="15"/>
  <c r="V256" i="15"/>
  <c r="V283" i="18"/>
  <c r="V249" i="18"/>
  <c r="V229" i="18"/>
  <c r="V217" i="18"/>
  <c r="V209" i="18"/>
  <c r="V193" i="18"/>
  <c r="V189" i="18"/>
  <c r="V282" i="18"/>
  <c r="V268" i="18"/>
  <c r="V260" i="18"/>
  <c r="V256" i="18"/>
  <c r="V244" i="18"/>
  <c r="V228" i="18"/>
  <c r="V220" i="18"/>
  <c r="V212" i="18"/>
  <c r="V180" i="18"/>
  <c r="V176" i="18"/>
  <c r="V172" i="18"/>
  <c r="V168" i="18"/>
  <c r="V164" i="18"/>
  <c r="V160" i="18"/>
  <c r="V156" i="18"/>
  <c r="V152" i="18"/>
  <c r="V148" i="18"/>
  <c r="V144" i="18"/>
  <c r="V289" i="18"/>
  <c r="V281" i="18"/>
  <c r="V251" i="18"/>
  <c r="V239" i="18"/>
  <c r="V231" i="18"/>
  <c r="V219" i="18"/>
  <c r="V211" i="18"/>
  <c r="V203" i="18"/>
  <c r="V199" i="18"/>
  <c r="V280" i="18"/>
  <c r="V262" i="18"/>
  <c r="V250" i="18"/>
  <c r="V246" i="18"/>
  <c r="V230" i="18"/>
  <c r="V222" i="18"/>
  <c r="V194" i="18"/>
  <c r="V190" i="18"/>
  <c r="V186" i="18"/>
  <c r="V279" i="18"/>
  <c r="V269" i="18"/>
  <c r="V261" i="18"/>
  <c r="V257" i="18"/>
  <c r="V245" i="18"/>
  <c r="V233" i="18"/>
  <c r="V221" i="18"/>
  <c r="V213" i="18"/>
  <c r="V205" i="18"/>
  <c r="V185" i="18"/>
  <c r="V181" i="18"/>
  <c r="V177" i="18"/>
  <c r="V173" i="18"/>
  <c r="V169" i="18"/>
  <c r="V165" i="18"/>
  <c r="V161" i="18"/>
  <c r="V157" i="18"/>
  <c r="V153" i="18"/>
  <c r="V149" i="18"/>
  <c r="V145" i="18"/>
  <c r="V141" i="18"/>
  <c r="V137" i="18"/>
  <c r="V133" i="18"/>
  <c r="V129" i="18"/>
  <c r="V125" i="18"/>
  <c r="V278" i="18"/>
  <c r="V252" i="18"/>
  <c r="V240" i="18"/>
  <c r="V232" i="18"/>
  <c r="V224" i="18"/>
  <c r="V204" i="18"/>
  <c r="V200" i="18"/>
  <c r="T183" i="18"/>
  <c r="V183" i="18" s="1"/>
  <c r="V277" i="18"/>
  <c r="V271" i="18"/>
  <c r="V263" i="18"/>
  <c r="V247" i="18"/>
  <c r="V235" i="18"/>
  <c r="V223" i="18"/>
  <c r="V215" i="18"/>
  <c r="V207" i="18"/>
  <c r="V195" i="18"/>
  <c r="V191" i="18"/>
  <c r="V187" i="18"/>
  <c r="V276" i="18"/>
  <c r="V270" i="18"/>
  <c r="V258" i="18"/>
  <c r="V254" i="18"/>
  <c r="V242" i="18"/>
  <c r="V234" i="18"/>
  <c r="V214" i="18"/>
  <c r="V206" i="18"/>
  <c r="V178" i="18"/>
  <c r="V174" i="18"/>
  <c r="V170" i="18"/>
  <c r="V166" i="18"/>
  <c r="V162" i="18"/>
  <c r="V158" i="18"/>
  <c r="V154" i="18"/>
  <c r="V150" i="18"/>
  <c r="V146" i="18"/>
  <c r="V142" i="18"/>
  <c r="V138" i="18"/>
  <c r="V134" i="18"/>
  <c r="V130" i="18"/>
  <c r="V126" i="18"/>
  <c r="V275" i="18"/>
  <c r="V265" i="18"/>
  <c r="V253" i="18"/>
  <c r="V241" i="18"/>
  <c r="V237" i="18"/>
  <c r="V225" i="18"/>
  <c r="V201" i="18"/>
  <c r="V197" i="18"/>
  <c r="V274" i="18"/>
  <c r="V272" i="18"/>
  <c r="V264" i="18"/>
  <c r="V248" i="18"/>
  <c r="V236" i="18"/>
  <c r="V216" i="18"/>
  <c r="V208" i="18"/>
  <c r="V196" i="18"/>
  <c r="V192" i="18"/>
  <c r="V188" i="18"/>
  <c r="V284" i="18"/>
  <c r="V266" i="18"/>
  <c r="V238" i="18"/>
  <c r="V226" i="18"/>
  <c r="V218" i="18"/>
  <c r="V210" i="18"/>
  <c r="V202" i="18"/>
  <c r="V198" i="18"/>
  <c r="V243" i="18"/>
  <c r="V255" i="18"/>
  <c r="V179" i="18"/>
  <c r="V167" i="18"/>
  <c r="V155" i="18"/>
  <c r="V227" i="18"/>
  <c r="V128" i="18"/>
  <c r="V267" i="18"/>
  <c r="V163" i="18"/>
  <c r="V151" i="18"/>
  <c r="V131" i="18"/>
  <c r="V124" i="18"/>
  <c r="V140" i="18"/>
  <c r="V285" i="18"/>
  <c r="V147" i="18"/>
  <c r="V127" i="18"/>
  <c r="V175" i="18"/>
  <c r="V159" i="18"/>
  <c r="V143" i="18"/>
  <c r="V136" i="18"/>
  <c r="V259" i="18"/>
  <c r="V139" i="18"/>
  <c r="V135" i="18"/>
  <c r="V132" i="18"/>
  <c r="N32" i="15"/>
  <c r="L32" i="15"/>
  <c r="T16" i="6"/>
  <c r="J34" i="9"/>
  <c r="R35" i="9"/>
  <c r="J38" i="9"/>
  <c r="J50" i="9"/>
  <c r="J60" i="9"/>
  <c r="J66" i="9"/>
  <c r="R67" i="9"/>
  <c r="J72" i="9"/>
  <c r="R75" i="9"/>
  <c r="J78" i="9"/>
  <c r="R79" i="9"/>
  <c r="R80" i="9"/>
  <c r="J86" i="9"/>
  <c r="R87" i="9"/>
  <c r="N14" i="12"/>
  <c r="Z17" i="12"/>
  <c r="N30" i="12"/>
  <c r="Z33" i="12"/>
  <c r="N37" i="12"/>
  <c r="Z49" i="12"/>
  <c r="N53" i="12"/>
  <c r="Z65" i="12"/>
  <c r="L76" i="12"/>
  <c r="N78" i="12"/>
  <c r="Z97" i="12"/>
  <c r="N101" i="12"/>
  <c r="Z104" i="12"/>
  <c r="Z106" i="12"/>
  <c r="F179" i="12"/>
  <c r="Z190" i="12"/>
  <c r="Z192" i="12"/>
  <c r="F195" i="12"/>
  <c r="L234" i="12"/>
  <c r="N234" i="12" s="1"/>
  <c r="F244" i="12"/>
  <c r="X248" i="12"/>
  <c r="Z248" i="12" s="1"/>
  <c r="L60" i="15"/>
  <c r="N60" i="15" s="1"/>
  <c r="Z77" i="15"/>
  <c r="Z106" i="15"/>
  <c r="V174" i="15"/>
  <c r="N193" i="15"/>
  <c r="L229" i="15"/>
  <c r="N229" i="15" s="1"/>
  <c r="H249" i="15"/>
  <c r="L249" i="15" s="1"/>
  <c r="N251" i="15"/>
  <c r="L251" i="15"/>
  <c r="V14" i="6"/>
  <c r="V16" i="6"/>
  <c r="V18" i="6"/>
  <c r="V20" i="6"/>
  <c r="V22" i="6"/>
  <c r="H16" i="9"/>
  <c r="R40" i="9"/>
  <c r="R41" i="9"/>
  <c r="J49" i="9"/>
  <c r="R52" i="9"/>
  <c r="R53" i="9"/>
  <c r="J59" i="9"/>
  <c r="J65" i="9"/>
  <c r="J71" i="9"/>
  <c r="V75" i="9"/>
  <c r="V79" i="9"/>
  <c r="F83" i="9"/>
  <c r="F84" i="9"/>
  <c r="J85" i="9"/>
  <c r="V87" i="9"/>
  <c r="V89" i="9"/>
  <c r="V91" i="9"/>
  <c r="F95" i="9"/>
  <c r="F98" i="9"/>
  <c r="L14" i="12"/>
  <c r="L21" i="12"/>
  <c r="N21" i="12" s="1"/>
  <c r="N23" i="12"/>
  <c r="X28" i="12"/>
  <c r="Z28" i="12" s="1"/>
  <c r="L30" i="12"/>
  <c r="L37" i="12"/>
  <c r="N39" i="12"/>
  <c r="X44" i="12"/>
  <c r="Z44" i="12" s="1"/>
  <c r="L46" i="12"/>
  <c r="N46" i="12" s="1"/>
  <c r="L53" i="12"/>
  <c r="N55" i="12"/>
  <c r="X60" i="12"/>
  <c r="Z60" i="12" s="1"/>
  <c r="L62" i="12"/>
  <c r="N62" i="12" s="1"/>
  <c r="L69" i="12"/>
  <c r="N71" i="12"/>
  <c r="X76" i="12"/>
  <c r="Z76" i="12" s="1"/>
  <c r="L78" i="12"/>
  <c r="Z81" i="12"/>
  <c r="X83" i="12"/>
  <c r="Z83" i="12" s="1"/>
  <c r="N85" i="12"/>
  <c r="L92" i="12"/>
  <c r="N92" i="12" s="1"/>
  <c r="L101" i="12"/>
  <c r="F265" i="12"/>
  <c r="F270" i="12"/>
  <c r="N28" i="15"/>
  <c r="L28" i="15"/>
  <c r="L56" i="15"/>
  <c r="N56" i="15" s="1"/>
  <c r="L84" i="15"/>
  <c r="N84" i="15" s="1"/>
  <c r="F191" i="15"/>
  <c r="F239" i="15"/>
  <c r="N88" i="15"/>
  <c r="L88" i="15"/>
  <c r="Z13" i="3"/>
  <c r="J14" i="9"/>
  <c r="J16" i="9"/>
  <c r="J18" i="9"/>
  <c r="J20" i="9"/>
  <c r="R21" i="9"/>
  <c r="J24" i="9"/>
  <c r="R25" i="9"/>
  <c r="J28" i="9"/>
  <c r="R29" i="9"/>
  <c r="X43" i="9"/>
  <c r="Z43" i="9" s="1"/>
  <c r="J48" i="9"/>
  <c r="J58" i="9"/>
  <c r="R61" i="9"/>
  <c r="J64" i="9"/>
  <c r="L65" i="9"/>
  <c r="R73" i="9"/>
  <c r="R74" i="9"/>
  <c r="J84" i="9"/>
  <c r="L85" i="9"/>
  <c r="N85" i="9" s="1"/>
  <c r="X89" i="9"/>
  <c r="N32" i="12"/>
  <c r="N64" i="12"/>
  <c r="F191" i="12"/>
  <c r="N24" i="15"/>
  <c r="L24" i="15"/>
  <c r="Z195" i="15"/>
  <c r="X195" i="15"/>
  <c r="F210" i="15"/>
  <c r="V226" i="15"/>
  <c r="F246" i="15"/>
  <c r="Z47" i="18"/>
  <c r="X47" i="18"/>
  <c r="Z49" i="18"/>
  <c r="X51" i="18"/>
  <c r="Z51" i="18" s="1"/>
  <c r="X82" i="18"/>
  <c r="Z82" i="18"/>
  <c r="D16" i="9"/>
  <c r="N28" i="12"/>
  <c r="J19" i="9"/>
  <c r="V21" i="9"/>
  <c r="V25" i="9"/>
  <c r="V29" i="9"/>
  <c r="J33" i="9"/>
  <c r="R34" i="9"/>
  <c r="J37" i="9"/>
  <c r="R38" i="9"/>
  <c r="R39" i="9"/>
  <c r="V41" i="9"/>
  <c r="F45" i="9"/>
  <c r="F46" i="9"/>
  <c r="J47" i="9"/>
  <c r="R50" i="9"/>
  <c r="R51" i="9"/>
  <c r="V53" i="9"/>
  <c r="J57" i="9"/>
  <c r="V61" i="9"/>
  <c r="R66" i="9"/>
  <c r="F69" i="9"/>
  <c r="F70" i="9"/>
  <c r="V73" i="9"/>
  <c r="J77" i="9"/>
  <c r="R78" i="9"/>
  <c r="F82" i="9"/>
  <c r="J83" i="9"/>
  <c r="R86" i="9"/>
  <c r="J95" i="9"/>
  <c r="J98" i="9"/>
  <c r="L16" i="12"/>
  <c r="Z21" i="12"/>
  <c r="X23" i="12"/>
  <c r="N25" i="12"/>
  <c r="L32" i="12"/>
  <c r="N34" i="12"/>
  <c r="Z37" i="12"/>
  <c r="X39" i="12"/>
  <c r="Z39" i="12" s="1"/>
  <c r="N41" i="12"/>
  <c r="L48" i="12"/>
  <c r="N48" i="12" s="1"/>
  <c r="N50" i="12"/>
  <c r="Z53" i="12"/>
  <c r="X55" i="12"/>
  <c r="N57" i="12"/>
  <c r="L64" i="12"/>
  <c r="N66" i="12"/>
  <c r="X71" i="12"/>
  <c r="Z71" i="12" s="1"/>
  <c r="N73" i="12"/>
  <c r="N80" i="12"/>
  <c r="X85" i="12"/>
  <c r="X94" i="12"/>
  <c r="Z94" i="12" s="1"/>
  <c r="Z101" i="12"/>
  <c r="X103" i="12"/>
  <c r="Z103" i="12" s="1"/>
  <c r="F168" i="12"/>
  <c r="F187" i="12"/>
  <c r="Z195" i="12"/>
  <c r="X195" i="12"/>
  <c r="N16" i="15"/>
  <c r="L16" i="15"/>
  <c r="N20" i="15"/>
  <c r="L20" i="15"/>
  <c r="Z28" i="15"/>
  <c r="L52" i="15"/>
  <c r="N52" i="15" s="1"/>
  <c r="Z56" i="15"/>
  <c r="N80" i="15"/>
  <c r="L80" i="15"/>
  <c r="Z84" i="15"/>
  <c r="Z99" i="15"/>
  <c r="V178" i="15"/>
  <c r="V214" i="15"/>
  <c r="L217" i="15"/>
  <c r="N217" i="15" s="1"/>
  <c r="V116" i="24"/>
  <c r="V100" i="24"/>
  <c r="V119" i="24"/>
  <c r="V111" i="24"/>
  <c r="V103" i="24"/>
  <c r="V118" i="24"/>
  <c r="V110" i="24"/>
  <c r="V102" i="24"/>
  <c r="V94" i="24"/>
  <c r="V113" i="24"/>
  <c r="V105" i="24"/>
  <c r="V122" i="24"/>
  <c r="V120" i="24"/>
  <c r="V112" i="24"/>
  <c r="V95" i="24"/>
  <c r="V97" i="24"/>
  <c r="V126" i="24"/>
  <c r="V108" i="24"/>
  <c r="V115" i="24"/>
  <c r="V107" i="24"/>
  <c r="V109" i="24"/>
  <c r="V84" i="24"/>
  <c r="V80" i="24"/>
  <c r="V117" i="24"/>
  <c r="V101" i="24"/>
  <c r="V98" i="24"/>
  <c r="V71" i="24"/>
  <c r="V67" i="24"/>
  <c r="V63" i="24"/>
  <c r="V59" i="24"/>
  <c r="V55" i="24"/>
  <c r="V51" i="24"/>
  <c r="V99" i="24"/>
  <c r="V90" i="24"/>
  <c r="V86" i="24"/>
  <c r="V96" i="24"/>
  <c r="V85" i="24"/>
  <c r="V81" i="24"/>
  <c r="V77" i="24"/>
  <c r="V76" i="24"/>
  <c r="V74" i="24"/>
  <c r="V72" i="24"/>
  <c r="V68" i="24"/>
  <c r="V64" i="24"/>
  <c r="V60" i="24"/>
  <c r="V56" i="24"/>
  <c r="V52" i="24"/>
  <c r="V87" i="24"/>
  <c r="T74" i="24"/>
  <c r="V92" i="24"/>
  <c r="V91" i="24"/>
  <c r="V82" i="24"/>
  <c r="V78" i="24"/>
  <c r="V114" i="24"/>
  <c r="V106" i="24"/>
  <c r="V69" i="24"/>
  <c r="V65" i="24"/>
  <c r="V61" i="24"/>
  <c r="V57" i="24"/>
  <c r="V53" i="24"/>
  <c r="V49" i="24"/>
  <c r="V104" i="24"/>
  <c r="V88" i="24"/>
  <c r="V83" i="24"/>
  <c r="V79" i="24"/>
  <c r="V89" i="24"/>
  <c r="V54" i="24"/>
  <c r="V93" i="24"/>
  <c r="V70" i="24"/>
  <c r="V62" i="24"/>
  <c r="V50" i="24"/>
  <c r="V66" i="24"/>
  <c r="J46" i="9"/>
  <c r="J56" i="9"/>
  <c r="J70" i="9"/>
  <c r="J82" i="9"/>
  <c r="Z85" i="12"/>
  <c r="N89" i="12"/>
  <c r="L48" i="15"/>
  <c r="N48" i="15" s="1"/>
  <c r="L12" i="9"/>
  <c r="P16" i="9"/>
  <c r="R20" i="9"/>
  <c r="J23" i="9"/>
  <c r="R24" i="9"/>
  <c r="J27" i="9"/>
  <c r="R28" i="9"/>
  <c r="J45" i="9"/>
  <c r="R48" i="9"/>
  <c r="R49" i="9"/>
  <c r="J55" i="9"/>
  <c r="J63" i="9"/>
  <c r="R64" i="9"/>
  <c r="R65" i="9"/>
  <c r="J69" i="9"/>
  <c r="R84" i="9"/>
  <c r="R85" i="9"/>
  <c r="J93" i="9"/>
  <c r="F263" i="12"/>
  <c r="F246" i="12"/>
  <c r="F245" i="12"/>
  <c r="F230" i="12"/>
  <c r="F218" i="12"/>
  <c r="F217" i="12"/>
  <c r="F206" i="12"/>
  <c r="F182" i="12"/>
  <c r="F178" i="12"/>
  <c r="F177" i="12"/>
  <c r="F262" i="12"/>
  <c r="F253" i="12"/>
  <c r="F241" i="12"/>
  <c r="F225" i="12"/>
  <c r="F224" i="12"/>
  <c r="F197" i="12"/>
  <c r="F189" i="12"/>
  <c r="F173" i="12"/>
  <c r="F169" i="12"/>
  <c r="F261" i="12"/>
  <c r="F236" i="12"/>
  <c r="F220" i="12"/>
  <c r="F219" i="12"/>
  <c r="F208" i="12"/>
  <c r="F207" i="12"/>
  <c r="F160" i="12"/>
  <c r="F156" i="12"/>
  <c r="F152" i="12"/>
  <c r="F148" i="12"/>
  <c r="F144" i="12"/>
  <c r="F140" i="12"/>
  <c r="F136" i="12"/>
  <c r="F132" i="12"/>
  <c r="F128" i="12"/>
  <c r="F124" i="12"/>
  <c r="F120" i="12"/>
  <c r="F116" i="12"/>
  <c r="F112" i="12"/>
  <c r="F260" i="12"/>
  <c r="F255" i="12"/>
  <c r="F254" i="12"/>
  <c r="F247" i="12"/>
  <c r="F231" i="12"/>
  <c r="F259" i="12"/>
  <c r="F242" i="12"/>
  <c r="F238" i="12"/>
  <c r="F237" i="12"/>
  <c r="F226" i="12"/>
  <c r="F210" i="12"/>
  <c r="F209" i="12"/>
  <c r="F174" i="12"/>
  <c r="F170" i="12"/>
  <c r="F258" i="12"/>
  <c r="F249" i="12"/>
  <c r="F248" i="12"/>
  <c r="F221" i="12"/>
  <c r="F201" i="12"/>
  <c r="F200" i="12"/>
  <c r="F193" i="12"/>
  <c r="F192" i="12"/>
  <c r="F161" i="12"/>
  <c r="F157" i="12"/>
  <c r="F153" i="12"/>
  <c r="F149" i="12"/>
  <c r="F145" i="12"/>
  <c r="F141" i="12"/>
  <c r="F137" i="12"/>
  <c r="F133" i="12"/>
  <c r="F129" i="12"/>
  <c r="F125" i="12"/>
  <c r="F121" i="12"/>
  <c r="F117" i="12"/>
  <c r="F113" i="12"/>
  <c r="F257" i="12"/>
  <c r="F232" i="12"/>
  <c r="F212" i="12"/>
  <c r="F211" i="12"/>
  <c r="F184" i="12"/>
  <c r="F180" i="12"/>
  <c r="F251" i="12"/>
  <c r="F250" i="12"/>
  <c r="F243" i="12"/>
  <c r="F239" i="12"/>
  <c r="F227" i="12"/>
  <c r="F203" i="12"/>
  <c r="F202" i="12"/>
  <c r="F175" i="12"/>
  <c r="F171" i="12"/>
  <c r="F167" i="12"/>
  <c r="F166" i="12"/>
  <c r="F222" i="12"/>
  <c r="F214" i="12"/>
  <c r="F213" i="12"/>
  <c r="F194" i="12"/>
  <c r="F186" i="12"/>
  <c r="F185" i="12"/>
  <c r="F165" i="12"/>
  <c r="F163" i="12"/>
  <c r="F158" i="12"/>
  <c r="F154" i="12"/>
  <c r="F150" i="12"/>
  <c r="F146" i="12"/>
  <c r="F142" i="12"/>
  <c r="F138" i="12"/>
  <c r="F134" i="12"/>
  <c r="F130" i="12"/>
  <c r="F126" i="12"/>
  <c r="F122" i="12"/>
  <c r="F118" i="12"/>
  <c r="F114" i="12"/>
  <c r="F110" i="12"/>
  <c r="F109" i="12"/>
  <c r="F266" i="12"/>
  <c r="F233" i="12"/>
  <c r="F229" i="12"/>
  <c r="F228" i="12"/>
  <c r="F205" i="12"/>
  <c r="F204" i="12"/>
  <c r="F181" i="12"/>
  <c r="F264" i="12"/>
  <c r="F235" i="12"/>
  <c r="F234" i="12"/>
  <c r="F223" i="12"/>
  <c r="F159" i="12"/>
  <c r="F155" i="12"/>
  <c r="F151" i="12"/>
  <c r="F147" i="12"/>
  <c r="F143" i="12"/>
  <c r="F139" i="12"/>
  <c r="F135" i="12"/>
  <c r="F131" i="12"/>
  <c r="F127" i="12"/>
  <c r="F123" i="12"/>
  <c r="F119" i="12"/>
  <c r="F115" i="12"/>
  <c r="F111" i="12"/>
  <c r="N20" i="12"/>
  <c r="N36" i="12"/>
  <c r="L82" i="12"/>
  <c r="L89" i="12"/>
  <c r="F183" i="12"/>
  <c r="F196" i="12"/>
  <c r="F198" i="12"/>
  <c r="L209" i="12"/>
  <c r="N209" i="12" s="1"/>
  <c r="Z219" i="12"/>
  <c r="F240" i="12"/>
  <c r="F252" i="12"/>
  <c r="H12" i="15"/>
  <c r="Z16" i="15"/>
  <c r="Z20" i="15"/>
  <c r="Z52" i="15"/>
  <c r="N76" i="15"/>
  <c r="L76" i="15"/>
  <c r="Z80" i="15"/>
  <c r="N104" i="15"/>
  <c r="L104" i="15"/>
  <c r="Z172" i="15"/>
  <c r="F183" i="15"/>
  <c r="N206" i="15"/>
  <c r="N44" i="12"/>
  <c r="N60" i="12"/>
  <c r="L64" i="15"/>
  <c r="N64" i="15" s="1"/>
  <c r="N12" i="9"/>
  <c r="R14" i="9"/>
  <c r="R16" i="9"/>
  <c r="R18" i="9"/>
  <c r="J32" i="9"/>
  <c r="R33" i="9"/>
  <c r="J36" i="9"/>
  <c r="R37" i="9"/>
  <c r="J44" i="9"/>
  <c r="R57" i="9"/>
  <c r="R58" i="9"/>
  <c r="J68" i="9"/>
  <c r="V72" i="9"/>
  <c r="J76" i="9"/>
  <c r="R77" i="9"/>
  <c r="F80" i="9"/>
  <c r="V84" i="9"/>
  <c r="L20" i="12"/>
  <c r="N22" i="12"/>
  <c r="Z25" i="12"/>
  <c r="X27" i="12"/>
  <c r="Z27" i="12" s="1"/>
  <c r="N29" i="12"/>
  <c r="L36" i="12"/>
  <c r="N38" i="12"/>
  <c r="Z41" i="12"/>
  <c r="X43" i="12"/>
  <c r="Z43" i="12" s="1"/>
  <c r="N45" i="12"/>
  <c r="L52" i="12"/>
  <c r="N52" i="12" s="1"/>
  <c r="Z57" i="12"/>
  <c r="X59" i="12"/>
  <c r="Z59" i="12" s="1"/>
  <c r="N61" i="12"/>
  <c r="L68" i="12"/>
  <c r="N68" i="12" s="1"/>
  <c r="N70" i="12"/>
  <c r="Z73" i="12"/>
  <c r="X75" i="12"/>
  <c r="N77" i="12"/>
  <c r="X82" i="12"/>
  <c r="Z82" i="12" s="1"/>
  <c r="N84" i="12"/>
  <c r="Z98" i="12"/>
  <c r="Z105" i="12"/>
  <c r="Z187" i="12"/>
  <c r="X187" i="12"/>
  <c r="X215" i="12"/>
  <c r="Z215" i="12" s="1"/>
  <c r="Z237" i="12"/>
  <c r="Z33" i="15"/>
  <c r="Z35" i="15"/>
  <c r="L44" i="15"/>
  <c r="N44" i="15" s="1"/>
  <c r="Z48" i="15"/>
  <c r="Z65" i="15"/>
  <c r="N100" i="15"/>
  <c r="L100" i="15"/>
  <c r="X187" i="15"/>
  <c r="Z187" i="15" s="1"/>
  <c r="X257" i="15"/>
  <c r="Z257" i="15" s="1"/>
  <c r="V262" i="15"/>
  <c r="V254" i="15"/>
  <c r="V244" i="15"/>
  <c r="V236" i="15"/>
  <c r="V232" i="15"/>
  <c r="V220" i="15"/>
  <c r="V208" i="15"/>
  <c r="V196" i="15"/>
  <c r="V188" i="15"/>
  <c r="V180" i="15"/>
  <c r="V160" i="15"/>
  <c r="V158" i="15"/>
  <c r="V156" i="15"/>
  <c r="V152" i="15"/>
  <c r="V148" i="15"/>
  <c r="V144" i="15"/>
  <c r="V140" i="15"/>
  <c r="V136" i="15"/>
  <c r="V132" i="15"/>
  <c r="V128" i="15"/>
  <c r="V124" i="15"/>
  <c r="V120" i="15"/>
  <c r="V116" i="15"/>
  <c r="V112" i="15"/>
  <c r="V108" i="15"/>
  <c r="V253" i="15"/>
  <c r="V227" i="15"/>
  <c r="V215" i="15"/>
  <c r="V207" i="15"/>
  <c r="V199" i="15"/>
  <c r="V179" i="15"/>
  <c r="V175" i="15"/>
  <c r="T158" i="15"/>
  <c r="V252" i="15"/>
  <c r="V246" i="15"/>
  <c r="V238" i="15"/>
  <c r="V222" i="15"/>
  <c r="V210" i="15"/>
  <c r="V198" i="15"/>
  <c r="V190" i="15"/>
  <c r="V182" i="15"/>
  <c r="V170" i="15"/>
  <c r="V166" i="15"/>
  <c r="V162" i="15"/>
  <c r="V251" i="15"/>
  <c r="V245" i="15"/>
  <c r="V233" i="15"/>
  <c r="V229" i="15"/>
  <c r="V217" i="15"/>
  <c r="V209" i="15"/>
  <c r="V189" i="15"/>
  <c r="V181" i="15"/>
  <c r="V153" i="15"/>
  <c r="V149" i="15"/>
  <c r="V145" i="15"/>
  <c r="V141" i="15"/>
  <c r="V137" i="15"/>
  <c r="V133" i="15"/>
  <c r="V129" i="15"/>
  <c r="V125" i="15"/>
  <c r="V121" i="15"/>
  <c r="V117" i="15"/>
  <c r="V113" i="15"/>
  <c r="V109" i="15"/>
  <c r="V250" i="15"/>
  <c r="V240" i="15"/>
  <c r="V228" i="15"/>
  <c r="V216" i="15"/>
  <c r="V212" i="15"/>
  <c r="V200" i="15"/>
  <c r="V176" i="15"/>
  <c r="V172" i="15"/>
  <c r="V247" i="15"/>
  <c r="V239" i="15"/>
  <c r="V223" i="15"/>
  <c r="V211" i="15"/>
  <c r="V191" i="15"/>
  <c r="V183" i="15"/>
  <c r="V171" i="15"/>
  <c r="V167" i="15"/>
  <c r="V163" i="15"/>
  <c r="V242" i="15"/>
  <c r="V234" i="15"/>
  <c r="V230" i="15"/>
  <c r="V218" i="15"/>
  <c r="V202" i="15"/>
  <c r="V154" i="15"/>
  <c r="V150" i="15"/>
  <c r="V146" i="15"/>
  <c r="V142" i="15"/>
  <c r="V138" i="15"/>
  <c r="V134" i="15"/>
  <c r="V130" i="15"/>
  <c r="V126" i="15"/>
  <c r="V122" i="15"/>
  <c r="V118" i="15"/>
  <c r="V114" i="15"/>
  <c r="V110" i="15"/>
  <c r="V106" i="15"/>
  <c r="V241" i="15"/>
  <c r="V213" i="15"/>
  <c r="V201" i="15"/>
  <c r="V193" i="15"/>
  <c r="V185" i="15"/>
  <c r="V177" i="15"/>
  <c r="V173" i="15"/>
  <c r="V258" i="15"/>
  <c r="V224" i="15"/>
  <c r="V204" i="15"/>
  <c r="V192" i="15"/>
  <c r="V184" i="15"/>
  <c r="V168" i="15"/>
  <c r="V164" i="15"/>
  <c r="V257" i="15"/>
  <c r="V243" i="15"/>
  <c r="V235" i="15"/>
  <c r="V231" i="15"/>
  <c r="V219" i="15"/>
  <c r="V203" i="15"/>
  <c r="V195" i="15"/>
  <c r="V187" i="15"/>
  <c r="V155" i="15"/>
  <c r="V151" i="15"/>
  <c r="V147" i="15"/>
  <c r="V143" i="15"/>
  <c r="V139" i="15"/>
  <c r="V135" i="15"/>
  <c r="V131" i="15"/>
  <c r="V127" i="15"/>
  <c r="V123" i="15"/>
  <c r="V119" i="15"/>
  <c r="V115" i="15"/>
  <c r="V111" i="15"/>
  <c r="V107" i="15"/>
  <c r="V255" i="15"/>
  <c r="V237" i="15"/>
  <c r="V225" i="15"/>
  <c r="V221" i="15"/>
  <c r="V205" i="15"/>
  <c r="V197" i="15"/>
  <c r="V169" i="15"/>
  <c r="V165" i="15"/>
  <c r="V161" i="15"/>
  <c r="R19" i="9"/>
  <c r="J31" i="9"/>
  <c r="J43" i="9"/>
  <c r="R46" i="9"/>
  <c r="R47" i="9"/>
  <c r="R70" i="9"/>
  <c r="J81" i="9"/>
  <c r="R82" i="9"/>
  <c r="R83" i="9"/>
  <c r="J89" i="9"/>
  <c r="R95" i="9"/>
  <c r="N86" i="12"/>
  <c r="Z89" i="12"/>
  <c r="N93" i="12"/>
  <c r="L102" i="12"/>
  <c r="D163" i="12"/>
  <c r="F176" i="12"/>
  <c r="X257" i="12"/>
  <c r="F250" i="15"/>
  <c r="F241" i="15"/>
  <c r="F240" i="15"/>
  <c r="F213" i="15"/>
  <c r="F212" i="15"/>
  <c r="F201" i="15"/>
  <c r="F177" i="15"/>
  <c r="F173" i="15"/>
  <c r="F172" i="15"/>
  <c r="F249" i="15"/>
  <c r="F224" i="15"/>
  <c r="F192" i="15"/>
  <c r="F184" i="15"/>
  <c r="F168" i="15"/>
  <c r="F164" i="15"/>
  <c r="F243" i="15"/>
  <c r="F242" i="15"/>
  <c r="F235" i="15"/>
  <c r="F231" i="15"/>
  <c r="F219" i="15"/>
  <c r="F203" i="15"/>
  <c r="F202" i="15"/>
  <c r="F155" i="15"/>
  <c r="F151" i="15"/>
  <c r="F147" i="15"/>
  <c r="F143" i="15"/>
  <c r="F139" i="15"/>
  <c r="F135" i="15"/>
  <c r="F131" i="15"/>
  <c r="F127" i="15"/>
  <c r="F123" i="15"/>
  <c r="F119" i="15"/>
  <c r="F115" i="15"/>
  <c r="F111" i="15"/>
  <c r="F107" i="15"/>
  <c r="F106" i="15"/>
  <c r="F214" i="15"/>
  <c r="F194" i="15"/>
  <c r="F193" i="15"/>
  <c r="F186" i="15"/>
  <c r="F185" i="15"/>
  <c r="F178" i="15"/>
  <c r="F174" i="15"/>
  <c r="F258" i="15"/>
  <c r="F225" i="15"/>
  <c r="F205" i="15"/>
  <c r="F204" i="15"/>
  <c r="F169" i="15"/>
  <c r="F165" i="15"/>
  <c r="F262" i="15"/>
  <c r="F257" i="15"/>
  <c r="F244" i="15"/>
  <c r="F236" i="15"/>
  <c r="F232" i="15"/>
  <c r="F220" i="15"/>
  <c r="F196" i="15"/>
  <c r="F195" i="15"/>
  <c r="F188" i="15"/>
  <c r="F187" i="15"/>
  <c r="F156" i="15"/>
  <c r="F152" i="15"/>
  <c r="F148" i="15"/>
  <c r="F144" i="15"/>
  <c r="F140" i="15"/>
  <c r="F136" i="15"/>
  <c r="F132" i="15"/>
  <c r="F128" i="15"/>
  <c r="F124" i="15"/>
  <c r="F120" i="15"/>
  <c r="F116" i="15"/>
  <c r="F112" i="15"/>
  <c r="F108" i="15"/>
  <c r="F256" i="15"/>
  <c r="F227" i="15"/>
  <c r="F226" i="15"/>
  <c r="F215" i="15"/>
  <c r="F207" i="15"/>
  <c r="F206" i="15"/>
  <c r="F179" i="15"/>
  <c r="F175" i="15"/>
  <c r="F255" i="15"/>
  <c r="F238" i="15"/>
  <c r="F237" i="15"/>
  <c r="F222" i="15"/>
  <c r="F221" i="15"/>
  <c r="F198" i="15"/>
  <c r="F197" i="15"/>
  <c r="F170" i="15"/>
  <c r="F166" i="15"/>
  <c r="F162" i="15"/>
  <c r="F161" i="15"/>
  <c r="F254" i="15"/>
  <c r="F245" i="15"/>
  <c r="F233" i="15"/>
  <c r="F209" i="15"/>
  <c r="F208" i="15"/>
  <c r="F189" i="15"/>
  <c r="F181" i="15"/>
  <c r="F180" i="15"/>
  <c r="F160" i="15"/>
  <c r="F153" i="15"/>
  <c r="F149" i="15"/>
  <c r="F145" i="15"/>
  <c r="F141" i="15"/>
  <c r="F137" i="15"/>
  <c r="F133" i="15"/>
  <c r="F129" i="15"/>
  <c r="F125" i="15"/>
  <c r="F121" i="15"/>
  <c r="F117" i="15"/>
  <c r="F113" i="15"/>
  <c r="F109" i="15"/>
  <c r="F253" i="15"/>
  <c r="F228" i="15"/>
  <c r="F216" i="15"/>
  <c r="F200" i="15"/>
  <c r="F199" i="15"/>
  <c r="F176" i="15"/>
  <c r="D158" i="15"/>
  <c r="L12" i="15"/>
  <c r="F251" i="15"/>
  <c r="F234" i="15"/>
  <c r="F230" i="15"/>
  <c r="F229" i="15"/>
  <c r="F218" i="15"/>
  <c r="F217" i="15"/>
  <c r="F154" i="15"/>
  <c r="F150" i="15"/>
  <c r="F146" i="15"/>
  <c r="F142" i="15"/>
  <c r="F138" i="15"/>
  <c r="F134" i="15"/>
  <c r="F130" i="15"/>
  <c r="F126" i="15"/>
  <c r="F122" i="15"/>
  <c r="F118" i="15"/>
  <c r="F114" i="15"/>
  <c r="F110" i="15"/>
  <c r="N40" i="15"/>
  <c r="L40" i="15"/>
  <c r="Z61" i="15"/>
  <c r="L72" i="15"/>
  <c r="N72" i="15" s="1"/>
  <c r="Z76" i="15"/>
  <c r="Z104" i="15"/>
  <c r="F171" i="15"/>
  <c r="Z212" i="15"/>
  <c r="F252" i="15"/>
  <c r="N29" i="15"/>
  <c r="N33" i="15"/>
  <c r="N37" i="15"/>
  <c r="N41" i="15"/>
  <c r="N45" i="15"/>
  <c r="N49" i="15"/>
  <c r="N53" i="15"/>
  <c r="N57" i="15"/>
  <c r="N61" i="15"/>
  <c r="N65" i="15"/>
  <c r="N69" i="15"/>
  <c r="N73" i="15"/>
  <c r="N77" i="15"/>
  <c r="N81" i="15"/>
  <c r="N85" i="15"/>
  <c r="N89" i="15"/>
  <c r="N93" i="15"/>
  <c r="N97" i="15"/>
  <c r="N101" i="15"/>
  <c r="Z253" i="15"/>
  <c r="Z19" i="18"/>
  <c r="X19" i="18"/>
  <c r="Z21" i="18"/>
  <c r="X21" i="18"/>
  <c r="Z23" i="18"/>
  <c r="X23" i="18"/>
  <c r="Z25" i="18"/>
  <c r="X27" i="18"/>
  <c r="Z27" i="18" s="1"/>
  <c r="Z29" i="18"/>
  <c r="X31" i="18"/>
  <c r="Z31" i="18" s="1"/>
  <c r="Z33" i="18"/>
  <c r="X35" i="18"/>
  <c r="Z35" i="18" s="1"/>
  <c r="Z37" i="18"/>
  <c r="Z39" i="18"/>
  <c r="X39" i="18"/>
  <c r="Z41" i="18"/>
  <c r="X43" i="18"/>
  <c r="Z43" i="18" s="1"/>
  <c r="X45" i="18"/>
  <c r="Z45" i="18" s="1"/>
  <c r="X49" i="18"/>
  <c r="X72" i="18"/>
  <c r="Z72" i="18" s="1"/>
  <c r="X74" i="18"/>
  <c r="Z74" i="18"/>
  <c r="X76" i="18"/>
  <c r="Z76" i="18" s="1"/>
  <c r="X78" i="18"/>
  <c r="Z78" i="18"/>
  <c r="N92" i="18"/>
  <c r="N96" i="18"/>
  <c r="Z109" i="18"/>
  <c r="N185" i="18"/>
  <c r="R216" i="18"/>
  <c r="L262" i="18"/>
  <c r="N262" i="18" s="1"/>
  <c r="H274" i="18"/>
  <c r="H12" i="21"/>
  <c r="L13" i="21"/>
  <c r="N13" i="21" s="1"/>
  <c r="Z17" i="21"/>
  <c r="X28" i="21"/>
  <c r="Z28" i="21" s="1"/>
  <c r="Z38" i="21"/>
  <c r="N62" i="21"/>
  <c r="X64" i="21"/>
  <c r="Z64" i="21" s="1"/>
  <c r="Z33" i="24"/>
  <c r="Z49" i="24"/>
  <c r="L250" i="15"/>
  <c r="Z53" i="18"/>
  <c r="X55" i="18"/>
  <c r="Z55" i="18" s="1"/>
  <c r="Z57" i="18"/>
  <c r="X86" i="18"/>
  <c r="Z86" i="18"/>
  <c r="N108" i="18"/>
  <c r="Z113" i="18"/>
  <c r="X122" i="18"/>
  <c r="Z122" i="18" s="1"/>
  <c r="V93" i="21"/>
  <c r="V81" i="21"/>
  <c r="V73" i="21"/>
  <c r="V65" i="21"/>
  <c r="V53" i="21"/>
  <c r="V45" i="21"/>
  <c r="V92" i="21"/>
  <c r="V80" i="21"/>
  <c r="V76" i="21"/>
  <c r="V68" i="21"/>
  <c r="V56" i="21"/>
  <c r="V44" i="21"/>
  <c r="V40" i="21"/>
  <c r="V95" i="21"/>
  <c r="V87" i="21"/>
  <c r="V83" i="21"/>
  <c r="V75" i="21"/>
  <c r="V67" i="21"/>
  <c r="V55" i="21"/>
  <c r="V47" i="21"/>
  <c r="V35" i="21"/>
  <c r="V31" i="21"/>
  <c r="V94" i="21"/>
  <c r="V82" i="21"/>
  <c r="V70" i="21"/>
  <c r="V58" i="21"/>
  <c r="V46" i="21"/>
  <c r="V22" i="21"/>
  <c r="V77" i="21"/>
  <c r="V69" i="21"/>
  <c r="V57" i="21"/>
  <c r="V49" i="21"/>
  <c r="V41" i="21"/>
  <c r="V98" i="21"/>
  <c r="V96" i="21"/>
  <c r="V88" i="21"/>
  <c r="V84" i="21"/>
  <c r="V60" i="21"/>
  <c r="V48" i="21"/>
  <c r="V36" i="21"/>
  <c r="V32" i="21"/>
  <c r="V71" i="21"/>
  <c r="V59" i="21"/>
  <c r="V51" i="21"/>
  <c r="V23" i="21"/>
  <c r="V78" i="21"/>
  <c r="V62" i="21"/>
  <c r="V50" i="21"/>
  <c r="V42" i="21"/>
  <c r="V38" i="21"/>
  <c r="V89" i="21"/>
  <c r="V85" i="21"/>
  <c r="V61" i="21"/>
  <c r="V37" i="21"/>
  <c r="V33" i="21"/>
  <c r="V29" i="21"/>
  <c r="V102" i="21"/>
  <c r="V72" i="21"/>
  <c r="V64" i="21"/>
  <c r="V52" i="21"/>
  <c r="V28" i="21"/>
  <c r="V26" i="21"/>
  <c r="V24" i="21"/>
  <c r="V90" i="21"/>
  <c r="V86" i="21"/>
  <c r="V74" i="21"/>
  <c r="V66" i="21"/>
  <c r="V54" i="21"/>
  <c r="V34" i="21"/>
  <c r="V30" i="21"/>
  <c r="N58" i="21"/>
  <c r="L58" i="21"/>
  <c r="Z62" i="21"/>
  <c r="N76" i="21"/>
  <c r="V79" i="21"/>
  <c r="Z21" i="24"/>
  <c r="Z28" i="24"/>
  <c r="X28" i="24"/>
  <c r="Z35" i="24"/>
  <c r="L77" i="24"/>
  <c r="N77" i="24" s="1"/>
  <c r="X258" i="12"/>
  <c r="Z258" i="12" s="1"/>
  <c r="P249" i="15"/>
  <c r="X249" i="15" s="1"/>
  <c r="N24" i="18"/>
  <c r="N28" i="18"/>
  <c r="N32" i="18"/>
  <c r="N36" i="18"/>
  <c r="N40" i="18"/>
  <c r="Z59" i="18"/>
  <c r="X59" i="18"/>
  <c r="X61" i="18"/>
  <c r="Z61" i="18" s="1"/>
  <c r="X90" i="18"/>
  <c r="Z90" i="18"/>
  <c r="X94" i="18"/>
  <c r="Z94" i="18" s="1"/>
  <c r="X98" i="18"/>
  <c r="Z98" i="18" s="1"/>
  <c r="X102" i="18"/>
  <c r="Z102" i="18" s="1"/>
  <c r="L222" i="18"/>
  <c r="N224" i="18"/>
  <c r="R272" i="18"/>
  <c r="L187" i="12"/>
  <c r="N187" i="12" s="1"/>
  <c r="L195" i="12"/>
  <c r="N195" i="12" s="1"/>
  <c r="X209" i="12"/>
  <c r="Z209" i="12" s="1"/>
  <c r="L215" i="12"/>
  <c r="X237" i="12"/>
  <c r="D257" i="12"/>
  <c r="X259" i="12"/>
  <c r="Z259" i="12" s="1"/>
  <c r="L265" i="12"/>
  <c r="N265" i="12" s="1"/>
  <c r="Z13" i="15"/>
  <c r="X14" i="18"/>
  <c r="Z14" i="18"/>
  <c r="Z63" i="18"/>
  <c r="X63" i="18"/>
  <c r="X106" i="18"/>
  <c r="Z106" i="18"/>
  <c r="R197" i="18"/>
  <c r="N222" i="18"/>
  <c r="R237" i="18"/>
  <c r="N70" i="21"/>
  <c r="L70" i="21"/>
  <c r="Z76" i="21"/>
  <c r="X16" i="24"/>
  <c r="Z16" i="24" s="1"/>
  <c r="Z45" i="24"/>
  <c r="Z92" i="24"/>
  <c r="L19" i="15"/>
  <c r="N19" i="15" s="1"/>
  <c r="L23" i="15"/>
  <c r="N23" i="15" s="1"/>
  <c r="L27" i="15"/>
  <c r="N27" i="15" s="1"/>
  <c r="L31" i="15"/>
  <c r="N31" i="15" s="1"/>
  <c r="L35" i="15"/>
  <c r="N35" i="15" s="1"/>
  <c r="L39" i="15"/>
  <c r="N39" i="15" s="1"/>
  <c r="L43" i="15"/>
  <c r="N43" i="15" s="1"/>
  <c r="L47" i="15"/>
  <c r="N47" i="15" s="1"/>
  <c r="L51" i="15"/>
  <c r="N51" i="15" s="1"/>
  <c r="L55" i="15"/>
  <c r="L59" i="15"/>
  <c r="N59" i="15" s="1"/>
  <c r="L63" i="15"/>
  <c r="N63" i="15" s="1"/>
  <c r="L67" i="15"/>
  <c r="N67" i="15" s="1"/>
  <c r="L71" i="15"/>
  <c r="N71" i="15" s="1"/>
  <c r="L75" i="15"/>
  <c r="N75" i="15" s="1"/>
  <c r="L79" i="15"/>
  <c r="L83" i="15"/>
  <c r="N83" i="15" s="1"/>
  <c r="L87" i="15"/>
  <c r="N87" i="15" s="1"/>
  <c r="L91" i="15"/>
  <c r="L95" i="15"/>
  <c r="L99" i="15"/>
  <c r="L103" i="15"/>
  <c r="N103" i="15" s="1"/>
  <c r="T249" i="15"/>
  <c r="F279" i="18"/>
  <c r="F270" i="18"/>
  <c r="F258" i="18"/>
  <c r="F234" i="18"/>
  <c r="F233" i="18"/>
  <c r="F214" i="18"/>
  <c r="F206" i="18"/>
  <c r="F205" i="18"/>
  <c r="F185" i="18"/>
  <c r="F178" i="18"/>
  <c r="F174" i="18"/>
  <c r="F170" i="18"/>
  <c r="F166" i="18"/>
  <c r="F162" i="18"/>
  <c r="F158" i="18"/>
  <c r="F154" i="18"/>
  <c r="F150" i="18"/>
  <c r="F146" i="18"/>
  <c r="F142" i="18"/>
  <c r="F138" i="18"/>
  <c r="F134" i="18"/>
  <c r="F130" i="18"/>
  <c r="F126" i="18"/>
  <c r="F278" i="18"/>
  <c r="F253" i="18"/>
  <c r="F241" i="18"/>
  <c r="F225" i="18"/>
  <c r="F224" i="18"/>
  <c r="F201" i="18"/>
  <c r="D183" i="18"/>
  <c r="F183" i="18" s="1"/>
  <c r="F277" i="18"/>
  <c r="F272" i="18"/>
  <c r="F271" i="18"/>
  <c r="F264" i="18"/>
  <c r="F248" i="18"/>
  <c r="F236" i="18"/>
  <c r="F235" i="18"/>
  <c r="F216" i="18"/>
  <c r="F215" i="18"/>
  <c r="F208" i="18"/>
  <c r="F207" i="18"/>
  <c r="F196" i="18"/>
  <c r="F192" i="18"/>
  <c r="F188" i="18"/>
  <c r="F276" i="18"/>
  <c r="F259" i="18"/>
  <c r="F255" i="18"/>
  <c r="F254" i="18"/>
  <c r="F243" i="18"/>
  <c r="F242" i="18"/>
  <c r="F179" i="18"/>
  <c r="F175" i="18"/>
  <c r="F171" i="18"/>
  <c r="F167" i="18"/>
  <c r="F163" i="18"/>
  <c r="F159" i="18"/>
  <c r="F155" i="18"/>
  <c r="F151" i="18"/>
  <c r="F147" i="18"/>
  <c r="F143" i="18"/>
  <c r="F139" i="18"/>
  <c r="F135" i="18"/>
  <c r="F131" i="18"/>
  <c r="F127" i="18"/>
  <c r="F275" i="18"/>
  <c r="F266" i="18"/>
  <c r="F265" i="18"/>
  <c r="F238" i="18"/>
  <c r="F237" i="18"/>
  <c r="F226" i="18"/>
  <c r="F202" i="18"/>
  <c r="F198" i="18"/>
  <c r="F197" i="18"/>
  <c r="F274" i="18"/>
  <c r="F249" i="18"/>
  <c r="F217" i="18"/>
  <c r="F209" i="18"/>
  <c r="F193" i="18"/>
  <c r="F189" i="18"/>
  <c r="F285" i="18"/>
  <c r="F268" i="18"/>
  <c r="F267" i="18"/>
  <c r="F260" i="18"/>
  <c r="F256" i="18"/>
  <c r="F244" i="18"/>
  <c r="F228" i="18"/>
  <c r="F227" i="18"/>
  <c r="F180" i="18"/>
  <c r="F176" i="18"/>
  <c r="F172" i="18"/>
  <c r="F168" i="18"/>
  <c r="F164" i="18"/>
  <c r="F160" i="18"/>
  <c r="F156" i="18"/>
  <c r="F152" i="18"/>
  <c r="F148" i="18"/>
  <c r="F144" i="18"/>
  <c r="F140" i="18"/>
  <c r="F136" i="18"/>
  <c r="F132" i="18"/>
  <c r="F128" i="18"/>
  <c r="F289" i="18"/>
  <c r="F284" i="18"/>
  <c r="F239" i="18"/>
  <c r="F219" i="18"/>
  <c r="F218" i="18"/>
  <c r="F211" i="18"/>
  <c r="F210" i="18"/>
  <c r="F203" i="18"/>
  <c r="F199" i="18"/>
  <c r="F283" i="18"/>
  <c r="F250" i="18"/>
  <c r="F230" i="18"/>
  <c r="F229" i="18"/>
  <c r="F194" i="18"/>
  <c r="F190" i="18"/>
  <c r="F282" i="18"/>
  <c r="F269" i="18"/>
  <c r="F261" i="18"/>
  <c r="F257" i="18"/>
  <c r="F245" i="18"/>
  <c r="F221" i="18"/>
  <c r="F220" i="18"/>
  <c r="F213" i="18"/>
  <c r="F212" i="18"/>
  <c r="F181" i="18"/>
  <c r="F177" i="18"/>
  <c r="F173" i="18"/>
  <c r="F169" i="18"/>
  <c r="F165" i="18"/>
  <c r="F161" i="18"/>
  <c r="F157" i="18"/>
  <c r="F153" i="18"/>
  <c r="F149" i="18"/>
  <c r="F145" i="18"/>
  <c r="F141" i="18"/>
  <c r="F137" i="18"/>
  <c r="F133" i="18"/>
  <c r="F129" i="18"/>
  <c r="F125" i="18"/>
  <c r="F124" i="18"/>
  <c r="F280" i="18"/>
  <c r="F263" i="18"/>
  <c r="F262" i="18"/>
  <c r="F247" i="18"/>
  <c r="F246" i="18"/>
  <c r="F223" i="18"/>
  <c r="F222" i="18"/>
  <c r="F195" i="18"/>
  <c r="F191" i="18"/>
  <c r="F187" i="18"/>
  <c r="F186" i="18"/>
  <c r="Z16" i="18"/>
  <c r="X16" i="18"/>
  <c r="X67" i="18"/>
  <c r="Z67" i="18" s="1"/>
  <c r="Z69" i="18"/>
  <c r="X73" i="18"/>
  <c r="X77" i="18"/>
  <c r="Z77" i="18" s="1"/>
  <c r="X81" i="18"/>
  <c r="Z117" i="18"/>
  <c r="L186" i="18"/>
  <c r="N186" i="18" s="1"/>
  <c r="R188" i="18"/>
  <c r="F200" i="18"/>
  <c r="N242" i="18"/>
  <c r="N254" i="18"/>
  <c r="L280" i="18"/>
  <c r="N280" i="18" s="1"/>
  <c r="N14" i="21"/>
  <c r="N45" i="21"/>
  <c r="N56" i="21"/>
  <c r="V63" i="21"/>
  <c r="Z25" i="24"/>
  <c r="X32" i="24"/>
  <c r="Z32" i="24" s="1"/>
  <c r="Z43" i="24"/>
  <c r="H257" i="12"/>
  <c r="L160" i="15"/>
  <c r="N160" i="15" s="1"/>
  <c r="L180" i="15"/>
  <c r="N180" i="15" s="1"/>
  <c r="X202" i="15"/>
  <c r="Z202" i="15" s="1"/>
  <c r="L208" i="15"/>
  <c r="X242" i="15"/>
  <c r="Z242" i="15" s="1"/>
  <c r="L254" i="15"/>
  <c r="X18" i="18"/>
  <c r="Z18" i="18"/>
  <c r="X20" i="18"/>
  <c r="Z20" i="18" s="1"/>
  <c r="X22" i="18"/>
  <c r="Z22" i="18"/>
  <c r="X24" i="18"/>
  <c r="Z24" i="18" s="1"/>
  <c r="X26" i="18"/>
  <c r="Z26" i="18" s="1"/>
  <c r="X28" i="18"/>
  <c r="Z28" i="18" s="1"/>
  <c r="X30" i="18"/>
  <c r="Z30" i="18"/>
  <c r="X32" i="18"/>
  <c r="Z32" i="18" s="1"/>
  <c r="X34" i="18"/>
  <c r="Z34" i="18"/>
  <c r="X36" i="18"/>
  <c r="Z36" i="18" s="1"/>
  <c r="X38" i="18"/>
  <c r="Z38" i="18" s="1"/>
  <c r="X40" i="18"/>
  <c r="Z40" i="18" s="1"/>
  <c r="X42" i="18"/>
  <c r="Z42" i="18"/>
  <c r="X44" i="18"/>
  <c r="Z44" i="18" s="1"/>
  <c r="Z71" i="18"/>
  <c r="X71" i="18"/>
  <c r="Z73" i="18"/>
  <c r="X75" i="18"/>
  <c r="Z75" i="18" s="1"/>
  <c r="X79" i="18"/>
  <c r="Z79" i="18" s="1"/>
  <c r="Z81" i="18"/>
  <c r="Z119" i="18"/>
  <c r="F252" i="18"/>
  <c r="Z274" i="18"/>
  <c r="P12" i="21"/>
  <c r="X14" i="21"/>
  <c r="Z14" i="21" s="1"/>
  <c r="X46" i="18"/>
  <c r="Z46" i="18"/>
  <c r="Z48" i="18"/>
  <c r="X48" i="18"/>
  <c r="X50" i="18"/>
  <c r="Z50" i="18" s="1"/>
  <c r="Z52" i="18"/>
  <c r="X52" i="18"/>
  <c r="N64" i="18"/>
  <c r="X83" i="18"/>
  <c r="Z83" i="18" s="1"/>
  <c r="X85" i="18"/>
  <c r="Z85" i="18" s="1"/>
  <c r="X110" i="18"/>
  <c r="Z110" i="18"/>
  <c r="N116" i="18"/>
  <c r="Z121" i="18"/>
  <c r="N220" i="18"/>
  <c r="Z233" i="18"/>
  <c r="Z242" i="18"/>
  <c r="Z254" i="18"/>
  <c r="R265" i="18"/>
  <c r="N276" i="18"/>
  <c r="N22" i="21"/>
  <c r="Z56" i="21"/>
  <c r="N68" i="21"/>
  <c r="Z20" i="24"/>
  <c r="X20" i="24"/>
  <c r="Z47" i="24"/>
  <c r="X54" i="18"/>
  <c r="Z54" i="18" s="1"/>
  <c r="Z56" i="18"/>
  <c r="X56" i="18"/>
  <c r="Z87" i="18"/>
  <c r="X87" i="18"/>
  <c r="R196" i="18"/>
  <c r="P274" i="18"/>
  <c r="X274" i="18" s="1"/>
  <c r="X276" i="18"/>
  <c r="Z276" i="18" s="1"/>
  <c r="Z36" i="24"/>
  <c r="X36" i="24"/>
  <c r="X15" i="15"/>
  <c r="Z15" i="15" s="1"/>
  <c r="X19" i="15"/>
  <c r="Z19" i="15" s="1"/>
  <c r="X23" i="15"/>
  <c r="Z23" i="15" s="1"/>
  <c r="X27" i="15"/>
  <c r="Z27" i="15" s="1"/>
  <c r="X31" i="15"/>
  <c r="Z31" i="15" s="1"/>
  <c r="X35" i="15"/>
  <c r="X39" i="15"/>
  <c r="Z39" i="15" s="1"/>
  <c r="X43" i="15"/>
  <c r="Z43" i="15" s="1"/>
  <c r="X47" i="15"/>
  <c r="Z47" i="15" s="1"/>
  <c r="X51" i="15"/>
  <c r="Z51" i="15" s="1"/>
  <c r="X55" i="15"/>
  <c r="Z55" i="15" s="1"/>
  <c r="X59" i="15"/>
  <c r="Z59" i="15" s="1"/>
  <c r="X63" i="15"/>
  <c r="Z63" i="15" s="1"/>
  <c r="X67" i="15"/>
  <c r="Z67" i="15" s="1"/>
  <c r="X71" i="15"/>
  <c r="Z71" i="15" s="1"/>
  <c r="X75" i="15"/>
  <c r="Z75" i="15" s="1"/>
  <c r="X79" i="15"/>
  <c r="Z79" i="15" s="1"/>
  <c r="X83" i="15"/>
  <c r="Z83" i="15" s="1"/>
  <c r="X87" i="15"/>
  <c r="Z87" i="15" s="1"/>
  <c r="X91" i="15"/>
  <c r="Z91" i="15" s="1"/>
  <c r="X95" i="15"/>
  <c r="Z95" i="15" s="1"/>
  <c r="X99" i="15"/>
  <c r="X103" i="15"/>
  <c r="Z103" i="15" s="1"/>
  <c r="R285" i="18"/>
  <c r="R267" i="18"/>
  <c r="R266" i="18"/>
  <c r="R238" i="18"/>
  <c r="R227" i="18"/>
  <c r="R226" i="18"/>
  <c r="R202" i="18"/>
  <c r="R198" i="18"/>
  <c r="R284" i="18"/>
  <c r="R249" i="18"/>
  <c r="R218" i="18"/>
  <c r="R217" i="18"/>
  <c r="R210" i="18"/>
  <c r="R209" i="18"/>
  <c r="R193" i="18"/>
  <c r="R189" i="18"/>
  <c r="R283" i="18"/>
  <c r="R268" i="18"/>
  <c r="R260" i="18"/>
  <c r="R256" i="18"/>
  <c r="R244" i="18"/>
  <c r="R229" i="18"/>
  <c r="R228" i="18"/>
  <c r="R180" i="18"/>
  <c r="R176" i="18"/>
  <c r="R172" i="18"/>
  <c r="R168" i="18"/>
  <c r="R164" i="18"/>
  <c r="R160" i="18"/>
  <c r="R156" i="18"/>
  <c r="R152" i="18"/>
  <c r="R148" i="18"/>
  <c r="R144" i="18"/>
  <c r="R140" i="18"/>
  <c r="R136" i="18"/>
  <c r="R132" i="18"/>
  <c r="R128" i="18"/>
  <c r="R289" i="18"/>
  <c r="R282" i="18"/>
  <c r="R239" i="18"/>
  <c r="R220" i="18"/>
  <c r="R219" i="18"/>
  <c r="R212" i="18"/>
  <c r="R211" i="18"/>
  <c r="R203" i="18"/>
  <c r="R199" i="18"/>
  <c r="R124" i="18"/>
  <c r="R281" i="18"/>
  <c r="R251" i="18"/>
  <c r="R250" i="18"/>
  <c r="R231" i="18"/>
  <c r="R230" i="18"/>
  <c r="R194" i="18"/>
  <c r="R190" i="18"/>
  <c r="R280" i="18"/>
  <c r="R269" i="18"/>
  <c r="R262" i="18"/>
  <c r="R261" i="18"/>
  <c r="R257" i="18"/>
  <c r="R246" i="18"/>
  <c r="R245" i="18"/>
  <c r="R222" i="18"/>
  <c r="R221" i="18"/>
  <c r="R213" i="18"/>
  <c r="R186" i="18"/>
  <c r="R181" i="18"/>
  <c r="R177" i="18"/>
  <c r="R173" i="18"/>
  <c r="R169" i="18"/>
  <c r="R165" i="18"/>
  <c r="R161" i="18"/>
  <c r="R157" i="18"/>
  <c r="R153" i="18"/>
  <c r="R149" i="18"/>
  <c r="R145" i="18"/>
  <c r="R141" i="18"/>
  <c r="R137" i="18"/>
  <c r="R133" i="18"/>
  <c r="R129" i="18"/>
  <c r="R125" i="18"/>
  <c r="R279" i="18"/>
  <c r="R252" i="18"/>
  <c r="R240" i="18"/>
  <c r="R233" i="18"/>
  <c r="R232" i="18"/>
  <c r="R205" i="18"/>
  <c r="R204" i="18"/>
  <c r="R200" i="18"/>
  <c r="R185" i="18"/>
  <c r="R183" i="18"/>
  <c r="X12" i="18"/>
  <c r="Z12" i="18" s="1"/>
  <c r="R278" i="18"/>
  <c r="R263" i="18"/>
  <c r="R247" i="18"/>
  <c r="R224" i="18"/>
  <c r="R223" i="18"/>
  <c r="R195" i="18"/>
  <c r="R191" i="18"/>
  <c r="R187" i="18"/>
  <c r="P183" i="18"/>
  <c r="R277" i="18"/>
  <c r="R271" i="18"/>
  <c r="R270" i="18"/>
  <c r="R258" i="18"/>
  <c r="R235" i="18"/>
  <c r="R234" i="18"/>
  <c r="R215" i="18"/>
  <c r="R214" i="18"/>
  <c r="R207" i="18"/>
  <c r="R206" i="18"/>
  <c r="R178" i="18"/>
  <c r="R174" i="18"/>
  <c r="R170" i="18"/>
  <c r="R166" i="18"/>
  <c r="R162" i="18"/>
  <c r="R158" i="18"/>
  <c r="R154" i="18"/>
  <c r="R150" i="18"/>
  <c r="R146" i="18"/>
  <c r="R142" i="18"/>
  <c r="R138" i="18"/>
  <c r="R134" i="18"/>
  <c r="R130" i="18"/>
  <c r="R126" i="18"/>
  <c r="R276" i="18"/>
  <c r="R254" i="18"/>
  <c r="R253" i="18"/>
  <c r="R242" i="18"/>
  <c r="R241" i="18"/>
  <c r="R225" i="18"/>
  <c r="R201" i="18"/>
  <c r="R274" i="18"/>
  <c r="R259" i="18"/>
  <c r="R255" i="18"/>
  <c r="R243" i="18"/>
  <c r="R179" i="18"/>
  <c r="R175" i="18"/>
  <c r="R171" i="18"/>
  <c r="R167" i="18"/>
  <c r="R163" i="18"/>
  <c r="R159" i="18"/>
  <c r="R155" i="18"/>
  <c r="R151" i="18"/>
  <c r="R147" i="18"/>
  <c r="R143" i="18"/>
  <c r="R139" i="18"/>
  <c r="R135" i="18"/>
  <c r="R131" i="18"/>
  <c r="R127" i="18"/>
  <c r="X58" i="18"/>
  <c r="Z58" i="18"/>
  <c r="X60" i="18"/>
  <c r="Z60" i="18" s="1"/>
  <c r="N72" i="18"/>
  <c r="N80" i="18"/>
  <c r="Z89" i="18"/>
  <c r="X91" i="18"/>
  <c r="Z91" i="18" s="1"/>
  <c r="Z93" i="18"/>
  <c r="X95" i="18"/>
  <c r="Z95" i="18" s="1"/>
  <c r="Z97" i="18"/>
  <c r="Z99" i="18"/>
  <c r="X99" i="18"/>
  <c r="Z101" i="18"/>
  <c r="X105" i="18"/>
  <c r="Z105" i="18" s="1"/>
  <c r="X114" i="18"/>
  <c r="Z114" i="18"/>
  <c r="R208" i="18"/>
  <c r="Z220" i="18"/>
  <c r="F232" i="18"/>
  <c r="L246" i="18"/>
  <c r="R248" i="18"/>
  <c r="Z284" i="18"/>
  <c r="T100" i="21"/>
  <c r="Z68" i="21"/>
  <c r="Z29" i="24"/>
  <c r="N49" i="24"/>
  <c r="L237" i="12"/>
  <c r="N237" i="12" s="1"/>
  <c r="L259" i="12"/>
  <c r="X265" i="12"/>
  <c r="Z265" i="12" s="1"/>
  <c r="Z13" i="18"/>
  <c r="X13" i="18"/>
  <c r="Z15" i="18"/>
  <c r="X15" i="18"/>
  <c r="X62" i="18"/>
  <c r="Z62" i="18" s="1"/>
  <c r="X64" i="18"/>
  <c r="Z64" i="18" s="1"/>
  <c r="N246" i="18"/>
  <c r="F251" i="18"/>
  <c r="N17" i="21"/>
  <c r="L17" i="21"/>
  <c r="Z15" i="24"/>
  <c r="X24" i="24"/>
  <c r="Z24" i="24" s="1"/>
  <c r="Z40" i="24"/>
  <c r="X40" i="24"/>
  <c r="X17" i="18"/>
  <c r="Z17" i="18" s="1"/>
  <c r="X66" i="18"/>
  <c r="Z66" i="18"/>
  <c r="X68" i="18"/>
  <c r="Z68" i="18" s="1"/>
  <c r="X70" i="18"/>
  <c r="Z70" i="18"/>
  <c r="X118" i="18"/>
  <c r="Z118" i="18"/>
  <c r="F204" i="18"/>
  <c r="R264" i="18"/>
  <c r="L274" i="18"/>
  <c r="F281" i="18"/>
  <c r="Z17" i="24"/>
  <c r="Z31" i="24"/>
  <c r="X44" i="24"/>
  <c r="Z44" i="24" s="1"/>
  <c r="L96" i="24"/>
  <c r="N96" i="24" s="1"/>
  <c r="J126" i="18"/>
  <c r="J130" i="18"/>
  <c r="J134" i="18"/>
  <c r="J138" i="18"/>
  <c r="J142" i="18"/>
  <c r="J146" i="18"/>
  <c r="J150" i="18"/>
  <c r="J154" i="18"/>
  <c r="J158" i="18"/>
  <c r="J162" i="18"/>
  <c r="J166" i="18"/>
  <c r="J170" i="18"/>
  <c r="J174" i="18"/>
  <c r="J178" i="18"/>
  <c r="H183" i="18"/>
  <c r="J206" i="18"/>
  <c r="J214" i="18"/>
  <c r="J224" i="18"/>
  <c r="J234" i="18"/>
  <c r="J258" i="18"/>
  <c r="J270" i="18"/>
  <c r="J278" i="18"/>
  <c r="P12" i="24"/>
  <c r="J53" i="24"/>
  <c r="J57" i="24"/>
  <c r="J61" i="24"/>
  <c r="J65" i="24"/>
  <c r="J69" i="24"/>
  <c r="H74" i="24"/>
  <c r="F77" i="24"/>
  <c r="F78" i="24"/>
  <c r="F82" i="24"/>
  <c r="J92" i="24"/>
  <c r="F96" i="24"/>
  <c r="J97" i="24"/>
  <c r="F106" i="24"/>
  <c r="F114" i="24"/>
  <c r="X19" i="27"/>
  <c r="Z19" i="27" s="1"/>
  <c r="N23" i="27"/>
  <c r="Z72" i="27"/>
  <c r="N53" i="30"/>
  <c r="Z127" i="30"/>
  <c r="N12" i="18"/>
  <c r="J186" i="18"/>
  <c r="J200" i="18"/>
  <c r="J204" i="18"/>
  <c r="J222" i="18"/>
  <c r="J232" i="18"/>
  <c r="J240" i="18"/>
  <c r="J246" i="18"/>
  <c r="J252" i="18"/>
  <c r="J262" i="18"/>
  <c r="L279" i="18"/>
  <c r="N279" i="18" s="1"/>
  <c r="J280" i="18"/>
  <c r="F52" i="24"/>
  <c r="F56" i="24"/>
  <c r="F60" i="24"/>
  <c r="F64" i="24"/>
  <c r="F68" i="24"/>
  <c r="F72" i="24"/>
  <c r="J77" i="24"/>
  <c r="J87" i="24"/>
  <c r="J91" i="24"/>
  <c r="J96" i="24"/>
  <c r="L99" i="24"/>
  <c r="N99" i="24" s="1"/>
  <c r="J110" i="24"/>
  <c r="P12" i="27"/>
  <c r="N27" i="27"/>
  <c r="N86" i="27"/>
  <c r="Z88" i="27"/>
  <c r="P112" i="27"/>
  <c r="X112" i="27" s="1"/>
  <c r="X113" i="27"/>
  <c r="Z113" i="27" s="1"/>
  <c r="T12" i="30"/>
  <c r="J125" i="18"/>
  <c r="J129" i="18"/>
  <c r="J133" i="18"/>
  <c r="J137" i="18"/>
  <c r="J141" i="18"/>
  <c r="J145" i="18"/>
  <c r="J149" i="18"/>
  <c r="J153" i="18"/>
  <c r="J157" i="18"/>
  <c r="J161" i="18"/>
  <c r="J165" i="18"/>
  <c r="J169" i="18"/>
  <c r="J173" i="18"/>
  <c r="J177" i="18"/>
  <c r="J181" i="18"/>
  <c r="J213" i="18"/>
  <c r="J221" i="18"/>
  <c r="J231" i="18"/>
  <c r="J245" i="18"/>
  <c r="J251" i="18"/>
  <c r="J257" i="18"/>
  <c r="J261" i="18"/>
  <c r="J269" i="18"/>
  <c r="J281" i="18"/>
  <c r="D12" i="21"/>
  <c r="J52" i="24"/>
  <c r="J56" i="24"/>
  <c r="J60" i="24"/>
  <c r="J64" i="24"/>
  <c r="J68" i="24"/>
  <c r="J72" i="24"/>
  <c r="F81" i="24"/>
  <c r="F85" i="24"/>
  <c r="J86" i="24"/>
  <c r="J124" i="18"/>
  <c r="J190" i="18"/>
  <c r="J194" i="18"/>
  <c r="J212" i="18"/>
  <c r="J220" i="18"/>
  <c r="J230" i="18"/>
  <c r="J250" i="18"/>
  <c r="J282" i="18"/>
  <c r="J81" i="24"/>
  <c r="J85" i="24"/>
  <c r="F90" i="24"/>
  <c r="F95" i="24"/>
  <c r="J99" i="24"/>
  <c r="Z14" i="27"/>
  <c r="Z16" i="27"/>
  <c r="N31" i="27"/>
  <c r="Z38" i="27"/>
  <c r="Z84" i="27"/>
  <c r="X16" i="30"/>
  <c r="X80" i="18"/>
  <c r="Z80" i="18" s="1"/>
  <c r="X84" i="18"/>
  <c r="Z84" i="18" s="1"/>
  <c r="X88" i="18"/>
  <c r="Z88" i="18" s="1"/>
  <c r="X92" i="18"/>
  <c r="Z92" i="18" s="1"/>
  <c r="X96" i="18"/>
  <c r="Z96" i="18" s="1"/>
  <c r="X100" i="18"/>
  <c r="Z100" i="18" s="1"/>
  <c r="X104" i="18"/>
  <c r="Z104" i="18" s="1"/>
  <c r="X108" i="18"/>
  <c r="Z108" i="18" s="1"/>
  <c r="X112" i="18"/>
  <c r="Z112" i="18" s="1"/>
  <c r="X116" i="18"/>
  <c r="Z116" i="18" s="1"/>
  <c r="X120" i="18"/>
  <c r="Z120" i="18" s="1"/>
  <c r="J199" i="18"/>
  <c r="J203" i="18"/>
  <c r="J211" i="18"/>
  <c r="J219" i="18"/>
  <c r="J229" i="18"/>
  <c r="J239" i="18"/>
  <c r="J283" i="18"/>
  <c r="J289" i="18"/>
  <c r="F51" i="24"/>
  <c r="F55" i="24"/>
  <c r="F59" i="24"/>
  <c r="F63" i="24"/>
  <c r="F67" i="24"/>
  <c r="F71" i="24"/>
  <c r="J90" i="24"/>
  <c r="J95" i="24"/>
  <c r="N122" i="24"/>
  <c r="L122" i="24"/>
  <c r="N42" i="27"/>
  <c r="Z86" i="27"/>
  <c r="X86" i="27"/>
  <c r="N91" i="27"/>
  <c r="D12" i="30"/>
  <c r="X20" i="30"/>
  <c r="Z20" i="30" s="1"/>
  <c r="J128" i="18"/>
  <c r="J132" i="18"/>
  <c r="J136" i="18"/>
  <c r="J140" i="18"/>
  <c r="J144" i="18"/>
  <c r="J148" i="18"/>
  <c r="J152" i="18"/>
  <c r="J156" i="18"/>
  <c r="J160" i="18"/>
  <c r="J164" i="18"/>
  <c r="J168" i="18"/>
  <c r="J172" i="18"/>
  <c r="J176" i="18"/>
  <c r="J180" i="18"/>
  <c r="J210" i="18"/>
  <c r="J218" i="18"/>
  <c r="J228" i="18"/>
  <c r="J244" i="18"/>
  <c r="J256" i="18"/>
  <c r="J260" i="18"/>
  <c r="J268" i="18"/>
  <c r="J284" i="18"/>
  <c r="J51" i="24"/>
  <c r="J55" i="24"/>
  <c r="J59" i="24"/>
  <c r="J63" i="24"/>
  <c r="J67" i="24"/>
  <c r="J71" i="24"/>
  <c r="F80" i="24"/>
  <c r="F84" i="24"/>
  <c r="F94" i="24"/>
  <c r="F98" i="24"/>
  <c r="X99" i="24"/>
  <c r="L105" i="24"/>
  <c r="L113" i="24"/>
  <c r="N113" i="24" s="1"/>
  <c r="L117" i="24"/>
  <c r="J122" i="24"/>
  <c r="D12" i="27"/>
  <c r="L15" i="27"/>
  <c r="L39" i="27"/>
  <c r="X42" i="27"/>
  <c r="Z42" i="27" s="1"/>
  <c r="J153" i="30"/>
  <c r="J145" i="30"/>
  <c r="J141" i="30"/>
  <c r="J154" i="30"/>
  <c r="J159" i="30"/>
  <c r="J155" i="30"/>
  <c r="J135" i="30"/>
  <c r="J158" i="30"/>
  <c r="J146" i="30"/>
  <c r="J142" i="30"/>
  <c r="J163" i="30"/>
  <c r="J147" i="30"/>
  <c r="J148" i="30"/>
  <c r="J136" i="30"/>
  <c r="J149" i="30"/>
  <c r="J143" i="30"/>
  <c r="J137" i="30"/>
  <c r="J131" i="30"/>
  <c r="J150" i="30"/>
  <c r="J138" i="30"/>
  <c r="J151" i="30"/>
  <c r="J152" i="30"/>
  <c r="J144" i="30"/>
  <c r="J127" i="30"/>
  <c r="J107" i="30"/>
  <c r="J81" i="30"/>
  <c r="J77" i="30"/>
  <c r="J73" i="30"/>
  <c r="J69" i="30"/>
  <c r="J65" i="30"/>
  <c r="J61" i="30"/>
  <c r="J57" i="30"/>
  <c r="J128" i="30"/>
  <c r="J116" i="30"/>
  <c r="J108" i="30"/>
  <c r="J100" i="30"/>
  <c r="J139" i="30"/>
  <c r="J117" i="30"/>
  <c r="J109" i="30"/>
  <c r="J95" i="30"/>
  <c r="J91" i="30"/>
  <c r="J133" i="30"/>
  <c r="J118" i="30"/>
  <c r="J110" i="30"/>
  <c r="J96" i="30"/>
  <c r="J82" i="30"/>
  <c r="J78" i="30"/>
  <c r="J74" i="30"/>
  <c r="J70" i="30"/>
  <c r="J66" i="30"/>
  <c r="J62" i="30"/>
  <c r="J58" i="30"/>
  <c r="J129" i="30"/>
  <c r="J119" i="30"/>
  <c r="J101" i="30"/>
  <c r="J97" i="30"/>
  <c r="J87" i="30"/>
  <c r="J130" i="30"/>
  <c r="J120" i="30"/>
  <c r="J92" i="30"/>
  <c r="J88" i="30"/>
  <c r="J86" i="30"/>
  <c r="J140" i="30"/>
  <c r="J121" i="30"/>
  <c r="J111" i="30"/>
  <c r="H84" i="30"/>
  <c r="J79" i="30"/>
  <c r="J75" i="30"/>
  <c r="J71" i="30"/>
  <c r="J67" i="30"/>
  <c r="J63" i="30"/>
  <c r="J59" i="30"/>
  <c r="J122" i="30"/>
  <c r="J112" i="30"/>
  <c r="J102" i="30"/>
  <c r="J98" i="30"/>
  <c r="J123" i="30"/>
  <c r="J113" i="30"/>
  <c r="J103" i="30"/>
  <c r="J93" i="30"/>
  <c r="J89" i="30"/>
  <c r="J55" i="30"/>
  <c r="J134" i="30"/>
  <c r="J124" i="30"/>
  <c r="J114" i="30"/>
  <c r="J104" i="30"/>
  <c r="J80" i="30"/>
  <c r="J76" i="30"/>
  <c r="J72" i="30"/>
  <c r="J68" i="30"/>
  <c r="J64" i="30"/>
  <c r="J60" i="30"/>
  <c r="J56" i="30"/>
  <c r="J132" i="30"/>
  <c r="J126" i="30"/>
  <c r="J106" i="30"/>
  <c r="J94" i="30"/>
  <c r="J90" i="30"/>
  <c r="T122" i="36"/>
  <c r="V122" i="36" s="1"/>
  <c r="J189" i="18"/>
  <c r="J193" i="18"/>
  <c r="J209" i="18"/>
  <c r="J217" i="18"/>
  <c r="L218" i="18"/>
  <c r="N218" i="18" s="1"/>
  <c r="X224" i="18"/>
  <c r="Z224" i="18" s="1"/>
  <c r="J227" i="18"/>
  <c r="J249" i="18"/>
  <c r="J267" i="18"/>
  <c r="X278" i="18"/>
  <c r="Z278" i="18" s="1"/>
  <c r="L284" i="18"/>
  <c r="N284" i="18" s="1"/>
  <c r="J285" i="18"/>
  <c r="Z13" i="21"/>
  <c r="J80" i="24"/>
  <c r="J84" i="24"/>
  <c r="F89" i="24"/>
  <c r="Z96" i="24"/>
  <c r="F105" i="24"/>
  <c r="N117" i="24"/>
  <c r="H12" i="27"/>
  <c r="N15" i="27"/>
  <c r="N39" i="27"/>
  <c r="N112" i="27"/>
  <c r="Z36" i="30"/>
  <c r="L114" i="30"/>
  <c r="X103" i="18"/>
  <c r="Z103" i="18" s="1"/>
  <c r="X107" i="18"/>
  <c r="Z107" i="18" s="1"/>
  <c r="X111" i="18"/>
  <c r="Z111" i="18" s="1"/>
  <c r="X115" i="18"/>
  <c r="Z115" i="18" s="1"/>
  <c r="X119" i="18"/>
  <c r="J198" i="18"/>
  <c r="J202" i="18"/>
  <c r="J226" i="18"/>
  <c r="J238" i="18"/>
  <c r="J266" i="18"/>
  <c r="J274" i="18"/>
  <c r="L15" i="21"/>
  <c r="N15" i="21" s="1"/>
  <c r="L19" i="21"/>
  <c r="N19" i="21" s="1"/>
  <c r="F124" i="24"/>
  <c r="F122" i="24"/>
  <c r="F126" i="24"/>
  <c r="F115" i="24"/>
  <c r="F107" i="24"/>
  <c r="F131" i="24"/>
  <c r="F128" i="24"/>
  <c r="F109" i="24"/>
  <c r="F108" i="24"/>
  <c r="F116" i="24"/>
  <c r="F100" i="24"/>
  <c r="F99" i="24"/>
  <c r="F118" i="24"/>
  <c r="F117" i="24"/>
  <c r="F110" i="24"/>
  <c r="F102" i="24"/>
  <c r="F101" i="24"/>
  <c r="F120" i="24"/>
  <c r="F119" i="24"/>
  <c r="F112" i="24"/>
  <c r="F111" i="24"/>
  <c r="F104" i="24"/>
  <c r="F103" i="24"/>
  <c r="F49" i="24"/>
  <c r="F50" i="24"/>
  <c r="F54" i="24"/>
  <c r="F58" i="24"/>
  <c r="F62" i="24"/>
  <c r="F66" i="24"/>
  <c r="F70" i="24"/>
  <c r="J89" i="24"/>
  <c r="Z99" i="24"/>
  <c r="X15" i="27"/>
  <c r="Z15" i="27" s="1"/>
  <c r="Z52" i="30"/>
  <c r="J127" i="18"/>
  <c r="J131" i="18"/>
  <c r="J135" i="18"/>
  <c r="J139" i="18"/>
  <c r="J143" i="18"/>
  <c r="J147" i="18"/>
  <c r="J151" i="18"/>
  <c r="J155" i="18"/>
  <c r="J159" i="18"/>
  <c r="J163" i="18"/>
  <c r="J167" i="18"/>
  <c r="J171" i="18"/>
  <c r="J175" i="18"/>
  <c r="J179" i="18"/>
  <c r="J197" i="18"/>
  <c r="J237" i="18"/>
  <c r="J243" i="18"/>
  <c r="J255" i="18"/>
  <c r="J259" i="18"/>
  <c r="J265" i="18"/>
  <c r="J275" i="18"/>
  <c r="J126" i="24"/>
  <c r="J115" i="24"/>
  <c r="J107" i="24"/>
  <c r="J108" i="24"/>
  <c r="J98" i="24"/>
  <c r="J109" i="24"/>
  <c r="J116" i="24"/>
  <c r="J117" i="24"/>
  <c r="J101" i="24"/>
  <c r="J119" i="24"/>
  <c r="J111" i="24"/>
  <c r="J103" i="24"/>
  <c r="J93" i="24"/>
  <c r="J120" i="24"/>
  <c r="J112" i="24"/>
  <c r="J104" i="24"/>
  <c r="J113" i="24"/>
  <c r="J105" i="24"/>
  <c r="J50" i="24"/>
  <c r="J54" i="24"/>
  <c r="J58" i="24"/>
  <c r="J62" i="24"/>
  <c r="J66" i="24"/>
  <c r="J70" i="24"/>
  <c r="F79" i="24"/>
  <c r="F83" i="24"/>
  <c r="F93" i="24"/>
  <c r="L100" i="27"/>
  <c r="N100" i="27" s="1"/>
  <c r="J188" i="18"/>
  <c r="J192" i="18"/>
  <c r="J196" i="18"/>
  <c r="J208" i="18"/>
  <c r="J216" i="18"/>
  <c r="J236" i="18"/>
  <c r="J242" i="18"/>
  <c r="J248" i="18"/>
  <c r="J254" i="18"/>
  <c r="J264" i="18"/>
  <c r="J272" i="18"/>
  <c r="J276" i="18"/>
  <c r="D74" i="24"/>
  <c r="J79" i="24"/>
  <c r="J83" i="24"/>
  <c r="F88" i="24"/>
  <c r="F92" i="24"/>
  <c r="Z105" i="24"/>
  <c r="Z113" i="24"/>
  <c r="N19" i="27"/>
  <c r="Z112" i="27"/>
  <c r="Z96" i="30"/>
  <c r="N112" i="30"/>
  <c r="J201" i="18"/>
  <c r="J207" i="18"/>
  <c r="J215" i="18"/>
  <c r="J225" i="18"/>
  <c r="J235" i="18"/>
  <c r="J241" i="18"/>
  <c r="J253" i="18"/>
  <c r="J271" i="18"/>
  <c r="N12" i="24"/>
  <c r="F53" i="24"/>
  <c r="F57" i="24"/>
  <c r="F61" i="24"/>
  <c r="F65" i="24"/>
  <c r="F69" i="24"/>
  <c r="F74" i="24"/>
  <c r="F76" i="24"/>
  <c r="J88" i="24"/>
  <c r="F97" i="24"/>
  <c r="J100" i="24"/>
  <c r="Z26" i="27"/>
  <c r="Z28" i="27"/>
  <c r="N62" i="27"/>
  <c r="N81" i="27"/>
  <c r="Z114" i="27"/>
  <c r="N37" i="30"/>
  <c r="N121" i="30"/>
  <c r="R91" i="30"/>
  <c r="R95" i="30"/>
  <c r="R96" i="30"/>
  <c r="N151" i="30"/>
  <c r="R87" i="33"/>
  <c r="R73" i="33"/>
  <c r="R72" i="33"/>
  <c r="R53" i="33"/>
  <c r="R52" i="33"/>
  <c r="R29" i="33"/>
  <c r="R64" i="33"/>
  <c r="R63" i="33"/>
  <c r="R48" i="33"/>
  <c r="R47" i="33"/>
  <c r="R43" i="33"/>
  <c r="R78" i="33"/>
  <c r="R74" i="33"/>
  <c r="R55" i="33"/>
  <c r="R54" i="33"/>
  <c r="R39" i="33"/>
  <c r="R34" i="33"/>
  <c r="R30" i="33"/>
  <c r="R66" i="33"/>
  <c r="R65" i="33"/>
  <c r="R49" i="33"/>
  <c r="R38" i="33"/>
  <c r="R36" i="33"/>
  <c r="R57" i="33"/>
  <c r="R56" i="33"/>
  <c r="R44" i="33"/>
  <c r="R40" i="33"/>
  <c r="P36" i="33"/>
  <c r="R80" i="33"/>
  <c r="R79" i="33"/>
  <c r="R75" i="33"/>
  <c r="R68" i="33"/>
  <c r="R67" i="33"/>
  <c r="R31" i="33"/>
  <c r="R93" i="33"/>
  <c r="R59" i="33"/>
  <c r="R58" i="33"/>
  <c r="R50" i="33"/>
  <c r="R92" i="33"/>
  <c r="R82" i="33"/>
  <c r="R81" i="33"/>
  <c r="R69" i="33"/>
  <c r="R45" i="33"/>
  <c r="R41" i="33"/>
  <c r="R91" i="33"/>
  <c r="R76" i="33"/>
  <c r="R61" i="33"/>
  <c r="R60" i="33"/>
  <c r="R32" i="33"/>
  <c r="R97" i="33"/>
  <c r="R90" i="33"/>
  <c r="R84" i="33"/>
  <c r="R83" i="33"/>
  <c r="R51" i="33"/>
  <c r="R88" i="33"/>
  <c r="R85" i="33"/>
  <c r="R77" i="33"/>
  <c r="R33" i="33"/>
  <c r="Z18" i="33"/>
  <c r="Z22" i="33"/>
  <c r="N38" i="33"/>
  <c r="N59" i="33"/>
  <c r="N80" i="33"/>
  <c r="R51" i="36"/>
  <c r="T12" i="27"/>
  <c r="R57" i="30"/>
  <c r="R61" i="30"/>
  <c r="R65" i="30"/>
  <c r="R69" i="30"/>
  <c r="R73" i="30"/>
  <c r="R77" i="30"/>
  <c r="R81" i="30"/>
  <c r="N66" i="33"/>
  <c r="Z80" i="33"/>
  <c r="X88" i="33"/>
  <c r="N61" i="36"/>
  <c r="R90" i="30"/>
  <c r="R94" i="30"/>
  <c r="R106" i="30"/>
  <c r="R107" i="30"/>
  <c r="R126" i="30"/>
  <c r="R127" i="30"/>
  <c r="X27" i="33"/>
  <c r="Z27" i="33" s="1"/>
  <c r="J41" i="33"/>
  <c r="J69" i="33"/>
  <c r="Z88" i="33"/>
  <c r="T87" i="33"/>
  <c r="X87" i="33" s="1"/>
  <c r="N92" i="33"/>
  <c r="V112" i="36"/>
  <c r="X15" i="30"/>
  <c r="Z15" i="30" s="1"/>
  <c r="X19" i="30"/>
  <c r="Z19" i="30" s="1"/>
  <c r="X23" i="30"/>
  <c r="Z23" i="30" s="1"/>
  <c r="X27" i="30"/>
  <c r="X31" i="30"/>
  <c r="X35" i="30"/>
  <c r="Z35" i="30" s="1"/>
  <c r="X39" i="30"/>
  <c r="Z39" i="30" s="1"/>
  <c r="X43" i="30"/>
  <c r="X47" i="30"/>
  <c r="Z47" i="30" s="1"/>
  <c r="X51" i="30"/>
  <c r="Z51" i="30" s="1"/>
  <c r="R99" i="30"/>
  <c r="R115" i="30"/>
  <c r="R138" i="30"/>
  <c r="X158" i="30"/>
  <c r="Z158" i="30" s="1"/>
  <c r="T157" i="30"/>
  <c r="F93" i="33"/>
  <c r="F76" i="33"/>
  <c r="F60" i="33"/>
  <c r="F59" i="33"/>
  <c r="F32" i="33"/>
  <c r="F97" i="33"/>
  <c r="F92" i="33"/>
  <c r="F83" i="33"/>
  <c r="F82" i="33"/>
  <c r="F51" i="33"/>
  <c r="F91" i="33"/>
  <c r="F70" i="33"/>
  <c r="F62" i="33"/>
  <c r="F61" i="33"/>
  <c r="F46" i="33"/>
  <c r="F42" i="33"/>
  <c r="F90" i="33"/>
  <c r="F85" i="33"/>
  <c r="F84" i="33"/>
  <c r="F77" i="33"/>
  <c r="F33" i="33"/>
  <c r="F89" i="33"/>
  <c r="F72" i="33"/>
  <c r="F71" i="33"/>
  <c r="F52" i="33"/>
  <c r="L12" i="33"/>
  <c r="N12" i="33" s="1"/>
  <c r="F88" i="33"/>
  <c r="F63" i="33"/>
  <c r="F47" i="33"/>
  <c r="F43" i="33"/>
  <c r="F78" i="33"/>
  <c r="F74" i="33"/>
  <c r="F73" i="33"/>
  <c r="F54" i="33"/>
  <c r="F53" i="33"/>
  <c r="F34" i="33"/>
  <c r="F30" i="33"/>
  <c r="F29" i="33"/>
  <c r="F65" i="33"/>
  <c r="F64" i="33"/>
  <c r="F49" i="33"/>
  <c r="F48" i="33"/>
  <c r="F56" i="33"/>
  <c r="F55" i="33"/>
  <c r="F44" i="33"/>
  <c r="F40" i="33"/>
  <c r="F39" i="33"/>
  <c r="F79" i="33"/>
  <c r="F75" i="33"/>
  <c r="F67" i="33"/>
  <c r="F66" i="33"/>
  <c r="F38" i="33"/>
  <c r="F31" i="33"/>
  <c r="F81" i="33"/>
  <c r="F80" i="33"/>
  <c r="F69" i="33"/>
  <c r="F68" i="33"/>
  <c r="F45" i="33"/>
  <c r="F41" i="33"/>
  <c r="X23" i="33"/>
  <c r="Z23" i="33" s="1"/>
  <c r="X30" i="36"/>
  <c r="D112" i="27"/>
  <c r="L112" i="27" s="1"/>
  <c r="R56" i="30"/>
  <c r="R60" i="30"/>
  <c r="R64" i="30"/>
  <c r="R68" i="30"/>
  <c r="R72" i="30"/>
  <c r="R76" i="30"/>
  <c r="R80" i="30"/>
  <c r="R104" i="30"/>
  <c r="R105" i="30"/>
  <c r="R124" i="30"/>
  <c r="R125" i="30"/>
  <c r="J97" i="33"/>
  <c r="J91" i="33"/>
  <c r="J83" i="33"/>
  <c r="J61" i="33"/>
  <c r="J51" i="33"/>
  <c r="J90" i="33"/>
  <c r="J84" i="33"/>
  <c r="J70" i="33"/>
  <c r="J62" i="33"/>
  <c r="J46" i="33"/>
  <c r="J42" i="33"/>
  <c r="J89" i="33"/>
  <c r="J85" i="33"/>
  <c r="J77" i="33"/>
  <c r="J71" i="33"/>
  <c r="J33" i="33"/>
  <c r="J88" i="33"/>
  <c r="J72" i="33"/>
  <c r="J52" i="33"/>
  <c r="J73" i="33"/>
  <c r="J63" i="33"/>
  <c r="J53" i="33"/>
  <c r="J47" i="33"/>
  <c r="J43" i="33"/>
  <c r="J29" i="33"/>
  <c r="J78" i="33"/>
  <c r="J74" i="33"/>
  <c r="J64" i="33"/>
  <c r="J54" i="33"/>
  <c r="J48" i="33"/>
  <c r="J34" i="33"/>
  <c r="J30" i="33"/>
  <c r="J65" i="33"/>
  <c r="J55" i="33"/>
  <c r="J49" i="33"/>
  <c r="J39" i="33"/>
  <c r="J66" i="33"/>
  <c r="J56" i="33"/>
  <c r="J44" i="33"/>
  <c r="J40" i="33"/>
  <c r="J38" i="33"/>
  <c r="J79" i="33"/>
  <c r="J75" i="33"/>
  <c r="J67" i="33"/>
  <c r="J57" i="33"/>
  <c r="H36" i="33"/>
  <c r="J36" i="33" s="1"/>
  <c r="J31" i="33"/>
  <c r="J80" i="33"/>
  <c r="J68" i="33"/>
  <c r="J58" i="33"/>
  <c r="J50" i="33"/>
  <c r="J92" i="33"/>
  <c r="J82" i="33"/>
  <c r="J76" i="33"/>
  <c r="J60" i="33"/>
  <c r="J32" i="33"/>
  <c r="Z30" i="36"/>
  <c r="V61" i="36"/>
  <c r="X23" i="27"/>
  <c r="Z23" i="27" s="1"/>
  <c r="X27" i="27"/>
  <c r="Z27" i="27" s="1"/>
  <c r="X31" i="27"/>
  <c r="Z31" i="27" s="1"/>
  <c r="L13" i="30"/>
  <c r="L17" i="30"/>
  <c r="L21" i="30"/>
  <c r="N21" i="30" s="1"/>
  <c r="L25" i="30"/>
  <c r="L29" i="30"/>
  <c r="R89" i="30"/>
  <c r="R93" i="30"/>
  <c r="R113" i="30"/>
  <c r="R114" i="30"/>
  <c r="Z19" i="33"/>
  <c r="Z21" i="33"/>
  <c r="R96" i="36"/>
  <c r="R95" i="36"/>
  <c r="R84" i="36"/>
  <c r="R83" i="36"/>
  <c r="R76" i="36"/>
  <c r="R75" i="36"/>
  <c r="R90" i="36"/>
  <c r="R120" i="36"/>
  <c r="R114" i="36"/>
  <c r="R113" i="36"/>
  <c r="R106" i="36"/>
  <c r="R105" i="36"/>
  <c r="R101" i="36"/>
  <c r="R97" i="36"/>
  <c r="R85" i="36"/>
  <c r="R78" i="36"/>
  <c r="R77" i="36"/>
  <c r="R119" i="36"/>
  <c r="R68" i="36"/>
  <c r="R118" i="36"/>
  <c r="R115" i="36"/>
  <c r="R108" i="36"/>
  <c r="R107" i="36"/>
  <c r="R91" i="36"/>
  <c r="R80" i="36"/>
  <c r="R79" i="36"/>
  <c r="R124" i="36"/>
  <c r="R102" i="36"/>
  <c r="R98" i="36"/>
  <c r="R87" i="36"/>
  <c r="R86" i="36"/>
  <c r="R110" i="36"/>
  <c r="R109" i="36"/>
  <c r="R81" i="36"/>
  <c r="R93" i="36"/>
  <c r="R92" i="36"/>
  <c r="R88" i="36"/>
  <c r="R111" i="36"/>
  <c r="R103" i="36"/>
  <c r="R99" i="36"/>
  <c r="R72" i="36"/>
  <c r="R71" i="36"/>
  <c r="R94" i="36"/>
  <c r="R82" i="36"/>
  <c r="R73" i="36"/>
  <c r="R61" i="36"/>
  <c r="R60" i="36"/>
  <c r="R53" i="36"/>
  <c r="R52" i="36"/>
  <c r="R41" i="36"/>
  <c r="R40" i="36"/>
  <c r="R36" i="36"/>
  <c r="R32" i="36"/>
  <c r="P28" i="36"/>
  <c r="R100" i="36"/>
  <c r="R69" i="36"/>
  <c r="R66" i="36"/>
  <c r="R63" i="36"/>
  <c r="R62" i="36"/>
  <c r="R55" i="36"/>
  <c r="R54" i="36"/>
  <c r="R46" i="36"/>
  <c r="R42" i="36"/>
  <c r="R37" i="36"/>
  <c r="R33" i="36"/>
  <c r="R74" i="36"/>
  <c r="R56" i="36"/>
  <c r="R70" i="36"/>
  <c r="R67" i="36"/>
  <c r="R47" i="36"/>
  <c r="R43" i="36"/>
  <c r="R24" i="36"/>
  <c r="R38" i="36"/>
  <c r="R34" i="36"/>
  <c r="R64" i="36"/>
  <c r="R57" i="36"/>
  <c r="R25" i="36"/>
  <c r="R104" i="36"/>
  <c r="R49" i="36"/>
  <c r="R48" i="36"/>
  <c r="R44" i="36"/>
  <c r="X12" i="36"/>
  <c r="Z12" i="36" s="1"/>
  <c r="R39" i="36"/>
  <c r="R35" i="36"/>
  <c r="R112" i="36"/>
  <c r="R89" i="36"/>
  <c r="R45" i="36"/>
  <c r="R30" i="36"/>
  <c r="R28" i="36"/>
  <c r="V41" i="36"/>
  <c r="R59" i="36"/>
  <c r="N13" i="30"/>
  <c r="R55" i="30"/>
  <c r="R98" i="30"/>
  <c r="R102" i="30"/>
  <c r="R103" i="30"/>
  <c r="R122" i="30"/>
  <c r="R123" i="30"/>
  <c r="R131" i="30"/>
  <c r="N133" i="30"/>
  <c r="T12" i="33"/>
  <c r="X12" i="33" s="1"/>
  <c r="Z15" i="33"/>
  <c r="F58" i="33"/>
  <c r="R62" i="33"/>
  <c r="Z59" i="36"/>
  <c r="X91" i="27"/>
  <c r="Z91" i="27" s="1"/>
  <c r="X107" i="27"/>
  <c r="Z107" i="27" s="1"/>
  <c r="R59" i="30"/>
  <c r="R63" i="30"/>
  <c r="R67" i="30"/>
  <c r="R71" i="30"/>
  <c r="R75" i="30"/>
  <c r="R79" i="30"/>
  <c r="R111" i="30"/>
  <c r="R112" i="30"/>
  <c r="F111" i="36"/>
  <c r="F110" i="36"/>
  <c r="F103" i="36"/>
  <c r="F99" i="36"/>
  <c r="F71" i="36"/>
  <c r="F70" i="36"/>
  <c r="F94" i="36"/>
  <c r="F93" i="36"/>
  <c r="F82" i="36"/>
  <c r="F89" i="36"/>
  <c r="F73" i="36"/>
  <c r="F72" i="36"/>
  <c r="F112" i="36"/>
  <c r="F104" i="36"/>
  <c r="F100" i="36"/>
  <c r="F95" i="36"/>
  <c r="F83" i="36"/>
  <c r="F75" i="36"/>
  <c r="F74" i="36"/>
  <c r="F90" i="36"/>
  <c r="F66" i="36"/>
  <c r="F65" i="36"/>
  <c r="F113" i="36"/>
  <c r="F105" i="36"/>
  <c r="F101" i="36"/>
  <c r="F97" i="36"/>
  <c r="F96" i="36"/>
  <c r="F85" i="36"/>
  <c r="F84" i="36"/>
  <c r="F77" i="36"/>
  <c r="F76" i="36"/>
  <c r="F120" i="36"/>
  <c r="F115" i="36"/>
  <c r="F114" i="36"/>
  <c r="F107" i="36"/>
  <c r="F106" i="36"/>
  <c r="F91" i="36"/>
  <c r="F79" i="36"/>
  <c r="F78" i="36"/>
  <c r="F124" i="36"/>
  <c r="F119" i="36"/>
  <c r="F102" i="36"/>
  <c r="F98" i="36"/>
  <c r="F86" i="36"/>
  <c r="F118" i="36"/>
  <c r="F87" i="36"/>
  <c r="F48" i="36"/>
  <c r="F44" i="36"/>
  <c r="F39" i="36"/>
  <c r="F35" i="36"/>
  <c r="F58" i="36"/>
  <c r="F50" i="36"/>
  <c r="F49" i="36"/>
  <c r="F26" i="36"/>
  <c r="F45" i="36"/>
  <c r="F81" i="36"/>
  <c r="F60" i="36"/>
  <c r="F59" i="36"/>
  <c r="F52" i="36"/>
  <c r="F51" i="36"/>
  <c r="F40" i="36"/>
  <c r="F36" i="36"/>
  <c r="F32" i="36"/>
  <c r="F31" i="36"/>
  <c r="F69" i="36"/>
  <c r="F30" i="36"/>
  <c r="F109" i="36"/>
  <c r="F62" i="36"/>
  <c r="F61" i="36"/>
  <c r="F54" i="36"/>
  <c r="F53" i="36"/>
  <c r="F46" i="36"/>
  <c r="F42" i="36"/>
  <c r="F41" i="36"/>
  <c r="D28" i="36"/>
  <c r="F28" i="36" s="1"/>
  <c r="F88" i="36"/>
  <c r="F37" i="36"/>
  <c r="F33" i="36"/>
  <c r="F63" i="36"/>
  <c r="F56" i="36"/>
  <c r="F55" i="36"/>
  <c r="F80" i="36"/>
  <c r="F67" i="36"/>
  <c r="F64" i="36"/>
  <c r="F47" i="36"/>
  <c r="F43" i="36"/>
  <c r="F108" i="36"/>
  <c r="F68" i="36"/>
  <c r="F57" i="36"/>
  <c r="F25" i="36"/>
  <c r="F24" i="36"/>
  <c r="F34" i="36"/>
  <c r="R116" i="39"/>
  <c r="R108" i="39"/>
  <c r="R104" i="39"/>
  <c r="R93" i="39"/>
  <c r="R92" i="39"/>
  <c r="R76" i="39"/>
  <c r="R87" i="39"/>
  <c r="R68" i="39"/>
  <c r="R67" i="39"/>
  <c r="R60" i="39"/>
  <c r="R59" i="39"/>
  <c r="R51" i="39"/>
  <c r="R47" i="39"/>
  <c r="R99" i="39"/>
  <c r="R98" i="39"/>
  <c r="R94" i="39"/>
  <c r="R42" i="39"/>
  <c r="R38" i="39"/>
  <c r="R117" i="39"/>
  <c r="R109" i="39"/>
  <c r="R105" i="39"/>
  <c r="R78" i="39"/>
  <c r="R77" i="39"/>
  <c r="R70" i="39"/>
  <c r="R69" i="39"/>
  <c r="R61" i="39"/>
  <c r="R101" i="39"/>
  <c r="R100" i="39"/>
  <c r="R88" i="39"/>
  <c r="R52" i="39"/>
  <c r="R48" i="39"/>
  <c r="R29" i="39"/>
  <c r="X12" i="39"/>
  <c r="R95" i="39"/>
  <c r="R80" i="39"/>
  <c r="R79" i="39"/>
  <c r="R72" i="39"/>
  <c r="R71" i="39"/>
  <c r="R43" i="39"/>
  <c r="R39" i="39"/>
  <c r="R125" i="39"/>
  <c r="R119" i="39"/>
  <c r="R118" i="39"/>
  <c r="R111" i="39"/>
  <c r="R110" i="39"/>
  <c r="R106" i="39"/>
  <c r="R102" i="39"/>
  <c r="R62" i="39"/>
  <c r="R30" i="39"/>
  <c r="R124" i="39"/>
  <c r="R90" i="39"/>
  <c r="R89" i="39"/>
  <c r="R82" i="39"/>
  <c r="R81" i="39"/>
  <c r="R73" i="39"/>
  <c r="R54" i="39"/>
  <c r="R53" i="39"/>
  <c r="R49" i="39"/>
  <c r="R123" i="39"/>
  <c r="R120" i="39"/>
  <c r="R113" i="39"/>
  <c r="R112" i="39"/>
  <c r="R96" i="39"/>
  <c r="R44" i="39"/>
  <c r="R40" i="39"/>
  <c r="R129" i="39"/>
  <c r="R122" i="39"/>
  <c r="R107" i="39"/>
  <c r="R103" i="39"/>
  <c r="R91" i="39"/>
  <c r="R84" i="39"/>
  <c r="R83" i="39"/>
  <c r="R64" i="39"/>
  <c r="R63" i="39"/>
  <c r="R56" i="39"/>
  <c r="R55" i="39"/>
  <c r="R36" i="39"/>
  <c r="R31" i="39"/>
  <c r="R97" i="39"/>
  <c r="R86" i="39"/>
  <c r="R85" i="39"/>
  <c r="R66" i="39"/>
  <c r="R75" i="39"/>
  <c r="R46" i="39"/>
  <c r="R33" i="39"/>
  <c r="P33" i="39"/>
  <c r="R41" i="39"/>
  <c r="R114" i="39"/>
  <c r="R57" i="39"/>
  <c r="R50" i="39"/>
  <c r="R74" i="39"/>
  <c r="R45" i="39"/>
  <c r="R115" i="39"/>
  <c r="R58" i="39"/>
  <c r="R37" i="39"/>
  <c r="R65" i="39"/>
  <c r="L86" i="27"/>
  <c r="P84" i="30"/>
  <c r="R84" i="30" s="1"/>
  <c r="R88" i="30"/>
  <c r="R92" i="30"/>
  <c r="R120" i="30"/>
  <c r="R121" i="30"/>
  <c r="X157" i="30"/>
  <c r="N18" i="33"/>
  <c r="N22" i="33"/>
  <c r="J45" i="33"/>
  <c r="H12" i="36"/>
  <c r="L15" i="36"/>
  <c r="Z22" i="36"/>
  <c r="X58" i="39"/>
  <c r="Z58" i="39" s="1"/>
  <c r="X13" i="30"/>
  <c r="X17" i="30"/>
  <c r="X21" i="30"/>
  <c r="Z21" i="30" s="1"/>
  <c r="R86" i="30"/>
  <c r="R97" i="30"/>
  <c r="R101" i="30"/>
  <c r="R129" i="30"/>
  <c r="R130" i="30"/>
  <c r="R135" i="30"/>
  <c r="D36" i="33"/>
  <c r="N15" i="36"/>
  <c r="N17" i="36"/>
  <c r="R157" i="30"/>
  <c r="R147" i="30"/>
  <c r="R146" i="30"/>
  <c r="R142" i="30"/>
  <c r="R163" i="30"/>
  <c r="R149" i="30"/>
  <c r="R148" i="30"/>
  <c r="R137" i="30"/>
  <c r="R136" i="30"/>
  <c r="R143" i="30"/>
  <c r="R151" i="30"/>
  <c r="R150" i="30"/>
  <c r="R152" i="30"/>
  <c r="R144" i="30"/>
  <c r="R133" i="30"/>
  <c r="R132" i="30"/>
  <c r="R140" i="30"/>
  <c r="R139" i="30"/>
  <c r="R134" i="30"/>
  <c r="R154" i="30"/>
  <c r="R153" i="30"/>
  <c r="R145" i="30"/>
  <c r="R141" i="30"/>
  <c r="R158" i="30"/>
  <c r="R155" i="30"/>
  <c r="R58" i="30"/>
  <c r="R62" i="30"/>
  <c r="R66" i="30"/>
  <c r="R70" i="30"/>
  <c r="R74" i="30"/>
  <c r="R78" i="30"/>
  <c r="R82" i="30"/>
  <c r="R87" i="30"/>
  <c r="R110" i="30"/>
  <c r="R118" i="30"/>
  <c r="R119" i="30"/>
  <c r="Z133" i="30"/>
  <c r="Z26" i="33"/>
  <c r="F50" i="33"/>
  <c r="N68" i="33"/>
  <c r="L68" i="33"/>
  <c r="J93" i="33"/>
  <c r="V120" i="36"/>
  <c r="V114" i="36"/>
  <c r="V106" i="36"/>
  <c r="V90" i="36"/>
  <c r="V78" i="36"/>
  <c r="V66" i="36"/>
  <c r="V119" i="36"/>
  <c r="V113" i="36"/>
  <c r="V105" i="36"/>
  <c r="V101" i="36"/>
  <c r="V97" i="36"/>
  <c r="V85" i="36"/>
  <c r="V77" i="36"/>
  <c r="V118" i="36"/>
  <c r="V108" i="36"/>
  <c r="V80" i="36"/>
  <c r="V68" i="36"/>
  <c r="V117" i="36"/>
  <c r="V115" i="36"/>
  <c r="V107" i="36"/>
  <c r="V91" i="36"/>
  <c r="V87" i="36"/>
  <c r="V79" i="36"/>
  <c r="V124" i="36"/>
  <c r="V110" i="36"/>
  <c r="V102" i="36"/>
  <c r="V98" i="36"/>
  <c r="V86" i="36"/>
  <c r="V70" i="36"/>
  <c r="V109" i="36"/>
  <c r="V93" i="36"/>
  <c r="V81" i="36"/>
  <c r="V69" i="36"/>
  <c r="V92" i="36"/>
  <c r="V88" i="36"/>
  <c r="V72" i="36"/>
  <c r="V111" i="36"/>
  <c r="V103" i="36"/>
  <c r="V99" i="36"/>
  <c r="V71" i="36"/>
  <c r="V94" i="36"/>
  <c r="V82" i="36"/>
  <c r="V74" i="36"/>
  <c r="V89" i="36"/>
  <c r="V73" i="36"/>
  <c r="V100" i="36"/>
  <c r="V63" i="36"/>
  <c r="V55" i="36"/>
  <c r="V95" i="36"/>
  <c r="V62" i="36"/>
  <c r="V54" i="36"/>
  <c r="V46" i="36"/>
  <c r="V42" i="36"/>
  <c r="V37" i="36"/>
  <c r="V33" i="36"/>
  <c r="V67" i="36"/>
  <c r="V56" i="36"/>
  <c r="V24" i="36"/>
  <c r="V76" i="36"/>
  <c r="V47" i="36"/>
  <c r="V43" i="36"/>
  <c r="V83" i="36"/>
  <c r="V38" i="36"/>
  <c r="V34" i="36"/>
  <c r="V96" i="36"/>
  <c r="V64" i="36"/>
  <c r="V57" i="36"/>
  <c r="V49" i="36"/>
  <c r="V25" i="36"/>
  <c r="V104" i="36"/>
  <c r="V48" i="36"/>
  <c r="V44" i="36"/>
  <c r="V65" i="36"/>
  <c r="V59" i="36"/>
  <c r="V51" i="36"/>
  <c r="V39" i="36"/>
  <c r="V35" i="36"/>
  <c r="V31" i="36"/>
  <c r="V58" i="36"/>
  <c r="V50" i="36"/>
  <c r="V30" i="36"/>
  <c r="V28" i="36"/>
  <c r="V26" i="36"/>
  <c r="V75" i="36"/>
  <c r="V60" i="36"/>
  <c r="V52" i="36"/>
  <c r="V40" i="36"/>
  <c r="V36" i="36"/>
  <c r="V32" i="36"/>
  <c r="N19" i="36"/>
  <c r="N21" i="36"/>
  <c r="N24" i="36"/>
  <c r="Z31" i="36"/>
  <c r="V53" i="36"/>
  <c r="R58" i="36"/>
  <c r="V84" i="36"/>
  <c r="R35" i="39"/>
  <c r="Z84" i="36"/>
  <c r="X84" i="36"/>
  <c r="N87" i="36"/>
  <c r="X29" i="33"/>
  <c r="Z29" i="33" s="1"/>
  <c r="X41" i="36"/>
  <c r="Z41" i="36" s="1"/>
  <c r="X53" i="36"/>
  <c r="Z53" i="36" s="1"/>
  <c r="X61" i="36"/>
  <c r="Z61" i="36" s="1"/>
  <c r="N70" i="36"/>
  <c r="Z87" i="36"/>
  <c r="N96" i="36"/>
  <c r="Z118" i="36"/>
  <c r="Z15" i="39"/>
  <c r="Z17" i="39"/>
  <c r="Z19" i="39"/>
  <c r="Z21" i="39"/>
  <c r="Z23" i="39"/>
  <c r="Z35" i="39"/>
  <c r="Z56" i="39"/>
  <c r="N72" i="39"/>
  <c r="F106" i="39"/>
  <c r="Z122" i="39"/>
  <c r="J91" i="42"/>
  <c r="J79" i="42"/>
  <c r="J69" i="42"/>
  <c r="J59" i="42"/>
  <c r="J92" i="42"/>
  <c r="J86" i="42"/>
  <c r="J70" i="42"/>
  <c r="J60" i="42"/>
  <c r="J52" i="42"/>
  <c r="J40" i="42"/>
  <c r="J109" i="42"/>
  <c r="J101" i="42"/>
  <c r="J97" i="42"/>
  <c r="J93" i="42"/>
  <c r="J71" i="42"/>
  <c r="J61" i="42"/>
  <c r="J53" i="42"/>
  <c r="J45" i="42"/>
  <c r="J41" i="42"/>
  <c r="J116" i="42"/>
  <c r="J110" i="42"/>
  <c r="J102" i="42"/>
  <c r="J80" i="42"/>
  <c r="J72" i="42"/>
  <c r="J62" i="42"/>
  <c r="J115" i="42"/>
  <c r="J111" i="42"/>
  <c r="J103" i="42"/>
  <c r="J87" i="42"/>
  <c r="J81" i="42"/>
  <c r="J73" i="42"/>
  <c r="J63" i="42"/>
  <c r="J55" i="42"/>
  <c r="J120" i="42"/>
  <c r="J114" i="42"/>
  <c r="J104" i="42"/>
  <c r="J98" i="42"/>
  <c r="J94" i="42"/>
  <c r="J82" i="42"/>
  <c r="J74" i="42"/>
  <c r="J64" i="42"/>
  <c r="J46" i="42"/>
  <c r="J42" i="42"/>
  <c r="J113" i="42"/>
  <c r="J105" i="42"/>
  <c r="J75" i="42"/>
  <c r="J65" i="42"/>
  <c r="J37" i="42"/>
  <c r="J106" i="42"/>
  <c r="J88" i="42"/>
  <c r="J76" i="42"/>
  <c r="J66" i="42"/>
  <c r="J56" i="42"/>
  <c r="J107" i="42"/>
  <c r="J99" i="42"/>
  <c r="J95" i="42"/>
  <c r="J83" i="42"/>
  <c r="J77" i="42"/>
  <c r="J67" i="42"/>
  <c r="J47" i="42"/>
  <c r="J43" i="42"/>
  <c r="J84" i="42"/>
  <c r="J78" i="42"/>
  <c r="J108" i="42"/>
  <c r="J100" i="42"/>
  <c r="J96" i="42"/>
  <c r="J90" i="42"/>
  <c r="J68" i="42"/>
  <c r="J58" i="42"/>
  <c r="J50" i="42"/>
  <c r="J44" i="42"/>
  <c r="J30" i="42"/>
  <c r="J89" i="42"/>
  <c r="J25" i="42"/>
  <c r="J48" i="42"/>
  <c r="J36" i="42"/>
  <c r="J33" i="42"/>
  <c r="H27" i="42"/>
  <c r="J29" i="42"/>
  <c r="J85" i="42"/>
  <c r="J39" i="42"/>
  <c r="J51" i="42"/>
  <c r="J34" i="42"/>
  <c r="J23" i="42"/>
  <c r="J49" i="42"/>
  <c r="J31" i="42"/>
  <c r="J24" i="42"/>
  <c r="J57" i="42"/>
  <c r="J54" i="42"/>
  <c r="J38" i="42"/>
  <c r="J32" i="42"/>
  <c r="N23" i="42"/>
  <c r="N67" i="36"/>
  <c r="N80" i="36"/>
  <c r="Z108" i="36"/>
  <c r="Z27" i="39"/>
  <c r="F53" i="39"/>
  <c r="Z93" i="39"/>
  <c r="N119" i="39"/>
  <c r="R115" i="42"/>
  <c r="R81" i="42"/>
  <c r="R80" i="42"/>
  <c r="R73" i="42"/>
  <c r="R72" i="42"/>
  <c r="R114" i="42"/>
  <c r="R111" i="42"/>
  <c r="R104" i="42"/>
  <c r="R103" i="42"/>
  <c r="R87" i="42"/>
  <c r="R64" i="42"/>
  <c r="R63" i="42"/>
  <c r="R55" i="42"/>
  <c r="R120" i="42"/>
  <c r="R113" i="42"/>
  <c r="R98" i="42"/>
  <c r="R94" i="42"/>
  <c r="R82" i="42"/>
  <c r="R75" i="42"/>
  <c r="R74" i="42"/>
  <c r="R46" i="42"/>
  <c r="R42" i="42"/>
  <c r="R106" i="42"/>
  <c r="R105" i="42"/>
  <c r="R66" i="42"/>
  <c r="R65" i="42"/>
  <c r="R88" i="42"/>
  <c r="R77" i="42"/>
  <c r="R76" i="42"/>
  <c r="R56" i="42"/>
  <c r="R107" i="42"/>
  <c r="R99" i="42"/>
  <c r="R95" i="42"/>
  <c r="R84" i="42"/>
  <c r="R83" i="42"/>
  <c r="R67" i="42"/>
  <c r="R48" i="42"/>
  <c r="R47" i="42"/>
  <c r="R43" i="42"/>
  <c r="R78" i="42"/>
  <c r="R38" i="42"/>
  <c r="R90" i="42"/>
  <c r="R89" i="42"/>
  <c r="R85" i="42"/>
  <c r="R58" i="42"/>
  <c r="R57" i="42"/>
  <c r="R50" i="42"/>
  <c r="R108" i="42"/>
  <c r="R100" i="42"/>
  <c r="R96" i="42"/>
  <c r="R69" i="42"/>
  <c r="R68" i="42"/>
  <c r="R44" i="42"/>
  <c r="R92" i="42"/>
  <c r="R91" i="42"/>
  <c r="R79" i="42"/>
  <c r="R60" i="42"/>
  <c r="R59" i="42"/>
  <c r="R52" i="42"/>
  <c r="R116" i="42"/>
  <c r="R110" i="42"/>
  <c r="R109" i="42"/>
  <c r="R102" i="42"/>
  <c r="R101" i="42"/>
  <c r="R97" i="42"/>
  <c r="R93" i="42"/>
  <c r="R62" i="42"/>
  <c r="R61" i="42"/>
  <c r="R54" i="42"/>
  <c r="R53" i="42"/>
  <c r="R45" i="42"/>
  <c r="R41" i="42"/>
  <c r="R33" i="42"/>
  <c r="P27" i="42"/>
  <c r="R29" i="42"/>
  <c r="R39" i="42"/>
  <c r="R30" i="42"/>
  <c r="R23" i="42"/>
  <c r="R51" i="42"/>
  <c r="R34" i="42"/>
  <c r="R71" i="42"/>
  <c r="R37" i="42"/>
  <c r="R31" i="42"/>
  <c r="R24" i="42"/>
  <c r="R49" i="42"/>
  <c r="R40" i="42"/>
  <c r="R35" i="42"/>
  <c r="R32" i="42"/>
  <c r="X12" i="42"/>
  <c r="R25" i="42"/>
  <c r="R86" i="42"/>
  <c r="R70" i="42"/>
  <c r="R36" i="42"/>
  <c r="R27" i="42"/>
  <c r="T27" i="42"/>
  <c r="X159" i="30"/>
  <c r="L13" i="33"/>
  <c r="L17" i="33"/>
  <c r="N17" i="33" s="1"/>
  <c r="D87" i="33"/>
  <c r="X89" i="33"/>
  <c r="Z89" i="33" s="1"/>
  <c r="Z65" i="36"/>
  <c r="Z96" i="36"/>
  <c r="X96" i="36"/>
  <c r="L80" i="39"/>
  <c r="N80" i="39" s="1"/>
  <c r="Z16" i="42"/>
  <c r="N13" i="33"/>
  <c r="X14" i="33"/>
  <c r="Z14" i="33" s="1"/>
  <c r="N14" i="39"/>
  <c r="N16" i="39"/>
  <c r="N18" i="39"/>
  <c r="N20" i="39"/>
  <c r="N22" i="39"/>
  <c r="N24" i="39"/>
  <c r="N26" i="39"/>
  <c r="F29" i="39"/>
  <c r="N70" i="39"/>
  <c r="X86" i="39"/>
  <c r="Z86" i="39" s="1"/>
  <c r="F101" i="39"/>
  <c r="Z18" i="42"/>
  <c r="Z20" i="42"/>
  <c r="H157" i="30"/>
  <c r="H87" i="33"/>
  <c r="X15" i="36"/>
  <c r="Z15" i="36" s="1"/>
  <c r="Z76" i="36"/>
  <c r="X76" i="36"/>
  <c r="F125" i="39"/>
  <c r="F120" i="39"/>
  <c r="F119" i="39"/>
  <c r="F112" i="39"/>
  <c r="F111" i="39"/>
  <c r="F96" i="39"/>
  <c r="F44" i="39"/>
  <c r="F40" i="39"/>
  <c r="F129" i="39"/>
  <c r="F124" i="39"/>
  <c r="F107" i="39"/>
  <c r="F103" i="39"/>
  <c r="F91" i="39"/>
  <c r="F90" i="39"/>
  <c r="F83" i="39"/>
  <c r="F82" i="39"/>
  <c r="F63" i="39"/>
  <c r="F55" i="39"/>
  <c r="F54" i="39"/>
  <c r="F31" i="39"/>
  <c r="F123" i="39"/>
  <c r="F114" i="39"/>
  <c r="F113" i="39"/>
  <c r="F74" i="39"/>
  <c r="F50" i="39"/>
  <c r="F122" i="39"/>
  <c r="F97" i="39"/>
  <c r="F85" i="39"/>
  <c r="F84" i="39"/>
  <c r="F65" i="39"/>
  <c r="F64" i="39"/>
  <c r="F57" i="39"/>
  <c r="F56" i="39"/>
  <c r="F45" i="39"/>
  <c r="F41" i="39"/>
  <c r="F37" i="39"/>
  <c r="F36" i="39"/>
  <c r="F116" i="39"/>
  <c r="F115" i="39"/>
  <c r="F108" i="39"/>
  <c r="F104" i="39"/>
  <c r="F92" i="39"/>
  <c r="F76" i="39"/>
  <c r="F75" i="39"/>
  <c r="F35" i="39"/>
  <c r="F87" i="39"/>
  <c r="F86" i="39"/>
  <c r="F67" i="39"/>
  <c r="F66" i="39"/>
  <c r="F59" i="39"/>
  <c r="F58" i="39"/>
  <c r="F51" i="39"/>
  <c r="F47" i="39"/>
  <c r="F46" i="39"/>
  <c r="D33" i="39"/>
  <c r="F98" i="39"/>
  <c r="F94" i="39"/>
  <c r="F93" i="39"/>
  <c r="F42" i="39"/>
  <c r="F38" i="39"/>
  <c r="F117" i="39"/>
  <c r="F109" i="39"/>
  <c r="F105" i="39"/>
  <c r="F77" i="39"/>
  <c r="F69" i="39"/>
  <c r="F68" i="39"/>
  <c r="F61" i="39"/>
  <c r="F60" i="39"/>
  <c r="F100" i="39"/>
  <c r="F99" i="39"/>
  <c r="F88" i="39"/>
  <c r="F52" i="39"/>
  <c r="F48" i="39"/>
  <c r="L12" i="39"/>
  <c r="F95" i="39"/>
  <c r="F79" i="39"/>
  <c r="F78" i="39"/>
  <c r="F71" i="39"/>
  <c r="F70" i="39"/>
  <c r="F43" i="39"/>
  <c r="F39" i="39"/>
  <c r="F89" i="39"/>
  <c r="F81" i="39"/>
  <c r="F80" i="39"/>
  <c r="F73" i="39"/>
  <c r="F72" i="39"/>
  <c r="F108" i="42"/>
  <c r="F100" i="42"/>
  <c r="F96" i="42"/>
  <c r="F68" i="42"/>
  <c r="F91" i="42"/>
  <c r="F90" i="42"/>
  <c r="F79" i="42"/>
  <c r="F59" i="42"/>
  <c r="F58" i="42"/>
  <c r="F51" i="42"/>
  <c r="F50" i="42"/>
  <c r="F39" i="42"/>
  <c r="F86" i="42"/>
  <c r="F70" i="42"/>
  <c r="F69" i="42"/>
  <c r="F109" i="42"/>
  <c r="F101" i="42"/>
  <c r="F97" i="42"/>
  <c r="F93" i="42"/>
  <c r="F92" i="42"/>
  <c r="F61" i="42"/>
  <c r="F60" i="42"/>
  <c r="F80" i="42"/>
  <c r="F72" i="42"/>
  <c r="F71" i="42"/>
  <c r="F36" i="42"/>
  <c r="F116" i="42"/>
  <c r="F111" i="42"/>
  <c r="F110" i="42"/>
  <c r="F103" i="42"/>
  <c r="F102" i="42"/>
  <c r="F87" i="42"/>
  <c r="F63" i="42"/>
  <c r="F62" i="42"/>
  <c r="F55" i="42"/>
  <c r="F54" i="42"/>
  <c r="F120" i="42"/>
  <c r="F115" i="42"/>
  <c r="F98" i="42"/>
  <c r="F94" i="42"/>
  <c r="F82" i="42"/>
  <c r="F81" i="42"/>
  <c r="F74" i="42"/>
  <c r="F73" i="42"/>
  <c r="F46" i="42"/>
  <c r="F42" i="42"/>
  <c r="F114" i="42"/>
  <c r="F105" i="42"/>
  <c r="F104" i="42"/>
  <c r="F65" i="42"/>
  <c r="F64" i="42"/>
  <c r="F113" i="42"/>
  <c r="F88" i="42"/>
  <c r="F76" i="42"/>
  <c r="F75" i="42"/>
  <c r="F56" i="42"/>
  <c r="F107" i="42"/>
  <c r="F106" i="42"/>
  <c r="F99" i="42"/>
  <c r="F95" i="42"/>
  <c r="F83" i="42"/>
  <c r="F67" i="42"/>
  <c r="F66" i="42"/>
  <c r="F89" i="42"/>
  <c r="F85" i="42"/>
  <c r="F84" i="42"/>
  <c r="F57" i="42"/>
  <c r="F49" i="42"/>
  <c r="F48" i="42"/>
  <c r="F25" i="42"/>
  <c r="F44" i="42"/>
  <c r="F38" i="42"/>
  <c r="F32" i="42"/>
  <c r="L12" i="42"/>
  <c r="N12" i="42" s="1"/>
  <c r="F41" i="42"/>
  <c r="F78" i="42"/>
  <c r="F43" i="42"/>
  <c r="F33" i="42"/>
  <c r="F53" i="42"/>
  <c r="D27" i="42"/>
  <c r="F45" i="42"/>
  <c r="F29" i="42"/>
  <c r="F37" i="42"/>
  <c r="F34" i="42"/>
  <c r="F30" i="42"/>
  <c r="F47" i="42"/>
  <c r="F23" i="42"/>
  <c r="F77" i="42"/>
  <c r="F31" i="42"/>
  <c r="F24" i="42"/>
  <c r="F52" i="42"/>
  <c r="F35" i="42"/>
  <c r="T12" i="39"/>
  <c r="Z16" i="39"/>
  <c r="Z18" i="39"/>
  <c r="Z22" i="39"/>
  <c r="N122" i="39"/>
  <c r="X13" i="33"/>
  <c r="X17" i="33"/>
  <c r="Z17" i="33" s="1"/>
  <c r="X21" i="33"/>
  <c r="X25" i="33"/>
  <c r="Z25" i="33" s="1"/>
  <c r="X59" i="33"/>
  <c r="Z59" i="33" s="1"/>
  <c r="L13" i="36"/>
  <c r="N13" i="36" s="1"/>
  <c r="L17" i="36"/>
  <c r="Z74" i="36"/>
  <c r="X14" i="39"/>
  <c r="Z14" i="39" s="1"/>
  <c r="X18" i="39"/>
  <c r="X22" i="39"/>
  <c r="X26" i="39"/>
  <c r="Z26" i="39" s="1"/>
  <c r="Z29" i="39"/>
  <c r="Z36" i="39"/>
  <c r="F49" i="39"/>
  <c r="F62" i="39"/>
  <c r="Z101" i="39"/>
  <c r="N19" i="42"/>
  <c r="J35" i="42"/>
  <c r="F40" i="42"/>
  <c r="L158" i="30"/>
  <c r="N158" i="30" s="1"/>
  <c r="Z13" i="33"/>
  <c r="L65" i="36"/>
  <c r="Z64" i="39"/>
  <c r="Z66" i="39"/>
  <c r="Z123" i="39"/>
  <c r="V111" i="42"/>
  <c r="V103" i="42"/>
  <c r="V87" i="42"/>
  <c r="V75" i="42"/>
  <c r="V63" i="42"/>
  <c r="V55" i="42"/>
  <c r="V120" i="42"/>
  <c r="V106" i="42"/>
  <c r="V98" i="42"/>
  <c r="V94" i="42"/>
  <c r="V82" i="42"/>
  <c r="V74" i="42"/>
  <c r="V66" i="42"/>
  <c r="V46" i="42"/>
  <c r="V42" i="42"/>
  <c r="V105" i="42"/>
  <c r="V77" i="42"/>
  <c r="V65" i="42"/>
  <c r="V37" i="42"/>
  <c r="V88" i="42"/>
  <c r="V84" i="42"/>
  <c r="V76" i="42"/>
  <c r="V107" i="42"/>
  <c r="V99" i="42"/>
  <c r="V95" i="42"/>
  <c r="V83" i="42"/>
  <c r="V67" i="42"/>
  <c r="V47" i="42"/>
  <c r="V43" i="42"/>
  <c r="V90" i="42"/>
  <c r="V78" i="42"/>
  <c r="V58" i="42"/>
  <c r="V50" i="42"/>
  <c r="V38" i="42"/>
  <c r="V34" i="42"/>
  <c r="V30" i="42"/>
  <c r="V89" i="42"/>
  <c r="V85" i="42"/>
  <c r="V69" i="42"/>
  <c r="V57" i="42"/>
  <c r="V49" i="42"/>
  <c r="V108" i="42"/>
  <c r="V100" i="42"/>
  <c r="V96" i="42"/>
  <c r="V92" i="42"/>
  <c r="V68" i="42"/>
  <c r="V60" i="42"/>
  <c r="V52" i="42"/>
  <c r="V91" i="42"/>
  <c r="V79" i="42"/>
  <c r="V71" i="42"/>
  <c r="V59" i="42"/>
  <c r="V51" i="42"/>
  <c r="V39" i="42"/>
  <c r="V116" i="42"/>
  <c r="V110" i="42"/>
  <c r="V102" i="42"/>
  <c r="V86" i="42"/>
  <c r="V70" i="42"/>
  <c r="V62" i="42"/>
  <c r="V54" i="42"/>
  <c r="V114" i="42"/>
  <c r="V104" i="42"/>
  <c r="V80" i="42"/>
  <c r="V72" i="42"/>
  <c r="V64" i="42"/>
  <c r="V36" i="42"/>
  <c r="V32" i="42"/>
  <c r="V56" i="42"/>
  <c r="V23" i="42"/>
  <c r="V93" i="42"/>
  <c r="V53" i="42"/>
  <c r="V109" i="42"/>
  <c r="V73" i="42"/>
  <c r="V45" i="42"/>
  <c r="V40" i="42"/>
  <c r="V31" i="42"/>
  <c r="V24" i="42"/>
  <c r="V101" i="42"/>
  <c r="V35" i="42"/>
  <c r="Z12" i="42"/>
  <c r="V25" i="42"/>
  <c r="V97" i="42"/>
  <c r="V81" i="42"/>
  <c r="V61" i="42"/>
  <c r="V44" i="42"/>
  <c r="V115" i="42"/>
  <c r="V41" i="42"/>
  <c r="V33" i="42"/>
  <c r="V29" i="42"/>
  <c r="Z15" i="42"/>
  <c r="Z63" i="36"/>
  <c r="N84" i="36"/>
  <c r="L87" i="36"/>
  <c r="D117" i="36"/>
  <c r="L117" i="36" s="1"/>
  <c r="N117" i="36" s="1"/>
  <c r="L118" i="36"/>
  <c r="N118" i="36" s="1"/>
  <c r="F30" i="39"/>
  <c r="Z46" i="39"/>
  <c r="F102" i="39"/>
  <c r="F118" i="39"/>
  <c r="N84" i="42"/>
  <c r="L110" i="36"/>
  <c r="N110" i="36" s="1"/>
  <c r="N30" i="42"/>
  <c r="L84" i="42"/>
  <c r="X102" i="42"/>
  <c r="Z102" i="42" s="1"/>
  <c r="J30" i="39"/>
  <c r="J62" i="39"/>
  <c r="J72" i="39"/>
  <c r="J80" i="39"/>
  <c r="J102" i="39"/>
  <c r="J106" i="39"/>
  <c r="J110" i="39"/>
  <c r="J118" i="39"/>
  <c r="L125" i="39"/>
  <c r="L15" i="42"/>
  <c r="N15" i="42" s="1"/>
  <c r="D12" i="45"/>
  <c r="L13" i="45"/>
  <c r="N15" i="45"/>
  <c r="N84" i="45"/>
  <c r="J29" i="39"/>
  <c r="J39" i="39"/>
  <c r="J43" i="39"/>
  <c r="J71" i="39"/>
  <c r="J79" i="39"/>
  <c r="J95" i="39"/>
  <c r="J101" i="39"/>
  <c r="N125" i="39"/>
  <c r="Z110" i="42"/>
  <c r="J54" i="45"/>
  <c r="J20" i="45"/>
  <c r="J91" i="45"/>
  <c r="J71" i="45"/>
  <c r="J55" i="45"/>
  <c r="J43" i="45"/>
  <c r="J39" i="45"/>
  <c r="J82" i="45"/>
  <c r="J78" i="45"/>
  <c r="J72" i="45"/>
  <c r="J66" i="45"/>
  <c r="J56" i="45"/>
  <c r="J44" i="45"/>
  <c r="J34" i="45"/>
  <c r="J30" i="45"/>
  <c r="J95" i="45"/>
  <c r="J73" i="45"/>
  <c r="J57" i="45"/>
  <c r="J45" i="45"/>
  <c r="J21" i="45"/>
  <c r="J74" i="45"/>
  <c r="J58" i="45"/>
  <c r="J46" i="45"/>
  <c r="J40" i="45"/>
  <c r="J26" i="45"/>
  <c r="J83" i="45"/>
  <c r="J79" i="45"/>
  <c r="J75" i="45"/>
  <c r="J67" i="45"/>
  <c r="J59" i="45"/>
  <c r="J47" i="45"/>
  <c r="J35" i="45"/>
  <c r="J31" i="45"/>
  <c r="J27" i="45"/>
  <c r="J25" i="45"/>
  <c r="J84" i="45"/>
  <c r="J68" i="45"/>
  <c r="J60" i="45"/>
  <c r="J48" i="45"/>
  <c r="J36" i="45"/>
  <c r="H23" i="45"/>
  <c r="J23" i="45" s="1"/>
  <c r="J85" i="45"/>
  <c r="J69" i="45"/>
  <c r="J61" i="45"/>
  <c r="J49" i="45"/>
  <c r="J41" i="45"/>
  <c r="J37" i="45"/>
  <c r="J86" i="45"/>
  <c r="J80" i="45"/>
  <c r="J76" i="45"/>
  <c r="J62" i="45"/>
  <c r="J50" i="45"/>
  <c r="J32" i="45"/>
  <c r="J28" i="45"/>
  <c r="J87" i="45"/>
  <c r="J63" i="45"/>
  <c r="J51" i="45"/>
  <c r="J89" i="45"/>
  <c r="J81" i="45"/>
  <c r="J77" i="45"/>
  <c r="J65" i="45"/>
  <c r="J53" i="45"/>
  <c r="J33" i="45"/>
  <c r="J29" i="45"/>
  <c r="J19" i="45"/>
  <c r="J64" i="45"/>
  <c r="N12" i="39"/>
  <c r="X13" i="39"/>
  <c r="Z13" i="39" s="1"/>
  <c r="J48" i="39"/>
  <c r="J52" i="39"/>
  <c r="J70" i="39"/>
  <c r="J78" i="39"/>
  <c r="J88" i="39"/>
  <c r="J100" i="39"/>
  <c r="L29" i="42"/>
  <c r="N29" i="42" s="1"/>
  <c r="Z52" i="42"/>
  <c r="Z54" i="42"/>
  <c r="N75" i="42"/>
  <c r="T113" i="42"/>
  <c r="V113" i="42" s="1"/>
  <c r="R43" i="45"/>
  <c r="P117" i="36"/>
  <c r="X117" i="36" s="1"/>
  <c r="Z117" i="36" s="1"/>
  <c r="J61" i="39"/>
  <c r="J69" i="39"/>
  <c r="J77" i="39"/>
  <c r="J99" i="39"/>
  <c r="J105" i="39"/>
  <c r="J109" i="39"/>
  <c r="J117" i="39"/>
  <c r="L14" i="42"/>
  <c r="N14" i="42" s="1"/>
  <c r="L18" i="42"/>
  <c r="N18" i="42" s="1"/>
  <c r="J38" i="45"/>
  <c r="N56" i="45"/>
  <c r="F65" i="48"/>
  <c r="F60" i="48"/>
  <c r="F35" i="48"/>
  <c r="F31" i="48"/>
  <c r="F30" i="48"/>
  <c r="D17" i="48"/>
  <c r="F17" i="48" s="1"/>
  <c r="F54" i="48"/>
  <c r="F53" i="48"/>
  <c r="F46" i="48"/>
  <c r="F45" i="48"/>
  <c r="F26" i="48"/>
  <c r="F22" i="48"/>
  <c r="F55" i="48"/>
  <c r="F39" i="48"/>
  <c r="F38" i="48"/>
  <c r="F27" i="48"/>
  <c r="F23" i="48"/>
  <c r="F41" i="48"/>
  <c r="F40" i="48"/>
  <c r="F33" i="48"/>
  <c r="F56" i="48"/>
  <c r="F28" i="48"/>
  <c r="F24" i="48"/>
  <c r="F51" i="48"/>
  <c r="F58" i="48"/>
  <c r="F57" i="48"/>
  <c r="F61" i="48"/>
  <c r="F52" i="48"/>
  <c r="F44" i="48"/>
  <c r="F19" i="48"/>
  <c r="F15" i="48"/>
  <c r="F34" i="48"/>
  <c r="F21" i="48"/>
  <c r="F42" i="48"/>
  <c r="F29" i="48"/>
  <c r="F25" i="48"/>
  <c r="F37" i="48"/>
  <c r="F32" i="48"/>
  <c r="F48" i="48"/>
  <c r="F43" i="48"/>
  <c r="F20" i="48"/>
  <c r="F49" i="48"/>
  <c r="L12" i="48"/>
  <c r="N12" i="48" s="1"/>
  <c r="F50" i="48"/>
  <c r="F47" i="48"/>
  <c r="J38" i="39"/>
  <c r="J42" i="39"/>
  <c r="J60" i="39"/>
  <c r="J68" i="39"/>
  <c r="J94" i="39"/>
  <c r="J98" i="39"/>
  <c r="Z40" i="42"/>
  <c r="N66" i="42"/>
  <c r="Z92" i="42"/>
  <c r="N106" i="42"/>
  <c r="X116" i="42"/>
  <c r="X16" i="39"/>
  <c r="X20" i="39"/>
  <c r="Z20" i="39" s="1"/>
  <c r="J47" i="39"/>
  <c r="J51" i="39"/>
  <c r="J59" i="39"/>
  <c r="J67" i="39"/>
  <c r="J87" i="39"/>
  <c r="J93" i="39"/>
  <c r="L48" i="42"/>
  <c r="N48" i="42" s="1"/>
  <c r="Z116" i="42"/>
  <c r="J52" i="45"/>
  <c r="R56" i="45"/>
  <c r="H33" i="39"/>
  <c r="J46" i="39"/>
  <c r="J58" i="39"/>
  <c r="J66" i="39"/>
  <c r="J76" i="39"/>
  <c r="J86" i="39"/>
  <c r="J92" i="39"/>
  <c r="J104" i="39"/>
  <c r="J108" i="39"/>
  <c r="J116" i="39"/>
  <c r="Z56" i="45"/>
  <c r="J70" i="45"/>
  <c r="J33" i="39"/>
  <c r="J35" i="39"/>
  <c r="J37" i="39"/>
  <c r="J41" i="39"/>
  <c r="J45" i="39"/>
  <c r="L46" i="39"/>
  <c r="N46" i="39" s="1"/>
  <c r="J57" i="39"/>
  <c r="L58" i="39"/>
  <c r="N58" i="39" s="1"/>
  <c r="J65" i="39"/>
  <c r="L66" i="39"/>
  <c r="X72" i="39"/>
  <c r="Z72" i="39" s="1"/>
  <c r="J75" i="39"/>
  <c r="J85" i="39"/>
  <c r="J97" i="39"/>
  <c r="J115" i="39"/>
  <c r="X14" i="42"/>
  <c r="Z14" i="42" s="1"/>
  <c r="X18" i="42"/>
  <c r="X29" i="42"/>
  <c r="Z29" i="42" s="1"/>
  <c r="X62" i="42"/>
  <c r="Z69" i="42"/>
  <c r="N113" i="42"/>
  <c r="Z54" i="45"/>
  <c r="X80" i="36"/>
  <c r="Z80" i="36" s="1"/>
  <c r="J36" i="39"/>
  <c r="J50" i="39"/>
  <c r="J56" i="39"/>
  <c r="J64" i="39"/>
  <c r="J74" i="39"/>
  <c r="J84" i="39"/>
  <c r="J114" i="39"/>
  <c r="J122" i="39"/>
  <c r="Z62" i="42"/>
  <c r="R95" i="45"/>
  <c r="R74" i="45"/>
  <c r="R73" i="45"/>
  <c r="R58" i="45"/>
  <c r="R57" i="45"/>
  <c r="R46" i="45"/>
  <c r="R45" i="45"/>
  <c r="R26" i="45"/>
  <c r="R21" i="45"/>
  <c r="R40" i="45"/>
  <c r="R25" i="45"/>
  <c r="X12" i="45"/>
  <c r="Z12" i="45" s="1"/>
  <c r="R84" i="45"/>
  <c r="R83" i="45"/>
  <c r="R79" i="45"/>
  <c r="R75" i="45"/>
  <c r="R68" i="45"/>
  <c r="R67" i="45"/>
  <c r="R60" i="45"/>
  <c r="R59" i="45"/>
  <c r="R48" i="45"/>
  <c r="R47" i="45"/>
  <c r="R36" i="45"/>
  <c r="R35" i="45"/>
  <c r="R31" i="45"/>
  <c r="R27" i="45"/>
  <c r="P23" i="45"/>
  <c r="R86" i="45"/>
  <c r="R85" i="45"/>
  <c r="R69" i="45"/>
  <c r="R62" i="45"/>
  <c r="R61" i="45"/>
  <c r="R50" i="45"/>
  <c r="R49" i="45"/>
  <c r="R41" i="45"/>
  <c r="R37" i="45"/>
  <c r="R80" i="45"/>
  <c r="R76" i="45"/>
  <c r="R32" i="45"/>
  <c r="R28" i="45"/>
  <c r="R88" i="45"/>
  <c r="R87" i="45"/>
  <c r="R64" i="45"/>
  <c r="R63" i="45"/>
  <c r="R52" i="45"/>
  <c r="R51" i="45"/>
  <c r="R70" i="45"/>
  <c r="R42" i="45"/>
  <c r="R38" i="45"/>
  <c r="R19" i="45"/>
  <c r="R89" i="45"/>
  <c r="R81" i="45"/>
  <c r="R77" i="45"/>
  <c r="R65" i="45"/>
  <c r="R54" i="45"/>
  <c r="R53" i="45"/>
  <c r="R33" i="45"/>
  <c r="R29" i="45"/>
  <c r="R91" i="45"/>
  <c r="R20" i="45"/>
  <c r="R82" i="45"/>
  <c r="R78" i="45"/>
  <c r="R66" i="45"/>
  <c r="R34" i="45"/>
  <c r="R30" i="45"/>
  <c r="R39" i="45"/>
  <c r="J31" i="39"/>
  <c r="J55" i="39"/>
  <c r="J63" i="39"/>
  <c r="J83" i="39"/>
  <c r="J91" i="39"/>
  <c r="J103" i="39"/>
  <c r="J107" i="39"/>
  <c r="J113" i="39"/>
  <c r="J123" i="39"/>
  <c r="Z14" i="45"/>
  <c r="J42" i="45"/>
  <c r="R44" i="45"/>
  <c r="Z86" i="51"/>
  <c r="V21" i="45"/>
  <c r="V25" i="45"/>
  <c r="V45" i="45"/>
  <c r="V57" i="45"/>
  <c r="V73" i="45"/>
  <c r="N91" i="45"/>
  <c r="V95" i="45"/>
  <c r="X13" i="48"/>
  <c r="Z13" i="48" s="1"/>
  <c r="J21" i="48"/>
  <c r="J23" i="48"/>
  <c r="J27" i="48"/>
  <c r="J34" i="48"/>
  <c r="R37" i="48"/>
  <c r="J39" i="48"/>
  <c r="R56" i="48"/>
  <c r="N15" i="51"/>
  <c r="N19" i="51"/>
  <c r="N56" i="51"/>
  <c r="J68" i="51"/>
  <c r="V39" i="45"/>
  <c r="V43" i="45"/>
  <c r="V55" i="45"/>
  <c r="V71" i="45"/>
  <c r="J54" i="48"/>
  <c r="J46" i="48"/>
  <c r="J36" i="48"/>
  <c r="J26" i="48"/>
  <c r="J22" i="48"/>
  <c r="J47" i="48"/>
  <c r="J37" i="48"/>
  <c r="J50" i="48"/>
  <c r="J40" i="48"/>
  <c r="J56" i="48"/>
  <c r="J42" i="48"/>
  <c r="J28" i="48"/>
  <c r="J24" i="48"/>
  <c r="J57" i="48"/>
  <c r="J51" i="48"/>
  <c r="J43" i="48"/>
  <c r="J58" i="48"/>
  <c r="J61" i="48"/>
  <c r="J65" i="48"/>
  <c r="J53" i="48"/>
  <c r="J45" i="48"/>
  <c r="J35" i="48"/>
  <c r="J31" i="48"/>
  <c r="J44" i="48"/>
  <c r="J60" i="48"/>
  <c r="Z15" i="51"/>
  <c r="Z19" i="51"/>
  <c r="Z56" i="51"/>
  <c r="N94" i="51"/>
  <c r="X18" i="56"/>
  <c r="Z18" i="56" s="1"/>
  <c r="V20" i="45"/>
  <c r="V44" i="45"/>
  <c r="V56" i="45"/>
  <c r="V72" i="45"/>
  <c r="J15" i="48"/>
  <c r="L20" i="48"/>
  <c r="N20" i="48" s="1"/>
  <c r="J41" i="48"/>
  <c r="R42" i="48"/>
  <c r="R47" i="48"/>
  <c r="N13" i="45"/>
  <c r="X14" i="45"/>
  <c r="V29" i="45"/>
  <c r="V33" i="45"/>
  <c r="X44" i="45"/>
  <c r="Z44" i="45" s="1"/>
  <c r="L50" i="45"/>
  <c r="V53" i="45"/>
  <c r="X56" i="45"/>
  <c r="L62" i="45"/>
  <c r="N62" i="45" s="1"/>
  <c r="V65" i="45"/>
  <c r="X72" i="45"/>
  <c r="V77" i="45"/>
  <c r="V81" i="45"/>
  <c r="L86" i="45"/>
  <c r="N86" i="45" s="1"/>
  <c r="V89" i="45"/>
  <c r="V91" i="45"/>
  <c r="L15" i="48"/>
  <c r="J33" i="48"/>
  <c r="Z60" i="48"/>
  <c r="V38" i="45"/>
  <c r="V42" i="45"/>
  <c r="V54" i="45"/>
  <c r="V70" i="45"/>
  <c r="R31" i="48"/>
  <c r="R36" i="48"/>
  <c r="N38" i="48"/>
  <c r="J49" i="48"/>
  <c r="X60" i="48"/>
  <c r="Z32" i="51"/>
  <c r="Z36" i="51"/>
  <c r="Z94" i="51"/>
  <c r="X27" i="55"/>
  <c r="Z27" i="55" s="1"/>
  <c r="V19" i="45"/>
  <c r="V51" i="45"/>
  <c r="V63" i="45"/>
  <c r="V87" i="45"/>
  <c r="N19" i="48"/>
  <c r="J20" i="48"/>
  <c r="R24" i="48"/>
  <c r="R28" i="48"/>
  <c r="J38" i="48"/>
  <c r="R41" i="48"/>
  <c r="J55" i="48"/>
  <c r="J72" i="51"/>
  <c r="Z19" i="55"/>
  <c r="X19" i="55"/>
  <c r="V28" i="45"/>
  <c r="V32" i="45"/>
  <c r="V52" i="45"/>
  <c r="V64" i="45"/>
  <c r="V76" i="45"/>
  <c r="V80" i="45"/>
  <c r="V88" i="45"/>
  <c r="J19" i="48"/>
  <c r="X20" i="48"/>
  <c r="R26" i="48"/>
  <c r="J30" i="48"/>
  <c r="R33" i="48"/>
  <c r="X38" i="48"/>
  <c r="Z38" i="48" s="1"/>
  <c r="R46" i="48"/>
  <c r="Z24" i="51"/>
  <c r="Z26" i="51"/>
  <c r="Z57" i="51"/>
  <c r="L67" i="51"/>
  <c r="N67" i="51" s="1"/>
  <c r="V37" i="45"/>
  <c r="V41" i="45"/>
  <c r="V49" i="45"/>
  <c r="V61" i="45"/>
  <c r="V69" i="45"/>
  <c r="V85" i="45"/>
  <c r="Z20" i="48"/>
  <c r="J48" i="48"/>
  <c r="L61" i="48"/>
  <c r="N61" i="48" s="1"/>
  <c r="H60" i="48"/>
  <c r="N33" i="51"/>
  <c r="N88" i="51"/>
  <c r="L15" i="45"/>
  <c r="V50" i="45"/>
  <c r="V62" i="45"/>
  <c r="V86" i="45"/>
  <c r="Z49" i="48"/>
  <c r="X49" i="48"/>
  <c r="Z14" i="51"/>
  <c r="Z18" i="51"/>
  <c r="N75" i="51"/>
  <c r="X77" i="51"/>
  <c r="Z77" i="51" s="1"/>
  <c r="Z99" i="51"/>
  <c r="P33" i="55"/>
  <c r="X16" i="55"/>
  <c r="L71" i="42"/>
  <c r="N71" i="42" s="1"/>
  <c r="X77" i="42"/>
  <c r="Z77" i="42" s="1"/>
  <c r="V27" i="45"/>
  <c r="V31" i="45"/>
  <c r="V35" i="45"/>
  <c r="L44" i="45"/>
  <c r="N44" i="45" s="1"/>
  <c r="V47" i="45"/>
  <c r="X50" i="45"/>
  <c r="L56" i="45"/>
  <c r="V59" i="45"/>
  <c r="X62" i="45"/>
  <c r="Z62" i="45" s="1"/>
  <c r="V67" i="45"/>
  <c r="L72" i="45"/>
  <c r="V75" i="45"/>
  <c r="V79" i="45"/>
  <c r="V83" i="45"/>
  <c r="X86" i="45"/>
  <c r="Z86" i="45" s="1"/>
  <c r="R55" i="48"/>
  <c r="R40" i="48"/>
  <c r="R39" i="48"/>
  <c r="R27" i="48"/>
  <c r="R23" i="48"/>
  <c r="R50" i="48"/>
  <c r="R51" i="48"/>
  <c r="R43" i="48"/>
  <c r="R20" i="48"/>
  <c r="R60" i="48"/>
  <c r="R30" i="48"/>
  <c r="R29" i="48"/>
  <c r="R25" i="48"/>
  <c r="R21" i="48"/>
  <c r="P17" i="48"/>
  <c r="R53" i="48"/>
  <c r="R52" i="48"/>
  <c r="R45" i="48"/>
  <c r="R44" i="48"/>
  <c r="R65" i="48"/>
  <c r="R54" i="48"/>
  <c r="R49" i="48"/>
  <c r="R48" i="48"/>
  <c r="R32" i="48"/>
  <c r="H17" i="48"/>
  <c r="R19" i="48"/>
  <c r="J32" i="48"/>
  <c r="R61" i="48"/>
  <c r="T23" i="45"/>
  <c r="V36" i="45"/>
  <c r="V40" i="45"/>
  <c r="V48" i="45"/>
  <c r="V60" i="45"/>
  <c r="V68" i="45"/>
  <c r="T12" i="48"/>
  <c r="J17" i="48"/>
  <c r="Z19" i="48"/>
  <c r="J25" i="48"/>
  <c r="J29" i="48"/>
  <c r="L47" i="48"/>
  <c r="N47" i="48" s="1"/>
  <c r="R58" i="48"/>
  <c r="J92" i="51"/>
  <c r="J84" i="51"/>
  <c r="J74" i="51"/>
  <c r="J50" i="51"/>
  <c r="J46" i="51"/>
  <c r="J42" i="51"/>
  <c r="J93" i="51"/>
  <c r="J85" i="51"/>
  <c r="J75" i="51"/>
  <c r="J69" i="51"/>
  <c r="J94" i="51"/>
  <c r="J86" i="51"/>
  <c r="J76" i="51"/>
  <c r="J64" i="51"/>
  <c r="J60" i="51"/>
  <c r="J95" i="51"/>
  <c r="J87" i="51"/>
  <c r="J77" i="51"/>
  <c r="J51" i="51"/>
  <c r="J47" i="51"/>
  <c r="J43" i="51"/>
  <c r="J102" i="51"/>
  <c r="J96" i="51"/>
  <c r="J88" i="51"/>
  <c r="J78" i="51"/>
  <c r="J70" i="51"/>
  <c r="J101" i="51"/>
  <c r="J97" i="51"/>
  <c r="J89" i="51"/>
  <c r="J79" i="51"/>
  <c r="J65" i="51"/>
  <c r="J61" i="51"/>
  <c r="J39" i="51"/>
  <c r="J106" i="51"/>
  <c r="J100" i="51"/>
  <c r="J80" i="51"/>
  <c r="J52" i="51"/>
  <c r="J48" i="51"/>
  <c r="J44" i="51"/>
  <c r="J40" i="51"/>
  <c r="J71" i="51"/>
  <c r="J57" i="51"/>
  <c r="J90" i="51"/>
  <c r="J66" i="51"/>
  <c r="J62" i="51"/>
  <c r="J58" i="51"/>
  <c r="J56" i="51"/>
  <c r="J54" i="51"/>
  <c r="J81" i="51"/>
  <c r="J67" i="51"/>
  <c r="H54" i="51"/>
  <c r="J49" i="51"/>
  <c r="J45" i="51"/>
  <c r="J41" i="51"/>
  <c r="J91" i="51"/>
  <c r="J83" i="51"/>
  <c r="J73" i="51"/>
  <c r="J63" i="51"/>
  <c r="J59" i="51"/>
  <c r="D12" i="51"/>
  <c r="L15" i="51"/>
  <c r="N23" i="51"/>
  <c r="Z35" i="51"/>
  <c r="N96" i="51"/>
  <c r="X100" i="51"/>
  <c r="Z100" i="51" s="1"/>
  <c r="D16" i="54"/>
  <c r="L12" i="55"/>
  <c r="J22" i="55"/>
  <c r="J26" i="55"/>
  <c r="J37" i="55"/>
  <c r="H16" i="56"/>
  <c r="R19" i="56"/>
  <c r="J29" i="56"/>
  <c r="L34" i="56"/>
  <c r="Z42" i="56"/>
  <c r="N46" i="56"/>
  <c r="R48" i="56"/>
  <c r="J50" i="56"/>
  <c r="R62" i="56"/>
  <c r="H65" i="57"/>
  <c r="N16" i="57"/>
  <c r="Z18" i="57"/>
  <c r="N42" i="57"/>
  <c r="L42" i="57"/>
  <c r="N54" i="59"/>
  <c r="Z37" i="60"/>
  <c r="P12" i="51"/>
  <c r="H16" i="54"/>
  <c r="R40" i="55"/>
  <c r="R37" i="55"/>
  <c r="R25" i="55"/>
  <c r="R24" i="55"/>
  <c r="R27" i="55"/>
  <c r="R26" i="55"/>
  <c r="R19" i="55"/>
  <c r="T16" i="55"/>
  <c r="Z23" i="55"/>
  <c r="R31" i="55"/>
  <c r="F14" i="56"/>
  <c r="R24" i="56"/>
  <c r="N34" i="56"/>
  <c r="R46" i="56"/>
  <c r="T12" i="51"/>
  <c r="H99" i="51"/>
  <c r="L99" i="51" s="1"/>
  <c r="R26" i="54"/>
  <c r="R28" i="54"/>
  <c r="R29" i="54"/>
  <c r="R31" i="54"/>
  <c r="V27" i="55"/>
  <c r="V33" i="55"/>
  <c r="V31" i="55"/>
  <c r="V29" i="55"/>
  <c r="V21" i="55"/>
  <c r="V14" i="55"/>
  <c r="V16" i="55"/>
  <c r="V18" i="55"/>
  <c r="R22" i="55"/>
  <c r="V23" i="55"/>
  <c r="N25" i="55"/>
  <c r="V26" i="55"/>
  <c r="P16" i="56"/>
  <c r="F23" i="56"/>
  <c r="R26" i="56"/>
  <c r="Z46" i="56"/>
  <c r="F49" i="56"/>
  <c r="X39" i="58"/>
  <c r="Z39" i="58" s="1"/>
  <c r="Z43" i="59"/>
  <c r="N32" i="60"/>
  <c r="L56" i="51"/>
  <c r="X86" i="51"/>
  <c r="X94" i="51"/>
  <c r="L14" i="54"/>
  <c r="L18" i="54"/>
  <c r="L20" i="54"/>
  <c r="R24" i="54"/>
  <c r="X12" i="55"/>
  <c r="X14" i="55"/>
  <c r="X18" i="55"/>
  <c r="Z18" i="55" s="1"/>
  <c r="V22" i="55"/>
  <c r="X23" i="55"/>
  <c r="V37" i="55"/>
  <c r="T70" i="56"/>
  <c r="N28" i="56"/>
  <c r="R34" i="56"/>
  <c r="N36" i="56"/>
  <c r="X50" i="56"/>
  <c r="Z50" i="56" s="1"/>
  <c r="J53" i="56"/>
  <c r="Z56" i="56"/>
  <c r="Z37" i="58"/>
  <c r="H60" i="59"/>
  <c r="N16" i="59"/>
  <c r="Z18" i="59"/>
  <c r="T50" i="60"/>
  <c r="Z16" i="60"/>
  <c r="N34" i="60"/>
  <c r="L34" i="60"/>
  <c r="V24" i="54"/>
  <c r="V26" i="54"/>
  <c r="V28" i="54"/>
  <c r="V29" i="54"/>
  <c r="V31" i="54"/>
  <c r="Z12" i="55"/>
  <c r="F28" i="55"/>
  <c r="J28" i="56"/>
  <c r="Z34" i="56"/>
  <c r="J36" i="56"/>
  <c r="N49" i="58"/>
  <c r="Z52" i="59"/>
  <c r="X52" i="59"/>
  <c r="P16" i="54"/>
  <c r="D16" i="55"/>
  <c r="R29" i="55"/>
  <c r="R35" i="55"/>
  <c r="F60" i="56"/>
  <c r="F48" i="56"/>
  <c r="F77" i="56"/>
  <c r="F74" i="56"/>
  <c r="F55" i="56"/>
  <c r="F54" i="56"/>
  <c r="F39" i="56"/>
  <c r="F38" i="56"/>
  <c r="F62" i="56"/>
  <c r="F61" i="56"/>
  <c r="F64" i="56"/>
  <c r="F63" i="56"/>
  <c r="F51" i="56"/>
  <c r="F50" i="56"/>
  <c r="F43" i="56"/>
  <c r="F42" i="56"/>
  <c r="F31" i="56"/>
  <c r="F66" i="56"/>
  <c r="F65" i="56"/>
  <c r="F58" i="56"/>
  <c r="F26" i="56"/>
  <c r="F22" i="56"/>
  <c r="F45" i="56"/>
  <c r="F44" i="56"/>
  <c r="F33" i="56"/>
  <c r="F32" i="56"/>
  <c r="F70" i="56"/>
  <c r="F68" i="56"/>
  <c r="F59" i="56"/>
  <c r="F47" i="56"/>
  <c r="F46" i="56"/>
  <c r="F53" i="56"/>
  <c r="F37" i="56"/>
  <c r="F36" i="56"/>
  <c r="F29" i="56"/>
  <c r="F28" i="56"/>
  <c r="F19" i="56"/>
  <c r="F20" i="56"/>
  <c r="R45" i="56"/>
  <c r="F57" i="56"/>
  <c r="R63" i="56"/>
  <c r="F72" i="56"/>
  <c r="P65" i="57"/>
  <c r="N45" i="58"/>
  <c r="L45" i="58"/>
  <c r="N29" i="59"/>
  <c r="X15" i="51"/>
  <c r="X19" i="51"/>
  <c r="X23" i="51"/>
  <c r="Z23" i="51" s="1"/>
  <c r="X27" i="51"/>
  <c r="Z27" i="51" s="1"/>
  <c r="X31" i="51"/>
  <c r="Z31" i="51" s="1"/>
  <c r="X35" i="51"/>
  <c r="R14" i="54"/>
  <c r="R16" i="54"/>
  <c r="R18" i="54"/>
  <c r="R20" i="54"/>
  <c r="R22" i="54"/>
  <c r="F14" i="55"/>
  <c r="F16" i="55"/>
  <c r="R21" i="55"/>
  <c r="V35" i="55"/>
  <c r="J61" i="56"/>
  <c r="J55" i="56"/>
  <c r="J39" i="56"/>
  <c r="J62" i="56"/>
  <c r="J56" i="56"/>
  <c r="J40" i="56"/>
  <c r="J30" i="56"/>
  <c r="J63" i="56"/>
  <c r="J57" i="56"/>
  <c r="J49" i="56"/>
  <c r="J41" i="56"/>
  <c r="J64" i="56"/>
  <c r="J65" i="56"/>
  <c r="J51" i="56"/>
  <c r="J43" i="56"/>
  <c r="J66" i="56"/>
  <c r="J58" i="56"/>
  <c r="J44" i="56"/>
  <c r="J32" i="56"/>
  <c r="J26" i="56"/>
  <c r="J22" i="56"/>
  <c r="J45" i="56"/>
  <c r="J33" i="56"/>
  <c r="J70" i="56"/>
  <c r="J68" i="56"/>
  <c r="J52" i="56"/>
  <c r="J46" i="56"/>
  <c r="J34" i="56"/>
  <c r="N12" i="56"/>
  <c r="J72" i="56"/>
  <c r="J77" i="56"/>
  <c r="J74" i="56"/>
  <c r="J60" i="56"/>
  <c r="J54" i="56"/>
  <c r="J48" i="56"/>
  <c r="J38" i="56"/>
  <c r="J24" i="56"/>
  <c r="J20" i="56"/>
  <c r="J18" i="56"/>
  <c r="J16" i="56"/>
  <c r="J14" i="56"/>
  <c r="F27" i="56"/>
  <c r="F30" i="56"/>
  <c r="R33" i="56"/>
  <c r="Z63" i="56"/>
  <c r="L58" i="57"/>
  <c r="N58" i="57" s="1"/>
  <c r="Z49" i="58"/>
  <c r="L88" i="51"/>
  <c r="L96" i="51"/>
  <c r="L102" i="51"/>
  <c r="N102" i="51" s="1"/>
  <c r="T16" i="54"/>
  <c r="H16" i="55"/>
  <c r="V25" i="55"/>
  <c r="L12" i="56"/>
  <c r="F18" i="56"/>
  <c r="F35" i="56"/>
  <c r="Z36" i="56"/>
  <c r="X36" i="56"/>
  <c r="F40" i="56"/>
  <c r="N37" i="59"/>
  <c r="Z28" i="60"/>
  <c r="X28" i="60"/>
  <c r="T52" i="61"/>
  <c r="L13" i="51"/>
  <c r="L17" i="51"/>
  <c r="L21" i="51"/>
  <c r="L25" i="51"/>
  <c r="N25" i="51" s="1"/>
  <c r="L29" i="51"/>
  <c r="N29" i="51" s="1"/>
  <c r="L33" i="51"/>
  <c r="L37" i="51"/>
  <c r="V14" i="54"/>
  <c r="V16" i="54"/>
  <c r="V18" i="54"/>
  <c r="V20" i="54"/>
  <c r="V22" i="54"/>
  <c r="R28" i="55"/>
  <c r="R65" i="56"/>
  <c r="R64" i="56"/>
  <c r="R51" i="56"/>
  <c r="R44" i="56"/>
  <c r="R43" i="56"/>
  <c r="R32" i="56"/>
  <c r="R31" i="56"/>
  <c r="R66" i="56"/>
  <c r="R58" i="56"/>
  <c r="R70" i="56"/>
  <c r="R68" i="56"/>
  <c r="R52" i="56"/>
  <c r="R59" i="56"/>
  <c r="R47" i="56"/>
  <c r="R36" i="56"/>
  <c r="R35" i="56"/>
  <c r="R28" i="56"/>
  <c r="R27" i="56"/>
  <c r="R23" i="56"/>
  <c r="R72" i="56"/>
  <c r="R77" i="56"/>
  <c r="R74" i="56"/>
  <c r="R54" i="56"/>
  <c r="R53" i="56"/>
  <c r="R38" i="56"/>
  <c r="R37" i="56"/>
  <c r="R29" i="56"/>
  <c r="R18" i="56"/>
  <c r="R16" i="56"/>
  <c r="R14" i="56"/>
  <c r="R56" i="56"/>
  <c r="R55" i="56"/>
  <c r="R40" i="56"/>
  <c r="R39" i="56"/>
  <c r="R57" i="56"/>
  <c r="R50" i="56"/>
  <c r="R49" i="56"/>
  <c r="R42" i="56"/>
  <c r="R41" i="56"/>
  <c r="R25" i="56"/>
  <c r="R21" i="56"/>
  <c r="R20" i="56"/>
  <c r="R30" i="56"/>
  <c r="N43" i="58"/>
  <c r="X45" i="60"/>
  <c r="Z45" i="60" s="1"/>
  <c r="N13" i="51"/>
  <c r="F20" i="55"/>
  <c r="F19" i="55"/>
  <c r="F33" i="55"/>
  <c r="F31" i="55"/>
  <c r="F22" i="55"/>
  <c r="F21" i="55"/>
  <c r="F40" i="55"/>
  <c r="F37" i="55"/>
  <c r="F26" i="55"/>
  <c r="F25" i="55"/>
  <c r="L19" i="55"/>
  <c r="N19" i="55" s="1"/>
  <c r="V20" i="55"/>
  <c r="N23" i="55"/>
  <c r="V24" i="55"/>
  <c r="L27" i="55"/>
  <c r="V28" i="55"/>
  <c r="D16" i="56"/>
  <c r="L18" i="56"/>
  <c r="N18" i="56" s="1"/>
  <c r="X28" i="56"/>
  <c r="Z28" i="56" s="1"/>
  <c r="Z37" i="57"/>
  <c r="N50" i="57"/>
  <c r="L50" i="57"/>
  <c r="P16" i="59"/>
  <c r="N18" i="60"/>
  <c r="L29" i="67"/>
  <c r="N29" i="67" s="1"/>
  <c r="J33" i="55"/>
  <c r="J31" i="55"/>
  <c r="J21" i="55"/>
  <c r="J35" i="55"/>
  <c r="J23" i="55"/>
  <c r="J27" i="55"/>
  <c r="R33" i="55"/>
  <c r="X12" i="56"/>
  <c r="F16" i="56"/>
  <c r="R22" i="56"/>
  <c r="F24" i="56"/>
  <c r="Z40" i="56"/>
  <c r="F52" i="56"/>
  <c r="N48" i="57"/>
  <c r="Z19" i="58"/>
  <c r="Z43" i="58"/>
  <c r="Z19" i="59"/>
  <c r="V32" i="56"/>
  <c r="V44" i="56"/>
  <c r="V64" i="56"/>
  <c r="N14" i="57"/>
  <c r="F23" i="57"/>
  <c r="F27" i="57"/>
  <c r="J28" i="57"/>
  <c r="V30" i="57"/>
  <c r="J34" i="57"/>
  <c r="V38" i="57"/>
  <c r="F42" i="57"/>
  <c r="F43" i="57"/>
  <c r="J44" i="57"/>
  <c r="V46" i="57"/>
  <c r="F50" i="57"/>
  <c r="F51" i="57"/>
  <c r="J52" i="57"/>
  <c r="V54" i="57"/>
  <c r="F58" i="57"/>
  <c r="F59" i="57"/>
  <c r="J60" i="57"/>
  <c r="D16" i="58"/>
  <c r="J21" i="58"/>
  <c r="R22" i="58"/>
  <c r="J25" i="58"/>
  <c r="R26" i="58"/>
  <c r="J29" i="58"/>
  <c r="F34" i="58"/>
  <c r="J35" i="58"/>
  <c r="R38" i="58"/>
  <c r="R39" i="58"/>
  <c r="V41" i="58"/>
  <c r="F45" i="58"/>
  <c r="F46" i="58"/>
  <c r="J47" i="58"/>
  <c r="R50" i="58"/>
  <c r="F54" i="58"/>
  <c r="J55" i="58"/>
  <c r="R58" i="58"/>
  <c r="J61" i="58"/>
  <c r="V65" i="58"/>
  <c r="J75" i="58"/>
  <c r="J78" i="58"/>
  <c r="N14" i="59"/>
  <c r="F23" i="59"/>
  <c r="F27" i="59"/>
  <c r="V30" i="59"/>
  <c r="V34" i="59"/>
  <c r="J42" i="59"/>
  <c r="J50" i="59"/>
  <c r="R51" i="59"/>
  <c r="R52" i="59"/>
  <c r="V54" i="59"/>
  <c r="J58" i="59"/>
  <c r="J60" i="59"/>
  <c r="R64" i="59"/>
  <c r="R67" i="59"/>
  <c r="V57" i="60"/>
  <c r="V54" i="60"/>
  <c r="V52" i="60"/>
  <c r="V14" i="60"/>
  <c r="V16" i="60"/>
  <c r="V18" i="60"/>
  <c r="J22" i="60"/>
  <c r="R23" i="60"/>
  <c r="J26" i="60"/>
  <c r="R27" i="60"/>
  <c r="R28" i="60"/>
  <c r="V30" i="60"/>
  <c r="F34" i="60"/>
  <c r="F35" i="60"/>
  <c r="V38" i="60"/>
  <c r="V39" i="60"/>
  <c r="N43" i="60"/>
  <c r="R44" i="60"/>
  <c r="R45" i="60"/>
  <c r="F50" i="60"/>
  <c r="J14" i="61"/>
  <c r="P16" i="61"/>
  <c r="Z18" i="61"/>
  <c r="V19" i="61"/>
  <c r="J21" i="61"/>
  <c r="V30" i="61"/>
  <c r="N32" i="61"/>
  <c r="J36" i="61"/>
  <c r="J39" i="61"/>
  <c r="J52" i="61"/>
  <c r="N37" i="63"/>
  <c r="Z18" i="67"/>
  <c r="L21" i="68"/>
  <c r="N21" i="68" s="1"/>
  <c r="Z44" i="68"/>
  <c r="V62" i="56"/>
  <c r="R14" i="57"/>
  <c r="R16" i="57"/>
  <c r="R18" i="57"/>
  <c r="R29" i="57"/>
  <c r="F40" i="57"/>
  <c r="F41" i="57"/>
  <c r="R45" i="57"/>
  <c r="F48" i="57"/>
  <c r="F49" i="57"/>
  <c r="R53" i="57"/>
  <c r="F56" i="57"/>
  <c r="F57" i="57"/>
  <c r="R61" i="57"/>
  <c r="H16" i="58"/>
  <c r="V31" i="58"/>
  <c r="R36" i="58"/>
  <c r="R37" i="58"/>
  <c r="V39" i="58"/>
  <c r="F43" i="58"/>
  <c r="F44" i="58"/>
  <c r="J45" i="58"/>
  <c r="R48" i="58"/>
  <c r="R49" i="58"/>
  <c r="R56" i="58"/>
  <c r="R57" i="58"/>
  <c r="F60" i="58"/>
  <c r="V63" i="58"/>
  <c r="F69" i="58"/>
  <c r="F71" i="58"/>
  <c r="J73" i="58"/>
  <c r="R14" i="59"/>
  <c r="R16" i="59"/>
  <c r="R18" i="59"/>
  <c r="R33" i="59"/>
  <c r="J48" i="59"/>
  <c r="V52" i="59"/>
  <c r="J56" i="59"/>
  <c r="V62" i="59"/>
  <c r="V64" i="59"/>
  <c r="V67" i="59"/>
  <c r="J34" i="60"/>
  <c r="J41" i="60"/>
  <c r="R42" i="60"/>
  <c r="R43" i="60"/>
  <c r="J50" i="60"/>
  <c r="J35" i="61"/>
  <c r="P104" i="63"/>
  <c r="Z39" i="68"/>
  <c r="T16" i="57"/>
  <c r="R19" i="57"/>
  <c r="R34" i="57"/>
  <c r="R35" i="57"/>
  <c r="F69" i="57"/>
  <c r="F72" i="57"/>
  <c r="R21" i="58"/>
  <c r="R25" i="58"/>
  <c r="R29" i="58"/>
  <c r="R30" i="58"/>
  <c r="J44" i="58"/>
  <c r="V48" i="58"/>
  <c r="V56" i="58"/>
  <c r="J60" i="58"/>
  <c r="R61" i="58"/>
  <c r="R62" i="58"/>
  <c r="V64" i="58"/>
  <c r="T16" i="59"/>
  <c r="R19" i="59"/>
  <c r="R42" i="59"/>
  <c r="R43" i="59"/>
  <c r="R50" i="59"/>
  <c r="D16" i="60"/>
  <c r="J21" i="60"/>
  <c r="J25" i="60"/>
  <c r="J33" i="60"/>
  <c r="F57" i="60"/>
  <c r="J50" i="61"/>
  <c r="J40" i="61"/>
  <c r="J42" i="61"/>
  <c r="J32" i="61"/>
  <c r="J26" i="61"/>
  <c r="J22" i="61"/>
  <c r="J44" i="61"/>
  <c r="J34" i="61"/>
  <c r="J28" i="61"/>
  <c r="J37" i="61"/>
  <c r="J29" i="61"/>
  <c r="J19" i="61"/>
  <c r="J23" i="61"/>
  <c r="Z27" i="61"/>
  <c r="J31" i="61"/>
  <c r="X43" i="61"/>
  <c r="Z43" i="61" s="1"/>
  <c r="Z16" i="63"/>
  <c r="X40" i="67"/>
  <c r="Z40" i="67" s="1"/>
  <c r="F76" i="73"/>
  <c r="F75" i="73"/>
  <c r="F60" i="73"/>
  <c r="F56" i="73"/>
  <c r="F67" i="73"/>
  <c r="F66" i="73"/>
  <c r="F47" i="73"/>
  <c r="F43" i="73"/>
  <c r="F39" i="73"/>
  <c r="F35" i="73"/>
  <c r="F34" i="73"/>
  <c r="F80" i="73"/>
  <c r="F78" i="73"/>
  <c r="F69" i="73"/>
  <c r="F68" i="73"/>
  <c r="F61" i="73"/>
  <c r="F57" i="73"/>
  <c r="F82" i="73"/>
  <c r="F48" i="73"/>
  <c r="F44" i="73"/>
  <c r="F40" i="73"/>
  <c r="F36" i="73"/>
  <c r="F63" i="73"/>
  <c r="F62" i="73"/>
  <c r="F70" i="73"/>
  <c r="F58" i="73"/>
  <c r="F87" i="73"/>
  <c r="F84" i="73"/>
  <c r="F49" i="73"/>
  <c r="F45" i="73"/>
  <c r="F41" i="73"/>
  <c r="F37" i="73"/>
  <c r="F72" i="73"/>
  <c r="F71" i="73"/>
  <c r="F64" i="73"/>
  <c r="L12" i="73"/>
  <c r="F59" i="73"/>
  <c r="F55" i="73"/>
  <c r="F54" i="73"/>
  <c r="F65" i="73"/>
  <c r="D51" i="73"/>
  <c r="F74" i="73"/>
  <c r="F42" i="73"/>
  <c r="F53" i="73"/>
  <c r="F51" i="73"/>
  <c r="F73" i="73"/>
  <c r="F38" i="73"/>
  <c r="F46" i="73"/>
  <c r="V24" i="56"/>
  <c r="V40" i="56"/>
  <c r="V48" i="56"/>
  <c r="V56" i="56"/>
  <c r="V60" i="56"/>
  <c r="V14" i="57"/>
  <c r="V16" i="57"/>
  <c r="V18" i="57"/>
  <c r="J22" i="57"/>
  <c r="R23" i="57"/>
  <c r="J26" i="57"/>
  <c r="R27" i="57"/>
  <c r="R28" i="57"/>
  <c r="F31" i="57"/>
  <c r="V34" i="57"/>
  <c r="F39" i="57"/>
  <c r="J40" i="57"/>
  <c r="R43" i="57"/>
  <c r="R44" i="57"/>
  <c r="F47" i="57"/>
  <c r="J48" i="57"/>
  <c r="R51" i="57"/>
  <c r="R52" i="57"/>
  <c r="F55" i="57"/>
  <c r="J56" i="57"/>
  <c r="R59" i="57"/>
  <c r="R60" i="57"/>
  <c r="J19" i="58"/>
  <c r="V21" i="58"/>
  <c r="V25" i="58"/>
  <c r="V29" i="58"/>
  <c r="J33" i="58"/>
  <c r="R34" i="58"/>
  <c r="R35" i="58"/>
  <c r="V37" i="58"/>
  <c r="F41" i="58"/>
  <c r="F42" i="58"/>
  <c r="J43" i="58"/>
  <c r="R46" i="58"/>
  <c r="R47" i="58"/>
  <c r="V49" i="58"/>
  <c r="J53" i="58"/>
  <c r="R54" i="58"/>
  <c r="R55" i="58"/>
  <c r="V57" i="58"/>
  <c r="V61" i="58"/>
  <c r="J69" i="58"/>
  <c r="J71" i="58"/>
  <c r="R75" i="58"/>
  <c r="R78" i="58"/>
  <c r="V14" i="59"/>
  <c r="V16" i="59"/>
  <c r="V18" i="59"/>
  <c r="J22" i="59"/>
  <c r="R23" i="59"/>
  <c r="J26" i="59"/>
  <c r="R27" i="59"/>
  <c r="F31" i="59"/>
  <c r="J38" i="59"/>
  <c r="V42" i="59"/>
  <c r="J46" i="59"/>
  <c r="V50" i="59"/>
  <c r="F54" i="59"/>
  <c r="F55" i="59"/>
  <c r="R58" i="59"/>
  <c r="R60" i="59"/>
  <c r="F16" i="60"/>
  <c r="F18" i="60"/>
  <c r="V22" i="60"/>
  <c r="V26" i="60"/>
  <c r="F30" i="60"/>
  <c r="F31" i="60"/>
  <c r="J32" i="60"/>
  <c r="R35" i="60"/>
  <c r="L39" i="60"/>
  <c r="F40" i="60"/>
  <c r="V43" i="60"/>
  <c r="J48" i="60"/>
  <c r="J57" i="60"/>
  <c r="L12" i="61"/>
  <c r="J20" i="61"/>
  <c r="V26" i="61"/>
  <c r="V27" i="61"/>
  <c r="V29" i="61"/>
  <c r="V43" i="61"/>
  <c r="L19" i="63"/>
  <c r="N19" i="63" s="1"/>
  <c r="Z77" i="63"/>
  <c r="X77" i="63"/>
  <c r="V37" i="56"/>
  <c r="V53" i="56"/>
  <c r="V61" i="56"/>
  <c r="X12" i="57"/>
  <c r="J31" i="57"/>
  <c r="R32" i="57"/>
  <c r="R33" i="57"/>
  <c r="J39" i="57"/>
  <c r="V43" i="57"/>
  <c r="J47" i="57"/>
  <c r="V51" i="57"/>
  <c r="J55" i="57"/>
  <c r="V59" i="57"/>
  <c r="J69" i="57"/>
  <c r="J72" i="57"/>
  <c r="V34" i="58"/>
  <c r="J42" i="58"/>
  <c r="V46" i="58"/>
  <c r="F51" i="58"/>
  <c r="J52" i="58"/>
  <c r="V54" i="58"/>
  <c r="F59" i="58"/>
  <c r="V62" i="58"/>
  <c r="F66" i="58"/>
  <c r="F67" i="58"/>
  <c r="R73" i="58"/>
  <c r="X12" i="59"/>
  <c r="R32" i="59"/>
  <c r="R40" i="59"/>
  <c r="R41" i="59"/>
  <c r="R48" i="59"/>
  <c r="R49" i="59"/>
  <c r="J55" i="59"/>
  <c r="R56" i="59"/>
  <c r="H16" i="60"/>
  <c r="J31" i="60"/>
  <c r="F39" i="60"/>
  <c r="J40" i="60"/>
  <c r="R41" i="60"/>
  <c r="R50" i="60"/>
  <c r="F54" i="60"/>
  <c r="N12" i="61"/>
  <c r="X27" i="61"/>
  <c r="V32" i="61"/>
  <c r="V35" i="61"/>
  <c r="J38" i="61"/>
  <c r="V42" i="61"/>
  <c r="N66" i="63"/>
  <c r="H95" i="63"/>
  <c r="N97" i="63"/>
  <c r="L97" i="63"/>
  <c r="V14" i="56"/>
  <c r="V16" i="56"/>
  <c r="V18" i="56"/>
  <c r="V38" i="56"/>
  <c r="V54" i="56"/>
  <c r="V72" i="56"/>
  <c r="V74" i="56"/>
  <c r="V77" i="56"/>
  <c r="F21" i="57"/>
  <c r="F25" i="57"/>
  <c r="V28" i="57"/>
  <c r="V32" i="57"/>
  <c r="R41" i="57"/>
  <c r="R42" i="57"/>
  <c r="V44" i="57"/>
  <c r="R49" i="57"/>
  <c r="R50" i="57"/>
  <c r="V52" i="57"/>
  <c r="R57" i="57"/>
  <c r="R58" i="57"/>
  <c r="V60" i="57"/>
  <c r="F67" i="57"/>
  <c r="L12" i="58"/>
  <c r="P16" i="58"/>
  <c r="R20" i="58"/>
  <c r="J23" i="58"/>
  <c r="R24" i="58"/>
  <c r="J27" i="58"/>
  <c r="R28" i="58"/>
  <c r="F32" i="58"/>
  <c r="V35" i="58"/>
  <c r="F39" i="58"/>
  <c r="F40" i="58"/>
  <c r="J41" i="58"/>
  <c r="R44" i="58"/>
  <c r="R45" i="58"/>
  <c r="V47" i="58"/>
  <c r="J51" i="58"/>
  <c r="V55" i="58"/>
  <c r="J59" i="58"/>
  <c r="R60" i="58"/>
  <c r="J67" i="58"/>
  <c r="V73" i="58"/>
  <c r="V75" i="58"/>
  <c r="V78" i="58"/>
  <c r="Z12" i="59"/>
  <c r="F21" i="59"/>
  <c r="F25" i="59"/>
  <c r="V32" i="59"/>
  <c r="J36" i="59"/>
  <c r="V40" i="59"/>
  <c r="F45" i="59"/>
  <c r="V48" i="59"/>
  <c r="F52" i="59"/>
  <c r="F53" i="59"/>
  <c r="J54" i="59"/>
  <c r="V56" i="59"/>
  <c r="V58" i="59"/>
  <c r="V60" i="59"/>
  <c r="F64" i="59"/>
  <c r="F67" i="59"/>
  <c r="J14" i="60"/>
  <c r="J16" i="60"/>
  <c r="J18" i="60"/>
  <c r="J20" i="60"/>
  <c r="R21" i="60"/>
  <c r="J24" i="60"/>
  <c r="R25" i="60"/>
  <c r="F28" i="60"/>
  <c r="F29" i="60"/>
  <c r="J30" i="60"/>
  <c r="R33" i="60"/>
  <c r="R34" i="60"/>
  <c r="V41" i="60"/>
  <c r="F45" i="60"/>
  <c r="F46" i="60"/>
  <c r="X48" i="60"/>
  <c r="J54" i="60"/>
  <c r="R34" i="61"/>
  <c r="R33" i="61"/>
  <c r="R48" i="61"/>
  <c r="R46" i="61"/>
  <c r="R36" i="61"/>
  <c r="R35" i="61"/>
  <c r="R23" i="61"/>
  <c r="R38" i="61"/>
  <c r="R37" i="61"/>
  <c r="R29" i="61"/>
  <c r="R30" i="61"/>
  <c r="J25" i="61"/>
  <c r="R31" i="61"/>
  <c r="L34" i="61"/>
  <c r="N34" i="61" s="1"/>
  <c r="J41" i="61"/>
  <c r="D16" i="63"/>
  <c r="L42" i="63"/>
  <c r="N42" i="63" s="1"/>
  <c r="Z75" i="63"/>
  <c r="V59" i="56"/>
  <c r="D16" i="57"/>
  <c r="R22" i="57"/>
  <c r="R26" i="57"/>
  <c r="F30" i="57"/>
  <c r="F37" i="57"/>
  <c r="F38" i="57"/>
  <c r="V41" i="57"/>
  <c r="F46" i="57"/>
  <c r="V49" i="57"/>
  <c r="F54" i="57"/>
  <c r="V57" i="57"/>
  <c r="F63" i="57"/>
  <c r="F65" i="57"/>
  <c r="J67" i="57"/>
  <c r="N12" i="58"/>
  <c r="R14" i="58"/>
  <c r="R16" i="58"/>
  <c r="R18" i="58"/>
  <c r="V20" i="58"/>
  <c r="V24" i="58"/>
  <c r="V28" i="58"/>
  <c r="J32" i="58"/>
  <c r="R33" i="58"/>
  <c r="J40" i="58"/>
  <c r="V44" i="58"/>
  <c r="R53" i="58"/>
  <c r="V60" i="58"/>
  <c r="F64" i="58"/>
  <c r="F65" i="58"/>
  <c r="J66" i="58"/>
  <c r="D16" i="59"/>
  <c r="J21" i="59"/>
  <c r="R22" i="59"/>
  <c r="J25" i="59"/>
  <c r="R26" i="59"/>
  <c r="F29" i="59"/>
  <c r="F30" i="59"/>
  <c r="F34" i="59"/>
  <c r="J35" i="59"/>
  <c r="R38" i="59"/>
  <c r="R39" i="59"/>
  <c r="V41" i="59"/>
  <c r="J45" i="59"/>
  <c r="R46" i="59"/>
  <c r="R47" i="59"/>
  <c r="V49" i="59"/>
  <c r="J53" i="59"/>
  <c r="J19" i="60"/>
  <c r="V21" i="60"/>
  <c r="V25" i="60"/>
  <c r="J29" i="60"/>
  <c r="V33" i="60"/>
  <c r="F37" i="60"/>
  <c r="F38" i="60"/>
  <c r="J39" i="60"/>
  <c r="R48" i="60"/>
  <c r="V50" i="60"/>
  <c r="V48" i="61"/>
  <c r="V46" i="61"/>
  <c r="V44" i="61"/>
  <c r="V36" i="61"/>
  <c r="V28" i="61"/>
  <c r="Z12" i="61"/>
  <c r="V38" i="61"/>
  <c r="V55" i="61"/>
  <c r="V52" i="61"/>
  <c r="V50" i="61"/>
  <c r="V41" i="61"/>
  <c r="V25" i="61"/>
  <c r="V21" i="61"/>
  <c r="D16" i="61"/>
  <c r="R20" i="61"/>
  <c r="V31" i="61"/>
  <c r="R50" i="61"/>
  <c r="J55" i="61"/>
  <c r="H12" i="68"/>
  <c r="L18" i="68"/>
  <c r="N18" i="68" s="1"/>
  <c r="Z36" i="68"/>
  <c r="R31" i="57"/>
  <c r="R39" i="57"/>
  <c r="R40" i="57"/>
  <c r="R47" i="57"/>
  <c r="R48" i="57"/>
  <c r="R55" i="57"/>
  <c r="R56" i="57"/>
  <c r="T16" i="58"/>
  <c r="R19" i="58"/>
  <c r="J39" i="58"/>
  <c r="R42" i="58"/>
  <c r="R43" i="58"/>
  <c r="V45" i="58"/>
  <c r="V53" i="58"/>
  <c r="F57" i="58"/>
  <c r="F58" i="58"/>
  <c r="J65" i="58"/>
  <c r="R69" i="58"/>
  <c r="R71" i="58"/>
  <c r="R31" i="59"/>
  <c r="V46" i="59"/>
  <c r="F51" i="59"/>
  <c r="J52" i="59"/>
  <c r="R55" i="59"/>
  <c r="J64" i="59"/>
  <c r="J67" i="59"/>
  <c r="J28" i="60"/>
  <c r="J38" i="60"/>
  <c r="R40" i="60"/>
  <c r="J45" i="60"/>
  <c r="R57" i="60"/>
  <c r="J33" i="61"/>
  <c r="X16" i="63"/>
  <c r="F100" i="70"/>
  <c r="F99" i="70"/>
  <c r="F56" i="70"/>
  <c r="F52" i="70"/>
  <c r="F48" i="70"/>
  <c r="F44" i="70"/>
  <c r="F107" i="70"/>
  <c r="F106" i="70"/>
  <c r="F91" i="70"/>
  <c r="F90" i="70"/>
  <c r="F75" i="70"/>
  <c r="F82" i="70"/>
  <c r="F70" i="70"/>
  <c r="F66" i="70"/>
  <c r="F62" i="70"/>
  <c r="F61" i="70"/>
  <c r="F114" i="70"/>
  <c r="F109" i="70"/>
  <c r="F108" i="70"/>
  <c r="F101" i="70"/>
  <c r="F93" i="70"/>
  <c r="F92" i="70"/>
  <c r="F60" i="70"/>
  <c r="F53" i="70"/>
  <c r="F49" i="70"/>
  <c r="F45" i="70"/>
  <c r="F118" i="70"/>
  <c r="F113" i="70"/>
  <c r="F84" i="70"/>
  <c r="F83" i="70"/>
  <c r="F76" i="70"/>
  <c r="F72" i="70"/>
  <c r="F71" i="70"/>
  <c r="D58" i="70"/>
  <c r="F58" i="70" s="1"/>
  <c r="L12" i="70"/>
  <c r="F112" i="70"/>
  <c r="F95" i="70"/>
  <c r="F94" i="70"/>
  <c r="F67" i="70"/>
  <c r="F63" i="70"/>
  <c r="F111" i="70"/>
  <c r="F102" i="70"/>
  <c r="F86" i="70"/>
  <c r="F85" i="70"/>
  <c r="F54" i="70"/>
  <c r="F50" i="70"/>
  <c r="F46" i="70"/>
  <c r="F42" i="70"/>
  <c r="F41" i="70"/>
  <c r="F77" i="70"/>
  <c r="F73" i="70"/>
  <c r="F104" i="70"/>
  <c r="F103" i="70"/>
  <c r="F96" i="70"/>
  <c r="F88" i="70"/>
  <c r="F87" i="70"/>
  <c r="F68" i="70"/>
  <c r="F64" i="70"/>
  <c r="F79" i="70"/>
  <c r="F78" i="70"/>
  <c r="F55" i="70"/>
  <c r="F51" i="70"/>
  <c r="F47" i="70"/>
  <c r="F43" i="70"/>
  <c r="F105" i="70"/>
  <c r="F89" i="70"/>
  <c r="F81" i="70"/>
  <c r="F80" i="70"/>
  <c r="F69" i="70"/>
  <c r="F65" i="70"/>
  <c r="F98" i="70"/>
  <c r="F74" i="70"/>
  <c r="F97" i="70"/>
  <c r="X19" i="70"/>
  <c r="Z19" i="70" s="1"/>
  <c r="X23" i="70"/>
  <c r="Z23" i="70" s="1"/>
  <c r="Z31" i="70"/>
  <c r="X31" i="70"/>
  <c r="Z35" i="70"/>
  <c r="X35" i="70"/>
  <c r="Z39" i="70"/>
  <c r="X39" i="70"/>
  <c r="L42" i="56"/>
  <c r="L50" i="56"/>
  <c r="N50" i="56" s="1"/>
  <c r="F19" i="57"/>
  <c r="F20" i="57"/>
  <c r="F24" i="57"/>
  <c r="F35" i="57"/>
  <c r="F36" i="57"/>
  <c r="J37" i="57"/>
  <c r="V39" i="57"/>
  <c r="V47" i="57"/>
  <c r="V55" i="57"/>
  <c r="J63" i="57"/>
  <c r="J65" i="57"/>
  <c r="R69" i="57"/>
  <c r="R72" i="57"/>
  <c r="V14" i="58"/>
  <c r="V16" i="58"/>
  <c r="V18" i="58"/>
  <c r="J22" i="58"/>
  <c r="R23" i="58"/>
  <c r="J26" i="58"/>
  <c r="R27" i="58"/>
  <c r="J38" i="58"/>
  <c r="V42" i="58"/>
  <c r="J50" i="58"/>
  <c r="R51" i="58"/>
  <c r="R52" i="58"/>
  <c r="J58" i="58"/>
  <c r="R59" i="58"/>
  <c r="F62" i="58"/>
  <c r="F63" i="58"/>
  <c r="J64" i="58"/>
  <c r="R67" i="58"/>
  <c r="F19" i="59"/>
  <c r="F20" i="59"/>
  <c r="F24" i="59"/>
  <c r="F28" i="59"/>
  <c r="J29" i="59"/>
  <c r="V31" i="59"/>
  <c r="R36" i="59"/>
  <c r="R37" i="59"/>
  <c r="V39" i="59"/>
  <c r="F43" i="59"/>
  <c r="F44" i="59"/>
  <c r="V47" i="59"/>
  <c r="J51" i="59"/>
  <c r="V55" i="59"/>
  <c r="F62" i="59"/>
  <c r="L12" i="60"/>
  <c r="P16" i="60"/>
  <c r="R20" i="60"/>
  <c r="J23" i="60"/>
  <c r="R24" i="60"/>
  <c r="J27" i="60"/>
  <c r="V31" i="60"/>
  <c r="F36" i="60"/>
  <c r="J37" i="60"/>
  <c r="V40" i="60"/>
  <c r="J44" i="60"/>
  <c r="R46" i="60"/>
  <c r="V48" i="60"/>
  <c r="F52" i="60"/>
  <c r="H16" i="61"/>
  <c r="R22" i="61"/>
  <c r="R25" i="61"/>
  <c r="R28" i="61"/>
  <c r="J30" i="61"/>
  <c r="V34" i="61"/>
  <c r="X38" i="61"/>
  <c r="Z38" i="61" s="1"/>
  <c r="R41" i="61"/>
  <c r="R44" i="61"/>
  <c r="R55" i="61"/>
  <c r="N47" i="63"/>
  <c r="Z18" i="68"/>
  <c r="Z24" i="68"/>
  <c r="V46" i="56"/>
  <c r="V58" i="56"/>
  <c r="L63" i="56"/>
  <c r="N63" i="56" s="1"/>
  <c r="V66" i="56"/>
  <c r="V68" i="56"/>
  <c r="V70" i="56"/>
  <c r="R21" i="57"/>
  <c r="R25" i="57"/>
  <c r="F28" i="57"/>
  <c r="F29" i="57"/>
  <c r="J36" i="57"/>
  <c r="L37" i="57"/>
  <c r="N37" i="57" s="1"/>
  <c r="V40" i="57"/>
  <c r="F44" i="57"/>
  <c r="F45" i="57"/>
  <c r="V48" i="57"/>
  <c r="F52" i="57"/>
  <c r="F53" i="57"/>
  <c r="V56" i="57"/>
  <c r="F60" i="57"/>
  <c r="F61" i="57"/>
  <c r="L63" i="57"/>
  <c r="R67" i="57"/>
  <c r="X12" i="58"/>
  <c r="X14" i="58"/>
  <c r="X18" i="58"/>
  <c r="Z18" i="58" s="1"/>
  <c r="V23" i="58"/>
  <c r="V27" i="58"/>
  <c r="J31" i="58"/>
  <c r="R32" i="58"/>
  <c r="F35" i="58"/>
  <c r="F36" i="58"/>
  <c r="J37" i="58"/>
  <c r="R40" i="58"/>
  <c r="R41" i="58"/>
  <c r="V43" i="58"/>
  <c r="F47" i="58"/>
  <c r="F48" i="58"/>
  <c r="J49" i="58"/>
  <c r="V51" i="58"/>
  <c r="F55" i="58"/>
  <c r="F56" i="58"/>
  <c r="J57" i="58"/>
  <c r="V59" i="58"/>
  <c r="J63" i="58"/>
  <c r="L64" i="58"/>
  <c r="V67" i="58"/>
  <c r="V69" i="58"/>
  <c r="V71" i="58"/>
  <c r="F75" i="58"/>
  <c r="F78" i="58"/>
  <c r="R21" i="59"/>
  <c r="R25" i="59"/>
  <c r="L29" i="59"/>
  <c r="F33" i="59"/>
  <c r="V36" i="59"/>
  <c r="X39" i="59"/>
  <c r="J44" i="59"/>
  <c r="R45" i="59"/>
  <c r="X47" i="59"/>
  <c r="Z47" i="59" s="1"/>
  <c r="R53" i="59"/>
  <c r="R54" i="59"/>
  <c r="F58" i="59"/>
  <c r="F60" i="59"/>
  <c r="J62" i="59"/>
  <c r="N12" i="60"/>
  <c r="R29" i="60"/>
  <c r="R30" i="60"/>
  <c r="J36" i="60"/>
  <c r="L37" i="60"/>
  <c r="R39" i="60"/>
  <c r="F42" i="60"/>
  <c r="J43" i="60"/>
  <c r="V46" i="60"/>
  <c r="J52" i="60"/>
  <c r="R54" i="60"/>
  <c r="J16" i="61"/>
  <c r="V22" i="61"/>
  <c r="X34" i="61"/>
  <c r="Z34" i="61" s="1"/>
  <c r="V37" i="61"/>
  <c r="R40" i="61"/>
  <c r="J48" i="61"/>
  <c r="N39" i="63"/>
  <c r="P111" i="70"/>
  <c r="X114" i="70"/>
  <c r="Z114" i="70" s="1"/>
  <c r="V43" i="56"/>
  <c r="R30" i="57"/>
  <c r="F33" i="57"/>
  <c r="R38" i="57"/>
  <c r="J45" i="57"/>
  <c r="R46" i="57"/>
  <c r="J53" i="57"/>
  <c r="V67" i="57"/>
  <c r="V69" i="57"/>
  <c r="J30" i="58"/>
  <c r="V32" i="58"/>
  <c r="J36" i="58"/>
  <c r="V40" i="58"/>
  <c r="J48" i="58"/>
  <c r="J56" i="58"/>
  <c r="R65" i="58"/>
  <c r="V25" i="59"/>
  <c r="R30" i="59"/>
  <c r="J33" i="59"/>
  <c r="R34" i="59"/>
  <c r="V37" i="59"/>
  <c r="F41" i="59"/>
  <c r="F42" i="59"/>
  <c r="V45" i="59"/>
  <c r="F49" i="59"/>
  <c r="R19" i="60"/>
  <c r="F22" i="60"/>
  <c r="V29" i="60"/>
  <c r="J42" i="60"/>
  <c r="R18" i="61"/>
  <c r="J24" i="61"/>
  <c r="J27" i="61"/>
  <c r="V33" i="61"/>
  <c r="V40" i="61"/>
  <c r="J43" i="61"/>
  <c r="X16" i="68"/>
  <c r="Z16" i="68" s="1"/>
  <c r="H16" i="63"/>
  <c r="F19" i="63"/>
  <c r="F20" i="63"/>
  <c r="F24" i="63"/>
  <c r="F28" i="63"/>
  <c r="J29" i="63"/>
  <c r="V31" i="63"/>
  <c r="V35" i="63"/>
  <c r="Z37" i="63"/>
  <c r="F39" i="63"/>
  <c r="F40" i="63"/>
  <c r="V43" i="63"/>
  <c r="F47" i="63"/>
  <c r="F48" i="63"/>
  <c r="V51" i="63"/>
  <c r="J59" i="63"/>
  <c r="V63" i="63"/>
  <c r="F68" i="63"/>
  <c r="V71" i="63"/>
  <c r="N75" i="63"/>
  <c r="R76" i="63"/>
  <c r="R77" i="63"/>
  <c r="F80" i="63"/>
  <c r="J87" i="63"/>
  <c r="J95" i="63"/>
  <c r="F97" i="63"/>
  <c r="F102" i="63"/>
  <c r="D16" i="67"/>
  <c r="Z19" i="67"/>
  <c r="J21" i="67"/>
  <c r="R22" i="67"/>
  <c r="J25" i="67"/>
  <c r="R26" i="67"/>
  <c r="F29" i="67"/>
  <c r="F30" i="67"/>
  <c r="J34" i="67"/>
  <c r="V35" i="67"/>
  <c r="V36" i="67"/>
  <c r="R40" i="67"/>
  <c r="V45" i="67"/>
  <c r="Z47" i="67"/>
  <c r="V51" i="67"/>
  <c r="F53" i="67"/>
  <c r="V56" i="67"/>
  <c r="F60" i="67"/>
  <c r="R62" i="67"/>
  <c r="X19" i="68"/>
  <c r="Z19" i="68" s="1"/>
  <c r="N24" i="68"/>
  <c r="Z25" i="68"/>
  <c r="L32" i="68"/>
  <c r="N32" i="68" s="1"/>
  <c r="Z33" i="68"/>
  <c r="L40" i="68"/>
  <c r="N40" i="68" s="1"/>
  <c r="Z41" i="68"/>
  <c r="N16" i="69"/>
  <c r="L16" i="69"/>
  <c r="Z40" i="69"/>
  <c r="N78" i="70"/>
  <c r="N90" i="70"/>
  <c r="Z92" i="70"/>
  <c r="X112" i="70"/>
  <c r="Z112" i="70" s="1"/>
  <c r="T111" i="70"/>
  <c r="Z16" i="72"/>
  <c r="R30" i="63"/>
  <c r="R34" i="63"/>
  <c r="F37" i="63"/>
  <c r="F38" i="63"/>
  <c r="F46" i="63"/>
  <c r="J47" i="63"/>
  <c r="J57" i="63"/>
  <c r="J73" i="63"/>
  <c r="R74" i="63"/>
  <c r="R75" i="63"/>
  <c r="J85" i="63"/>
  <c r="V89" i="63"/>
  <c r="J93" i="63"/>
  <c r="J97" i="63"/>
  <c r="H16" i="67"/>
  <c r="F19" i="67"/>
  <c r="F20" i="67"/>
  <c r="F24" i="67"/>
  <c r="F28" i="67"/>
  <c r="J29" i="67"/>
  <c r="V31" i="67"/>
  <c r="F33" i="67"/>
  <c r="V39" i="67"/>
  <c r="J43" i="67"/>
  <c r="F47" i="67"/>
  <c r="F48" i="67"/>
  <c r="R49" i="67"/>
  <c r="J53" i="67"/>
  <c r="V54" i="67"/>
  <c r="V62" i="67"/>
  <c r="P12" i="68"/>
  <c r="X13" i="68"/>
  <c r="X27" i="68"/>
  <c r="Z27" i="68" s="1"/>
  <c r="X35" i="68"/>
  <c r="Z35" i="68" s="1"/>
  <c r="V51" i="69"/>
  <c r="V39" i="69"/>
  <c r="V50" i="69"/>
  <c r="V42" i="69"/>
  <c r="V34" i="69"/>
  <c r="V57" i="69"/>
  <c r="V41" i="69"/>
  <c r="V29" i="69"/>
  <c r="V25" i="69"/>
  <c r="V52" i="69"/>
  <c r="V44" i="69"/>
  <c r="V16" i="69"/>
  <c r="V59" i="69"/>
  <c r="V43" i="69"/>
  <c r="V35" i="69"/>
  <c r="V58" i="69"/>
  <c r="V46" i="69"/>
  <c r="V30" i="69"/>
  <c r="V26" i="69"/>
  <c r="V53" i="69"/>
  <c r="V45" i="69"/>
  <c r="V17" i="69"/>
  <c r="V62" i="69"/>
  <c r="V60" i="69"/>
  <c r="V48" i="69"/>
  <c r="V36" i="69"/>
  <c r="V32" i="69"/>
  <c r="V55" i="69"/>
  <c r="V47" i="69"/>
  <c r="V31" i="69"/>
  <c r="V27" i="69"/>
  <c r="V23" i="69"/>
  <c r="V54" i="69"/>
  <c r="V38" i="69"/>
  <c r="V22" i="69"/>
  <c r="V20" i="69"/>
  <c r="V18" i="69"/>
  <c r="V66" i="69"/>
  <c r="V56" i="69"/>
  <c r="V40" i="69"/>
  <c r="V28" i="69"/>
  <c r="V24" i="69"/>
  <c r="X38" i="69"/>
  <c r="Z38" i="69" s="1"/>
  <c r="X27" i="70"/>
  <c r="Z27" i="70" s="1"/>
  <c r="F33" i="61"/>
  <c r="F23" i="63"/>
  <c r="F27" i="63"/>
  <c r="J38" i="63"/>
  <c r="J46" i="63"/>
  <c r="F54" i="63"/>
  <c r="F55" i="63"/>
  <c r="J56" i="63"/>
  <c r="R59" i="63"/>
  <c r="R60" i="63"/>
  <c r="V62" i="63"/>
  <c r="F66" i="63"/>
  <c r="F67" i="63"/>
  <c r="V74" i="63"/>
  <c r="F79" i="63"/>
  <c r="F83" i="63"/>
  <c r="J84" i="63"/>
  <c r="R87" i="63"/>
  <c r="R88" i="63"/>
  <c r="F91" i="63"/>
  <c r="J92" i="63"/>
  <c r="J98" i="63"/>
  <c r="J100" i="63"/>
  <c r="R104" i="63"/>
  <c r="R107" i="63"/>
  <c r="J20" i="67"/>
  <c r="R21" i="67"/>
  <c r="J24" i="67"/>
  <c r="R25" i="67"/>
  <c r="J28" i="67"/>
  <c r="J33" i="67"/>
  <c r="R34" i="67"/>
  <c r="F37" i="67"/>
  <c r="J48" i="67"/>
  <c r="V49" i="67"/>
  <c r="R60" i="67"/>
  <c r="D12" i="68"/>
  <c r="N34" i="68"/>
  <c r="T64" i="69"/>
  <c r="V64" i="69" s="1"/>
  <c r="N111" i="70"/>
  <c r="J65" i="72"/>
  <c r="J53" i="72"/>
  <c r="J41" i="72"/>
  <c r="J31" i="72"/>
  <c r="J27" i="72"/>
  <c r="J25" i="72"/>
  <c r="J66" i="72"/>
  <c r="J54" i="72"/>
  <c r="J42" i="72"/>
  <c r="J67" i="72"/>
  <c r="J61" i="72"/>
  <c r="J43" i="72"/>
  <c r="J37" i="72"/>
  <c r="J68" i="72"/>
  <c r="J44" i="72"/>
  <c r="J32" i="72"/>
  <c r="J28" i="72"/>
  <c r="J55" i="72"/>
  <c r="J45" i="72"/>
  <c r="J70" i="72"/>
  <c r="J62" i="72"/>
  <c r="J46" i="72"/>
  <c r="J38" i="72"/>
  <c r="J47" i="72"/>
  <c r="J33" i="72"/>
  <c r="J29" i="72"/>
  <c r="J19" i="72"/>
  <c r="J74" i="72"/>
  <c r="J56" i="72"/>
  <c r="J48" i="72"/>
  <c r="J63" i="72"/>
  <c r="J57" i="72"/>
  <c r="J49" i="72"/>
  <c r="J39" i="72"/>
  <c r="J58" i="72"/>
  <c r="J50" i="72"/>
  <c r="J34" i="72"/>
  <c r="J30" i="72"/>
  <c r="J64" i="72"/>
  <c r="J60" i="72"/>
  <c r="J52" i="72"/>
  <c r="J40" i="72"/>
  <c r="J36" i="72"/>
  <c r="J26" i="72"/>
  <c r="J35" i="72"/>
  <c r="J21" i="72"/>
  <c r="J59" i="72"/>
  <c r="H23" i="72"/>
  <c r="J20" i="72"/>
  <c r="J51" i="72"/>
  <c r="N16" i="76"/>
  <c r="L16" i="76"/>
  <c r="H12" i="76"/>
  <c r="R20" i="63"/>
  <c r="J23" i="63"/>
  <c r="R24" i="63"/>
  <c r="J27" i="63"/>
  <c r="R28" i="63"/>
  <c r="R29" i="63"/>
  <c r="F32" i="63"/>
  <c r="F36" i="63"/>
  <c r="J37" i="63"/>
  <c r="R40" i="63"/>
  <c r="X42" i="63"/>
  <c r="Z42" i="63" s="1"/>
  <c r="R48" i="63"/>
  <c r="X50" i="63"/>
  <c r="Z50" i="63" s="1"/>
  <c r="J55" i="63"/>
  <c r="L56" i="63"/>
  <c r="X62" i="63"/>
  <c r="Z62" i="63" s="1"/>
  <c r="J67" i="63"/>
  <c r="R68" i="63"/>
  <c r="F71" i="63"/>
  <c r="F72" i="63"/>
  <c r="V75" i="63"/>
  <c r="J79" i="63"/>
  <c r="R80" i="63"/>
  <c r="J83" i="63"/>
  <c r="L84" i="63"/>
  <c r="N84" i="63" s="1"/>
  <c r="V87" i="63"/>
  <c r="J91" i="63"/>
  <c r="L92" i="63"/>
  <c r="N92" i="63" s="1"/>
  <c r="R95" i="63"/>
  <c r="L98" i="63"/>
  <c r="N98" i="63" s="1"/>
  <c r="R102" i="63"/>
  <c r="F58" i="67"/>
  <c r="F56" i="67"/>
  <c r="F39" i="67"/>
  <c r="F38" i="67"/>
  <c r="F45" i="67"/>
  <c r="F44" i="67"/>
  <c r="V21" i="67"/>
  <c r="V25" i="67"/>
  <c r="R30" i="67"/>
  <c r="J37" i="67"/>
  <c r="V44" i="67"/>
  <c r="F46" i="67"/>
  <c r="J47" i="67"/>
  <c r="F51" i="67"/>
  <c r="F52" i="67"/>
  <c r="V60" i="67"/>
  <c r="X24" i="68"/>
  <c r="L26" i="68"/>
  <c r="X32" i="68"/>
  <c r="Z32" i="68" s="1"/>
  <c r="L34" i="68"/>
  <c r="X40" i="68"/>
  <c r="Z40" i="68" s="1"/>
  <c r="L42" i="68"/>
  <c r="R118" i="70"/>
  <c r="R111" i="70"/>
  <c r="R85" i="70"/>
  <c r="R84" i="70"/>
  <c r="R76" i="70"/>
  <c r="R72" i="70"/>
  <c r="R41" i="70"/>
  <c r="R95" i="70"/>
  <c r="R67" i="70"/>
  <c r="R63" i="70"/>
  <c r="R103" i="70"/>
  <c r="R102" i="70"/>
  <c r="R87" i="70"/>
  <c r="R86" i="70"/>
  <c r="R54" i="70"/>
  <c r="R50" i="70"/>
  <c r="R46" i="70"/>
  <c r="R42" i="70"/>
  <c r="R78" i="70"/>
  <c r="R77" i="70"/>
  <c r="R73" i="70"/>
  <c r="R104" i="70"/>
  <c r="R97" i="70"/>
  <c r="R96" i="70"/>
  <c r="R88" i="70"/>
  <c r="R68" i="70"/>
  <c r="R64" i="70"/>
  <c r="R80" i="70"/>
  <c r="R79" i="70"/>
  <c r="R55" i="70"/>
  <c r="R51" i="70"/>
  <c r="R47" i="70"/>
  <c r="R43" i="70"/>
  <c r="R99" i="70"/>
  <c r="R98" i="70"/>
  <c r="R74" i="70"/>
  <c r="R106" i="70"/>
  <c r="R105" i="70"/>
  <c r="R90" i="70"/>
  <c r="R89" i="70"/>
  <c r="R81" i="70"/>
  <c r="R69" i="70"/>
  <c r="R65" i="70"/>
  <c r="R100" i="70"/>
  <c r="R61" i="70"/>
  <c r="R56" i="70"/>
  <c r="R52" i="70"/>
  <c r="R48" i="70"/>
  <c r="R44" i="70"/>
  <c r="R114" i="70"/>
  <c r="R108" i="70"/>
  <c r="R107" i="70"/>
  <c r="R92" i="70"/>
  <c r="R91" i="70"/>
  <c r="R75" i="70"/>
  <c r="R60" i="70"/>
  <c r="R58" i="70"/>
  <c r="R112" i="70"/>
  <c r="R109" i="70"/>
  <c r="R101" i="70"/>
  <c r="R94" i="70"/>
  <c r="R93" i="70"/>
  <c r="R53" i="70"/>
  <c r="R49" i="70"/>
  <c r="R45" i="70"/>
  <c r="R71" i="70"/>
  <c r="R83" i="70"/>
  <c r="D72" i="72"/>
  <c r="L23" i="72"/>
  <c r="Z98" i="74"/>
  <c r="F31" i="61"/>
  <c r="N12" i="63"/>
  <c r="R14" i="63"/>
  <c r="R16" i="63"/>
  <c r="R18" i="63"/>
  <c r="J32" i="63"/>
  <c r="R33" i="63"/>
  <c r="J36" i="63"/>
  <c r="F44" i="63"/>
  <c r="F45" i="63"/>
  <c r="F52" i="63"/>
  <c r="F53" i="63"/>
  <c r="J54" i="63"/>
  <c r="R57" i="63"/>
  <c r="R58" i="63"/>
  <c r="V60" i="63"/>
  <c r="F64" i="63"/>
  <c r="F65" i="63"/>
  <c r="J66" i="63"/>
  <c r="V68" i="63"/>
  <c r="J72" i="63"/>
  <c r="R73" i="63"/>
  <c r="V80" i="63"/>
  <c r="R85" i="63"/>
  <c r="R86" i="63"/>
  <c r="V88" i="63"/>
  <c r="R93" i="63"/>
  <c r="T95" i="63"/>
  <c r="T100" i="63" s="1"/>
  <c r="R96" i="63"/>
  <c r="V102" i="63"/>
  <c r="V104" i="63"/>
  <c r="V107" i="63"/>
  <c r="J60" i="67"/>
  <c r="J40" i="67"/>
  <c r="J52" i="67"/>
  <c r="F23" i="67"/>
  <c r="F27" i="67"/>
  <c r="V30" i="67"/>
  <c r="F36" i="67"/>
  <c r="F41" i="67"/>
  <c r="J42" i="67"/>
  <c r="V43" i="67"/>
  <c r="J46" i="67"/>
  <c r="L47" i="67"/>
  <c r="N47" i="67" s="1"/>
  <c r="R53" i="67"/>
  <c r="F65" i="67"/>
  <c r="N20" i="68"/>
  <c r="Z21" i="68"/>
  <c r="F60" i="69"/>
  <c r="F59" i="69"/>
  <c r="F36" i="69"/>
  <c r="L12" i="69"/>
  <c r="F47" i="69"/>
  <c r="F46" i="69"/>
  <c r="F31" i="69"/>
  <c r="F27" i="69"/>
  <c r="F54" i="69"/>
  <c r="F18" i="69"/>
  <c r="F64" i="69"/>
  <c r="F62" i="69"/>
  <c r="F49" i="69"/>
  <c r="F48" i="69"/>
  <c r="F37" i="69"/>
  <c r="F33" i="69"/>
  <c r="F32" i="69"/>
  <c r="F66" i="69"/>
  <c r="F56" i="69"/>
  <c r="F55" i="69"/>
  <c r="F28" i="69"/>
  <c r="F24" i="69"/>
  <c r="F23" i="69"/>
  <c r="F39" i="69"/>
  <c r="F38" i="69"/>
  <c r="F22" i="69"/>
  <c r="F20" i="69"/>
  <c r="F50" i="69"/>
  <c r="F34" i="69"/>
  <c r="D20" i="69"/>
  <c r="F71" i="69"/>
  <c r="F68" i="69"/>
  <c r="F57" i="69"/>
  <c r="F41" i="69"/>
  <c r="F40" i="69"/>
  <c r="F29" i="69"/>
  <c r="F25" i="69"/>
  <c r="F52" i="69"/>
  <c r="F51" i="69"/>
  <c r="F43" i="69"/>
  <c r="F42" i="69"/>
  <c r="F35" i="69"/>
  <c r="F53" i="69"/>
  <c r="F45" i="69"/>
  <c r="F44" i="69"/>
  <c r="F17" i="69"/>
  <c r="F16" i="69"/>
  <c r="N44" i="69"/>
  <c r="L44" i="69"/>
  <c r="Z48" i="69"/>
  <c r="Z16" i="70"/>
  <c r="L111" i="70"/>
  <c r="X17" i="72"/>
  <c r="Z17" i="72" s="1"/>
  <c r="R19" i="63"/>
  <c r="F22" i="63"/>
  <c r="F26" i="63"/>
  <c r="R38" i="63"/>
  <c r="R39" i="63"/>
  <c r="J45" i="63"/>
  <c r="R46" i="63"/>
  <c r="R47" i="63"/>
  <c r="J53" i="63"/>
  <c r="V57" i="63"/>
  <c r="J65" i="63"/>
  <c r="F70" i="63"/>
  <c r="J71" i="63"/>
  <c r="V73" i="63"/>
  <c r="F77" i="63"/>
  <c r="F78" i="63"/>
  <c r="F82" i="63"/>
  <c r="V85" i="63"/>
  <c r="F90" i="63"/>
  <c r="V93" i="63"/>
  <c r="V95" i="63"/>
  <c r="R97" i="63"/>
  <c r="L12" i="67"/>
  <c r="P16" i="67"/>
  <c r="R20" i="67"/>
  <c r="J23" i="67"/>
  <c r="R24" i="67"/>
  <c r="J27" i="67"/>
  <c r="R28" i="67"/>
  <c r="R29" i="67"/>
  <c r="F32" i="67"/>
  <c r="R33" i="67"/>
  <c r="V38" i="67"/>
  <c r="J41" i="67"/>
  <c r="R48" i="67"/>
  <c r="J51" i="67"/>
  <c r="Z53" i="67"/>
  <c r="T12" i="68"/>
  <c r="N14" i="68"/>
  <c r="Z29" i="68"/>
  <c r="Z37" i="68"/>
  <c r="N68" i="68"/>
  <c r="N108" i="68"/>
  <c r="L108" i="68"/>
  <c r="N51" i="69"/>
  <c r="Z20" i="70"/>
  <c r="Z32" i="70"/>
  <c r="T12" i="72"/>
  <c r="Z13" i="72"/>
  <c r="X13" i="72"/>
  <c r="F21" i="61"/>
  <c r="F25" i="61"/>
  <c r="F52" i="61"/>
  <c r="F55" i="61"/>
  <c r="V14" i="63"/>
  <c r="V16" i="63"/>
  <c r="V18" i="63"/>
  <c r="J22" i="63"/>
  <c r="R23" i="63"/>
  <c r="J26" i="63"/>
  <c r="R27" i="63"/>
  <c r="F31" i="63"/>
  <c r="F35" i="63"/>
  <c r="V38" i="63"/>
  <c r="F42" i="63"/>
  <c r="F43" i="63"/>
  <c r="J44" i="63"/>
  <c r="V46" i="63"/>
  <c r="F50" i="63"/>
  <c r="F51" i="63"/>
  <c r="J52" i="63"/>
  <c r="R55" i="63"/>
  <c r="R56" i="63"/>
  <c r="V58" i="63"/>
  <c r="F62" i="63"/>
  <c r="F63" i="63"/>
  <c r="J64" i="63"/>
  <c r="R67" i="63"/>
  <c r="J70" i="63"/>
  <c r="J78" i="63"/>
  <c r="R79" i="63"/>
  <c r="J82" i="63"/>
  <c r="R83" i="63"/>
  <c r="R84" i="63"/>
  <c r="V86" i="63"/>
  <c r="J90" i="63"/>
  <c r="R91" i="63"/>
  <c r="R92" i="63"/>
  <c r="V96" i="63"/>
  <c r="R98" i="63"/>
  <c r="R100" i="63"/>
  <c r="N12" i="67"/>
  <c r="R14" i="67"/>
  <c r="R16" i="67"/>
  <c r="R18" i="67"/>
  <c r="V20" i="67"/>
  <c r="V24" i="67"/>
  <c r="V28" i="67"/>
  <c r="J32" i="67"/>
  <c r="V33" i="67"/>
  <c r="F35" i="67"/>
  <c r="J36" i="67"/>
  <c r="V37" i="67"/>
  <c r="F40" i="67"/>
  <c r="F50" i="67"/>
  <c r="V53" i="67"/>
  <c r="J56" i="67"/>
  <c r="J65" i="67"/>
  <c r="X23" i="68"/>
  <c r="Z23" i="68" s="1"/>
  <c r="N28" i="68"/>
  <c r="R66" i="69"/>
  <c r="R56" i="69"/>
  <c r="R28" i="69"/>
  <c r="R24" i="69"/>
  <c r="P20" i="69"/>
  <c r="R71" i="69"/>
  <c r="R68" i="69"/>
  <c r="R40" i="69"/>
  <c r="R39" i="69"/>
  <c r="R51" i="69"/>
  <c r="R50" i="69"/>
  <c r="R34" i="69"/>
  <c r="R57" i="69"/>
  <c r="R42" i="69"/>
  <c r="R41" i="69"/>
  <c r="R29" i="69"/>
  <c r="R25" i="69"/>
  <c r="R52" i="69"/>
  <c r="R44" i="69"/>
  <c r="R43" i="69"/>
  <c r="R35" i="69"/>
  <c r="R16" i="69"/>
  <c r="R59" i="69"/>
  <c r="R58" i="69"/>
  <c r="R30" i="69"/>
  <c r="R26" i="69"/>
  <c r="R53" i="69"/>
  <c r="R46" i="69"/>
  <c r="R45" i="69"/>
  <c r="R17" i="69"/>
  <c r="R60" i="69"/>
  <c r="R36" i="69"/>
  <c r="X12" i="69"/>
  <c r="Z12" i="69" s="1"/>
  <c r="R64" i="69"/>
  <c r="R62" i="69"/>
  <c r="R48" i="69"/>
  <c r="R47" i="69"/>
  <c r="R32" i="69"/>
  <c r="R31" i="69"/>
  <c r="R27" i="69"/>
  <c r="R49" i="69"/>
  <c r="R38" i="69"/>
  <c r="R37" i="69"/>
  <c r="R33" i="69"/>
  <c r="R22" i="69"/>
  <c r="R20" i="69"/>
  <c r="J107" i="70"/>
  <c r="J91" i="70"/>
  <c r="J75" i="70"/>
  <c r="J61" i="70"/>
  <c r="J114" i="70"/>
  <c r="J108" i="70"/>
  <c r="J92" i="70"/>
  <c r="J82" i="70"/>
  <c r="J70" i="70"/>
  <c r="J66" i="70"/>
  <c r="J62" i="70"/>
  <c r="J60" i="70"/>
  <c r="J58" i="70"/>
  <c r="J113" i="70"/>
  <c r="J109" i="70"/>
  <c r="J101" i="70"/>
  <c r="J93" i="70"/>
  <c r="J83" i="70"/>
  <c r="J71" i="70"/>
  <c r="H58" i="70"/>
  <c r="J53" i="70"/>
  <c r="J49" i="70"/>
  <c r="J45" i="70"/>
  <c r="J118" i="70"/>
  <c r="J112" i="70"/>
  <c r="J94" i="70"/>
  <c r="J84" i="70"/>
  <c r="J76" i="70"/>
  <c r="J72" i="70"/>
  <c r="N12" i="70"/>
  <c r="J111" i="70"/>
  <c r="J95" i="70"/>
  <c r="J85" i="70"/>
  <c r="J67" i="70"/>
  <c r="J63" i="70"/>
  <c r="J41" i="70"/>
  <c r="J102" i="70"/>
  <c r="J86" i="70"/>
  <c r="J54" i="70"/>
  <c r="J50" i="70"/>
  <c r="J46" i="70"/>
  <c r="J42" i="70"/>
  <c r="J103" i="70"/>
  <c r="J87" i="70"/>
  <c r="J77" i="70"/>
  <c r="J73" i="70"/>
  <c r="J104" i="70"/>
  <c r="J96" i="70"/>
  <c r="J88" i="70"/>
  <c r="J78" i="70"/>
  <c r="J68" i="70"/>
  <c r="J64" i="70"/>
  <c r="J97" i="70"/>
  <c r="J79" i="70"/>
  <c r="J55" i="70"/>
  <c r="J51" i="70"/>
  <c r="J47" i="70"/>
  <c r="J43" i="70"/>
  <c r="J98" i="70"/>
  <c r="J80" i="70"/>
  <c r="J74" i="70"/>
  <c r="J106" i="70"/>
  <c r="J100" i="70"/>
  <c r="J90" i="70"/>
  <c r="J56" i="70"/>
  <c r="J52" i="70"/>
  <c r="J48" i="70"/>
  <c r="J44" i="70"/>
  <c r="Z18" i="70"/>
  <c r="Z22" i="70"/>
  <c r="Z24" i="70"/>
  <c r="Z28" i="70"/>
  <c r="Z36" i="70"/>
  <c r="Z61" i="70"/>
  <c r="R113" i="70"/>
  <c r="R72" i="63"/>
  <c r="F75" i="63"/>
  <c r="F76" i="63"/>
  <c r="J77" i="63"/>
  <c r="R44" i="67"/>
  <c r="R43" i="67"/>
  <c r="R58" i="67"/>
  <c r="R56" i="67"/>
  <c r="R38" i="67"/>
  <c r="R37" i="67"/>
  <c r="T16" i="67"/>
  <c r="R19" i="67"/>
  <c r="F22" i="67"/>
  <c r="F26" i="67"/>
  <c r="V29" i="67"/>
  <c r="R42" i="67"/>
  <c r="J45" i="67"/>
  <c r="R46" i="67"/>
  <c r="R47" i="67"/>
  <c r="J50" i="67"/>
  <c r="F62" i="67"/>
  <c r="N22" i="68"/>
  <c r="X31" i="68"/>
  <c r="Z31" i="68" s="1"/>
  <c r="X39" i="68"/>
  <c r="N82" i="68"/>
  <c r="L86" i="68"/>
  <c r="N86" i="68" s="1"/>
  <c r="R70" i="70"/>
  <c r="F21" i="63"/>
  <c r="F25" i="63"/>
  <c r="F41" i="63"/>
  <c r="J42" i="63"/>
  <c r="R45" i="63"/>
  <c r="F49" i="63"/>
  <c r="J50" i="63"/>
  <c r="R53" i="63"/>
  <c r="R54" i="63"/>
  <c r="F60" i="63"/>
  <c r="F61" i="63"/>
  <c r="J62" i="63"/>
  <c r="R65" i="63"/>
  <c r="R66" i="63"/>
  <c r="F69" i="63"/>
  <c r="J76" i="63"/>
  <c r="F81" i="63"/>
  <c r="F88" i="63"/>
  <c r="F89" i="63"/>
  <c r="V98" i="63"/>
  <c r="V100" i="63"/>
  <c r="F104" i="63"/>
  <c r="F107" i="63"/>
  <c r="V50" i="67"/>
  <c r="V34" i="67"/>
  <c r="V48" i="67"/>
  <c r="V40" i="67"/>
  <c r="V32" i="67"/>
  <c r="V14" i="67"/>
  <c r="V16" i="67"/>
  <c r="V18" i="67"/>
  <c r="R23" i="67"/>
  <c r="R27" i="67"/>
  <c r="F31" i="67"/>
  <c r="R41" i="67"/>
  <c r="Z42" i="67"/>
  <c r="V46" i="67"/>
  <c r="F54" i="67"/>
  <c r="V58" i="67"/>
  <c r="R65" i="67"/>
  <c r="N38" i="68"/>
  <c r="N84" i="68"/>
  <c r="X22" i="69"/>
  <c r="Z22" i="69" s="1"/>
  <c r="P58" i="70"/>
  <c r="L80" i="70"/>
  <c r="N80" i="70" s="1"/>
  <c r="R82" i="70"/>
  <c r="R26" i="63"/>
  <c r="F29" i="63"/>
  <c r="F30" i="63"/>
  <c r="F34" i="63"/>
  <c r="J41" i="63"/>
  <c r="J49" i="63"/>
  <c r="L50" i="63"/>
  <c r="N50" i="63" s="1"/>
  <c r="X56" i="63"/>
  <c r="Z56" i="63" s="1"/>
  <c r="J61" i="63"/>
  <c r="L62" i="63"/>
  <c r="J69" i="63"/>
  <c r="R70" i="63"/>
  <c r="R71" i="63"/>
  <c r="F74" i="63"/>
  <c r="J75" i="63"/>
  <c r="R78" i="63"/>
  <c r="J81" i="63"/>
  <c r="R82" i="63"/>
  <c r="X84" i="63"/>
  <c r="Z84" i="63" s="1"/>
  <c r="J89" i="63"/>
  <c r="R90" i="63"/>
  <c r="X92" i="63"/>
  <c r="Z92" i="63" s="1"/>
  <c r="F95" i="63"/>
  <c r="X98" i="63"/>
  <c r="Z98" i="63" s="1"/>
  <c r="X12" i="67"/>
  <c r="X14" i="67"/>
  <c r="X18" i="67"/>
  <c r="V19" i="67"/>
  <c r="V23" i="67"/>
  <c r="V27" i="67"/>
  <c r="R32" i="67"/>
  <c r="R36" i="67"/>
  <c r="J39" i="67"/>
  <c r="V41" i="67"/>
  <c r="V42" i="67"/>
  <c r="V47" i="67"/>
  <c r="F49" i="67"/>
  <c r="R51" i="67"/>
  <c r="J54" i="67"/>
  <c r="J62" i="67"/>
  <c r="X14" i="68"/>
  <c r="Z14" i="68" s="1"/>
  <c r="N16" i="68"/>
  <c r="Z17" i="68"/>
  <c r="X28" i="68"/>
  <c r="Z28" i="68" s="1"/>
  <c r="X36" i="68"/>
  <c r="Z86" i="68"/>
  <c r="R62" i="70"/>
  <c r="F64" i="75"/>
  <c r="F60" i="75"/>
  <c r="F52" i="75"/>
  <c r="F43" i="75"/>
  <c r="F66" i="75"/>
  <c r="F65" i="75"/>
  <c r="F54" i="75"/>
  <c r="F53" i="75"/>
  <c r="F38" i="75"/>
  <c r="F34" i="75"/>
  <c r="F61" i="75"/>
  <c r="F45" i="75"/>
  <c r="F44" i="75"/>
  <c r="F68" i="75"/>
  <c r="F67" i="75"/>
  <c r="L12" i="75"/>
  <c r="N12" i="75" s="1"/>
  <c r="F55" i="75"/>
  <c r="F47" i="75"/>
  <c r="F46" i="75"/>
  <c r="F39" i="75"/>
  <c r="F35" i="75"/>
  <c r="F70" i="75"/>
  <c r="F69" i="75"/>
  <c r="F62" i="75"/>
  <c r="F57" i="75"/>
  <c r="F56" i="75"/>
  <c r="F49" i="75"/>
  <c r="F48" i="75"/>
  <c r="F41" i="75"/>
  <c r="F40" i="75"/>
  <c r="F73" i="75"/>
  <c r="F36" i="75"/>
  <c r="F32" i="75"/>
  <c r="F31" i="75"/>
  <c r="F77" i="75"/>
  <c r="F72" i="75"/>
  <c r="F63" i="75"/>
  <c r="F59" i="75"/>
  <c r="F58" i="75"/>
  <c r="F51" i="75"/>
  <c r="F50" i="75"/>
  <c r="F30" i="75"/>
  <c r="F28" i="75"/>
  <c r="F26" i="75"/>
  <c r="F37" i="75"/>
  <c r="F33" i="75"/>
  <c r="F42" i="75"/>
  <c r="D28" i="75"/>
  <c r="F46" i="61"/>
  <c r="F14" i="63"/>
  <c r="F16" i="63"/>
  <c r="F18" i="63"/>
  <c r="J30" i="63"/>
  <c r="R31" i="63"/>
  <c r="J34" i="63"/>
  <c r="R35" i="63"/>
  <c r="R43" i="63"/>
  <c r="R44" i="63"/>
  <c r="R51" i="63"/>
  <c r="R52" i="63"/>
  <c r="F58" i="63"/>
  <c r="F59" i="63"/>
  <c r="J60" i="63"/>
  <c r="R63" i="63"/>
  <c r="V66" i="63"/>
  <c r="V70" i="63"/>
  <c r="J74" i="63"/>
  <c r="V78" i="63"/>
  <c r="V82" i="63"/>
  <c r="F86" i="63"/>
  <c r="F87" i="63"/>
  <c r="J88" i="63"/>
  <c r="J104" i="63"/>
  <c r="Z12" i="67"/>
  <c r="F21" i="67"/>
  <c r="F25" i="67"/>
  <c r="F34" i="67"/>
  <c r="R35" i="67"/>
  <c r="Z36" i="67"/>
  <c r="X42" i="67"/>
  <c r="J44" i="67"/>
  <c r="R45" i="67"/>
  <c r="J49" i="67"/>
  <c r="R50" i="67"/>
  <c r="L53" i="67"/>
  <c r="V65" i="67"/>
  <c r="X96" i="68"/>
  <c r="Z96" i="68" s="1"/>
  <c r="V33" i="69"/>
  <c r="T12" i="70"/>
  <c r="X15" i="70"/>
  <c r="Z15" i="70" s="1"/>
  <c r="X94" i="70"/>
  <c r="Z94" i="70" s="1"/>
  <c r="L12" i="72"/>
  <c r="N12" i="72" s="1"/>
  <c r="N12" i="69"/>
  <c r="N32" i="69"/>
  <c r="J36" i="69"/>
  <c r="Z42" i="69"/>
  <c r="J46" i="69"/>
  <c r="N48" i="69"/>
  <c r="J60" i="69"/>
  <c r="N62" i="69"/>
  <c r="N60" i="70"/>
  <c r="Z78" i="70"/>
  <c r="N92" i="70"/>
  <c r="N108" i="70"/>
  <c r="N114" i="70"/>
  <c r="Z14" i="72"/>
  <c r="Z19" i="72"/>
  <c r="Z25" i="72"/>
  <c r="Z35" i="72"/>
  <c r="N49" i="72"/>
  <c r="X19" i="74"/>
  <c r="Z19" i="74" s="1"/>
  <c r="Z23" i="74"/>
  <c r="X23" i="74"/>
  <c r="Z47" i="74"/>
  <c r="L80" i="74"/>
  <c r="N80" i="74" s="1"/>
  <c r="X98" i="74"/>
  <c r="N108" i="74"/>
  <c r="N120" i="74"/>
  <c r="Z29" i="76"/>
  <c r="T99" i="76"/>
  <c r="V99" i="76" s="1"/>
  <c r="X100" i="76"/>
  <c r="Z100" i="76" s="1"/>
  <c r="J16" i="69"/>
  <c r="J26" i="69"/>
  <c r="J30" i="69"/>
  <c r="J44" i="69"/>
  <c r="J58" i="69"/>
  <c r="F20" i="72"/>
  <c r="F23" i="72"/>
  <c r="Z49" i="72"/>
  <c r="Z53" i="72"/>
  <c r="Z26" i="73"/>
  <c r="F112" i="74"/>
  <c r="F111" i="74"/>
  <c r="F104" i="74"/>
  <c r="F103" i="74"/>
  <c r="F79" i="74"/>
  <c r="F72" i="74"/>
  <c r="F68" i="74"/>
  <c r="F64" i="74"/>
  <c r="F60" i="74"/>
  <c r="F56" i="74"/>
  <c r="F95" i="74"/>
  <c r="F91" i="74"/>
  <c r="D77" i="74"/>
  <c r="F77" i="74" s="1"/>
  <c r="F126" i="74"/>
  <c r="F118" i="74"/>
  <c r="F86" i="74"/>
  <c r="F82" i="74"/>
  <c r="F130" i="74"/>
  <c r="F113" i="74"/>
  <c r="F105" i="74"/>
  <c r="F97" i="74"/>
  <c r="F96" i="74"/>
  <c r="F73" i="74"/>
  <c r="F69" i="74"/>
  <c r="F65" i="74"/>
  <c r="F61" i="74"/>
  <c r="F57" i="74"/>
  <c r="F53" i="74"/>
  <c r="F52" i="74"/>
  <c r="F134" i="74"/>
  <c r="F129" i="74"/>
  <c r="F92" i="74"/>
  <c r="L12" i="74"/>
  <c r="N12" i="74" s="1"/>
  <c r="F128" i="74"/>
  <c r="F119" i="74"/>
  <c r="F115" i="74"/>
  <c r="F114" i="74"/>
  <c r="F107" i="74"/>
  <c r="F106" i="74"/>
  <c r="F99" i="74"/>
  <c r="F98" i="74"/>
  <c r="F87" i="74"/>
  <c r="F83" i="74"/>
  <c r="F74" i="74"/>
  <c r="F70" i="74"/>
  <c r="F66" i="74"/>
  <c r="F62" i="74"/>
  <c r="F58" i="74"/>
  <c r="F54" i="74"/>
  <c r="F121" i="74"/>
  <c r="F120" i="74"/>
  <c r="F109" i="74"/>
  <c r="F108" i="74"/>
  <c r="F93" i="74"/>
  <c r="F116" i="74"/>
  <c r="F100" i="74"/>
  <c r="F88" i="74"/>
  <c r="F84" i="74"/>
  <c r="F123" i="74"/>
  <c r="F122" i="74"/>
  <c r="F75" i="74"/>
  <c r="F71" i="74"/>
  <c r="F67" i="74"/>
  <c r="F63" i="74"/>
  <c r="F59" i="74"/>
  <c r="F55" i="74"/>
  <c r="F125" i="74"/>
  <c r="F124" i="74"/>
  <c r="F117" i="74"/>
  <c r="F85" i="74"/>
  <c r="F81" i="74"/>
  <c r="F80" i="74"/>
  <c r="N42" i="74"/>
  <c r="N46" i="74"/>
  <c r="Z108" i="74"/>
  <c r="Z120" i="74"/>
  <c r="P128" i="74"/>
  <c r="X128" i="74" s="1"/>
  <c r="Z128" i="74" s="1"/>
  <c r="X130" i="74"/>
  <c r="J65" i="75"/>
  <c r="J53" i="75"/>
  <c r="J43" i="75"/>
  <c r="J66" i="75"/>
  <c r="J54" i="75"/>
  <c r="J44" i="75"/>
  <c r="J38" i="75"/>
  <c r="J34" i="75"/>
  <c r="J67" i="75"/>
  <c r="J61" i="75"/>
  <c r="J45" i="75"/>
  <c r="J68" i="75"/>
  <c r="J46" i="75"/>
  <c r="J69" i="75"/>
  <c r="J55" i="75"/>
  <c r="J47" i="75"/>
  <c r="J39" i="75"/>
  <c r="J35" i="75"/>
  <c r="J70" i="75"/>
  <c r="J62" i="75"/>
  <c r="J56" i="75"/>
  <c r="J48" i="75"/>
  <c r="J40" i="75"/>
  <c r="J73" i="75"/>
  <c r="J57" i="75"/>
  <c r="J49" i="75"/>
  <c r="J41" i="75"/>
  <c r="J31" i="75"/>
  <c r="J58" i="75"/>
  <c r="J50" i="75"/>
  <c r="J36" i="75"/>
  <c r="J32" i="75"/>
  <c r="J30" i="75"/>
  <c r="J28" i="75"/>
  <c r="J26" i="75"/>
  <c r="J77" i="75"/>
  <c r="J63" i="75"/>
  <c r="J59" i="75"/>
  <c r="J51" i="75"/>
  <c r="H28" i="75"/>
  <c r="J42" i="75"/>
  <c r="J64" i="75"/>
  <c r="J60" i="75"/>
  <c r="J52" i="75"/>
  <c r="Z50" i="75"/>
  <c r="N73" i="75"/>
  <c r="N20" i="76"/>
  <c r="L20" i="76"/>
  <c r="N24" i="76"/>
  <c r="L24" i="76"/>
  <c r="Z33" i="76"/>
  <c r="J35" i="69"/>
  <c r="J43" i="69"/>
  <c r="R68" i="72"/>
  <c r="R45" i="72"/>
  <c r="R44" i="72"/>
  <c r="R32" i="72"/>
  <c r="R28" i="72"/>
  <c r="R72" i="72"/>
  <c r="R70" i="72"/>
  <c r="R55" i="72"/>
  <c r="R62" i="72"/>
  <c r="R47" i="72"/>
  <c r="R46" i="72"/>
  <c r="R38" i="72"/>
  <c r="R33" i="72"/>
  <c r="R29" i="72"/>
  <c r="R74" i="72"/>
  <c r="R57" i="72"/>
  <c r="R56" i="72"/>
  <c r="R49" i="72"/>
  <c r="R48" i="72"/>
  <c r="R20" i="72"/>
  <c r="R79" i="72"/>
  <c r="R76" i="72"/>
  <c r="R63" i="72"/>
  <c r="R39" i="72"/>
  <c r="R59" i="72"/>
  <c r="R58" i="72"/>
  <c r="R51" i="72"/>
  <c r="R50" i="72"/>
  <c r="R35" i="72"/>
  <c r="R34" i="72"/>
  <c r="R30" i="72"/>
  <c r="R26" i="72"/>
  <c r="R65" i="72"/>
  <c r="R64" i="72"/>
  <c r="R60" i="72"/>
  <c r="R53" i="72"/>
  <c r="R52" i="72"/>
  <c r="R41" i="72"/>
  <c r="R40" i="72"/>
  <c r="R36" i="72"/>
  <c r="R25" i="72"/>
  <c r="R23" i="72"/>
  <c r="R31" i="72"/>
  <c r="R61" i="72"/>
  <c r="R37" i="72"/>
  <c r="R43" i="72"/>
  <c r="Z27" i="74"/>
  <c r="X27" i="74"/>
  <c r="Z23" i="75"/>
  <c r="X23" i="75"/>
  <c r="R38" i="75"/>
  <c r="R67" i="75"/>
  <c r="L28" i="76"/>
  <c r="N28" i="76" s="1"/>
  <c r="J42" i="69"/>
  <c r="J52" i="69"/>
  <c r="L13" i="70"/>
  <c r="L17" i="70"/>
  <c r="N17" i="70" s="1"/>
  <c r="L21" i="70"/>
  <c r="N21" i="70" s="1"/>
  <c r="L25" i="70"/>
  <c r="N25" i="70" s="1"/>
  <c r="L29" i="70"/>
  <c r="N29" i="70" s="1"/>
  <c r="L33" i="70"/>
  <c r="N33" i="70" s="1"/>
  <c r="L37" i="70"/>
  <c r="L15" i="72"/>
  <c r="N15" i="72" s="1"/>
  <c r="Z41" i="72"/>
  <c r="F50" i="72"/>
  <c r="N16" i="73"/>
  <c r="Z28" i="73"/>
  <c r="Z68" i="73"/>
  <c r="Z96" i="74"/>
  <c r="T12" i="75"/>
  <c r="Z15" i="75"/>
  <c r="X15" i="75"/>
  <c r="Z19" i="75"/>
  <c r="X19" i="75"/>
  <c r="Z67" i="75"/>
  <c r="Z72" i="75"/>
  <c r="L14" i="69"/>
  <c r="N14" i="69" s="1"/>
  <c r="J25" i="69"/>
  <c r="J29" i="69"/>
  <c r="J41" i="69"/>
  <c r="J51" i="69"/>
  <c r="J57" i="69"/>
  <c r="N13" i="70"/>
  <c r="X14" i="70"/>
  <c r="Z14" i="70" s="1"/>
  <c r="X12" i="72"/>
  <c r="F19" i="72"/>
  <c r="P23" i="72"/>
  <c r="R67" i="72"/>
  <c r="Z32" i="73"/>
  <c r="Z106" i="74"/>
  <c r="X106" i="74"/>
  <c r="Z111" i="74"/>
  <c r="N30" i="75"/>
  <c r="N32" i="76"/>
  <c r="L32" i="76"/>
  <c r="J34" i="69"/>
  <c r="J40" i="69"/>
  <c r="J50" i="69"/>
  <c r="N19" i="72"/>
  <c r="R54" i="72"/>
  <c r="Z67" i="72"/>
  <c r="Z75" i="73"/>
  <c r="Z22" i="74"/>
  <c r="N114" i="74"/>
  <c r="J33" i="75"/>
  <c r="N58" i="75"/>
  <c r="H20" i="69"/>
  <c r="J39" i="69"/>
  <c r="Z26" i="72"/>
  <c r="N59" i="72"/>
  <c r="N34" i="73"/>
  <c r="N53" i="73"/>
  <c r="N62" i="73"/>
  <c r="T12" i="74"/>
  <c r="Z31" i="74"/>
  <c r="X31" i="74"/>
  <c r="Z33" i="74"/>
  <c r="X35" i="74"/>
  <c r="Z35" i="74" s="1"/>
  <c r="N79" i="74"/>
  <c r="F89" i="74"/>
  <c r="F102" i="74"/>
  <c r="X114" i="74"/>
  <c r="Z114" i="74" s="1"/>
  <c r="Z30" i="75"/>
  <c r="Z46" i="75"/>
  <c r="X46" i="75"/>
  <c r="P12" i="80"/>
  <c r="X14" i="80"/>
  <c r="Z14" i="80" s="1"/>
  <c r="J20" i="69"/>
  <c r="J22" i="69"/>
  <c r="J24" i="69"/>
  <c r="J28" i="69"/>
  <c r="J38" i="69"/>
  <c r="J56" i="69"/>
  <c r="J66" i="69"/>
  <c r="R19" i="72"/>
  <c r="F25" i="72"/>
  <c r="R42" i="72"/>
  <c r="F57" i="72"/>
  <c r="Z18" i="73"/>
  <c r="X62" i="73"/>
  <c r="Z62" i="73" s="1"/>
  <c r="X39" i="74"/>
  <c r="L124" i="74"/>
  <c r="P12" i="76"/>
  <c r="X13" i="76"/>
  <c r="N36" i="76"/>
  <c r="L36" i="76"/>
  <c r="J23" i="69"/>
  <c r="J33" i="69"/>
  <c r="J37" i="69"/>
  <c r="J49" i="69"/>
  <c r="J55" i="69"/>
  <c r="R82" i="73"/>
  <c r="R48" i="73"/>
  <c r="R44" i="73"/>
  <c r="R40" i="73"/>
  <c r="R36" i="73"/>
  <c r="R87" i="73"/>
  <c r="R84" i="73"/>
  <c r="R63" i="73"/>
  <c r="R71" i="73"/>
  <c r="R70" i="73"/>
  <c r="R58" i="73"/>
  <c r="R54" i="73"/>
  <c r="R49" i="73"/>
  <c r="R45" i="73"/>
  <c r="R41" i="73"/>
  <c r="R37" i="73"/>
  <c r="R73" i="73"/>
  <c r="R72" i="73"/>
  <c r="R64" i="73"/>
  <c r="R53" i="73"/>
  <c r="R51" i="73"/>
  <c r="X12" i="73"/>
  <c r="R59" i="73"/>
  <c r="R55" i="73"/>
  <c r="P51" i="73"/>
  <c r="R75" i="73"/>
  <c r="R74" i="73"/>
  <c r="R46" i="73"/>
  <c r="R42" i="73"/>
  <c r="R38" i="73"/>
  <c r="R66" i="73"/>
  <c r="R65" i="73"/>
  <c r="R34" i="73"/>
  <c r="R76" i="73"/>
  <c r="R60" i="73"/>
  <c r="R56" i="73"/>
  <c r="R80" i="73"/>
  <c r="R78" i="73"/>
  <c r="R68" i="73"/>
  <c r="R67" i="73"/>
  <c r="R47" i="73"/>
  <c r="R43" i="73"/>
  <c r="R39" i="73"/>
  <c r="R35" i="73"/>
  <c r="R69" i="73"/>
  <c r="R62" i="73"/>
  <c r="R61" i="73"/>
  <c r="R57" i="73"/>
  <c r="Z15" i="74"/>
  <c r="X15" i="74"/>
  <c r="N124" i="74"/>
  <c r="R69" i="75"/>
  <c r="R68" i="75"/>
  <c r="X12" i="75"/>
  <c r="R56" i="75"/>
  <c r="R55" i="75"/>
  <c r="R48" i="75"/>
  <c r="R47" i="75"/>
  <c r="R40" i="75"/>
  <c r="R39" i="75"/>
  <c r="R35" i="75"/>
  <c r="R73" i="75"/>
  <c r="R70" i="75"/>
  <c r="R62" i="75"/>
  <c r="R31" i="75"/>
  <c r="R72" i="75"/>
  <c r="R58" i="75"/>
  <c r="R57" i="75"/>
  <c r="R50" i="75"/>
  <c r="R49" i="75"/>
  <c r="R41" i="75"/>
  <c r="R30" i="75"/>
  <c r="R26" i="75"/>
  <c r="R36" i="75"/>
  <c r="R32" i="75"/>
  <c r="P28" i="75"/>
  <c r="R77" i="75"/>
  <c r="R63" i="75"/>
  <c r="R59" i="75"/>
  <c r="R51" i="75"/>
  <c r="R42" i="75"/>
  <c r="R37" i="75"/>
  <c r="R33" i="75"/>
  <c r="R65" i="75"/>
  <c r="R64" i="75"/>
  <c r="R60" i="75"/>
  <c r="R53" i="75"/>
  <c r="R52" i="75"/>
  <c r="R44" i="75"/>
  <c r="R43" i="75"/>
  <c r="R61" i="75"/>
  <c r="R46" i="75"/>
  <c r="R45" i="75"/>
  <c r="R54" i="75"/>
  <c r="V106" i="76"/>
  <c r="V80" i="76"/>
  <c r="V71" i="76"/>
  <c r="V67" i="76"/>
  <c r="V90" i="76"/>
  <c r="V82" i="76"/>
  <c r="V66" i="76"/>
  <c r="V81" i="76"/>
  <c r="V73" i="76"/>
  <c r="V92" i="76"/>
  <c r="V84" i="76"/>
  <c r="V72" i="76"/>
  <c r="V68" i="76"/>
  <c r="V91" i="76"/>
  <c r="V83" i="76"/>
  <c r="V75" i="76"/>
  <c r="V94" i="76"/>
  <c r="V86" i="76"/>
  <c r="V74" i="76"/>
  <c r="V93" i="76"/>
  <c r="V85" i="76"/>
  <c r="V77" i="76"/>
  <c r="V69" i="76"/>
  <c r="V102" i="76"/>
  <c r="V96" i="76"/>
  <c r="V88" i="76"/>
  <c r="V76" i="76"/>
  <c r="V101" i="76"/>
  <c r="V95" i="76"/>
  <c r="V87" i="76"/>
  <c r="V79" i="76"/>
  <c r="V100" i="76"/>
  <c r="V78" i="76"/>
  <c r="V70" i="76"/>
  <c r="V56" i="76"/>
  <c r="V52" i="76"/>
  <c r="V48" i="76"/>
  <c r="V44" i="76"/>
  <c r="V40" i="76"/>
  <c r="T54" i="76"/>
  <c r="V58" i="76"/>
  <c r="V64" i="76"/>
  <c r="V62" i="76"/>
  <c r="V49" i="76"/>
  <c r="V45" i="76"/>
  <c r="V41" i="76"/>
  <c r="V59" i="76"/>
  <c r="V97" i="76"/>
  <c r="V50" i="76"/>
  <c r="V46" i="76"/>
  <c r="V42" i="76"/>
  <c r="V65" i="76"/>
  <c r="V60" i="76"/>
  <c r="V89" i="76"/>
  <c r="V63" i="76"/>
  <c r="V51" i="76"/>
  <c r="V47" i="76"/>
  <c r="V43" i="76"/>
  <c r="V39" i="76"/>
  <c r="V61" i="76"/>
  <c r="V57" i="76"/>
  <c r="Z17" i="76"/>
  <c r="Z39" i="76"/>
  <c r="J18" i="69"/>
  <c r="J32" i="69"/>
  <c r="J48" i="69"/>
  <c r="J54" i="69"/>
  <c r="J62" i="69"/>
  <c r="L31" i="70"/>
  <c r="L35" i="70"/>
  <c r="L39" i="70"/>
  <c r="Z59" i="72"/>
  <c r="R66" i="72"/>
  <c r="Z29" i="73"/>
  <c r="Z79" i="74"/>
  <c r="Z89" i="74"/>
  <c r="Z16" i="75"/>
  <c r="Z18" i="75"/>
  <c r="Z20" i="75"/>
  <c r="Z22" i="75"/>
  <c r="N31" i="75"/>
  <c r="J27" i="69"/>
  <c r="J31" i="69"/>
  <c r="F64" i="72"/>
  <c r="F60" i="72"/>
  <c r="F59" i="72"/>
  <c r="F52" i="72"/>
  <c r="F51" i="72"/>
  <c r="F40" i="72"/>
  <c r="F36" i="72"/>
  <c r="F35" i="72"/>
  <c r="F31" i="72"/>
  <c r="F27" i="72"/>
  <c r="F26" i="72"/>
  <c r="F66" i="72"/>
  <c r="F65" i="72"/>
  <c r="F54" i="72"/>
  <c r="F53" i="72"/>
  <c r="F42" i="72"/>
  <c r="F41" i="72"/>
  <c r="F61" i="72"/>
  <c r="F37" i="72"/>
  <c r="F68" i="72"/>
  <c r="F67" i="72"/>
  <c r="F44" i="72"/>
  <c r="F43" i="72"/>
  <c r="F32" i="72"/>
  <c r="F28" i="72"/>
  <c r="F55" i="72"/>
  <c r="F62" i="72"/>
  <c r="F46" i="72"/>
  <c r="F45" i="72"/>
  <c r="F38" i="72"/>
  <c r="F72" i="72"/>
  <c r="F70" i="72"/>
  <c r="F33" i="72"/>
  <c r="F29" i="72"/>
  <c r="F74" i="72"/>
  <c r="F56" i="72"/>
  <c r="F48" i="72"/>
  <c r="F47" i="72"/>
  <c r="F63" i="72"/>
  <c r="F39" i="72"/>
  <c r="F79" i="72"/>
  <c r="F76" i="72"/>
  <c r="F21" i="72"/>
  <c r="R21" i="72"/>
  <c r="R27" i="72"/>
  <c r="N45" i="72"/>
  <c r="F49" i="72"/>
  <c r="Z57" i="72"/>
  <c r="Z43" i="74"/>
  <c r="Z45" i="74"/>
  <c r="N122" i="74"/>
  <c r="Z124" i="74"/>
  <c r="R34" i="75"/>
  <c r="L72" i="75"/>
  <c r="F93" i="76"/>
  <c r="F92" i="76"/>
  <c r="F85" i="76"/>
  <c r="F84" i="76"/>
  <c r="F76" i="76"/>
  <c r="F75" i="76"/>
  <c r="F64" i="76"/>
  <c r="F95" i="76"/>
  <c r="F94" i="76"/>
  <c r="F87" i="76"/>
  <c r="F86" i="76"/>
  <c r="F78" i="76"/>
  <c r="F77" i="76"/>
  <c r="F102" i="76"/>
  <c r="F97" i="76"/>
  <c r="F96" i="76"/>
  <c r="F89" i="76"/>
  <c r="F88" i="76"/>
  <c r="F65" i="76"/>
  <c r="F106" i="76"/>
  <c r="F101" i="76"/>
  <c r="F80" i="76"/>
  <c r="F79" i="76"/>
  <c r="F100" i="76"/>
  <c r="F71" i="76"/>
  <c r="F90" i="76"/>
  <c r="F66" i="76"/>
  <c r="F81" i="76"/>
  <c r="F72" i="76"/>
  <c r="F68" i="76"/>
  <c r="F67" i="76"/>
  <c r="F91" i="76"/>
  <c r="F83" i="76"/>
  <c r="F82" i="76"/>
  <c r="F60" i="76"/>
  <c r="F51" i="76"/>
  <c r="F47" i="76"/>
  <c r="F43" i="76"/>
  <c r="F74" i="76"/>
  <c r="F70" i="76"/>
  <c r="F61" i="76"/>
  <c r="F52" i="76"/>
  <c r="F48" i="76"/>
  <c r="F44" i="76"/>
  <c r="F40" i="76"/>
  <c r="F39" i="76"/>
  <c r="F62" i="76"/>
  <c r="F58" i="76"/>
  <c r="F57" i="76"/>
  <c r="F56" i="76"/>
  <c r="F49" i="76"/>
  <c r="F45" i="76"/>
  <c r="F41" i="76"/>
  <c r="D54" i="76"/>
  <c r="L12" i="76"/>
  <c r="F69" i="76"/>
  <c r="F63" i="76"/>
  <c r="F50" i="76"/>
  <c r="F46" i="76"/>
  <c r="F42" i="76"/>
  <c r="J34" i="73"/>
  <c r="V36" i="73"/>
  <c r="V40" i="73"/>
  <c r="V44" i="73"/>
  <c r="V48" i="73"/>
  <c r="J56" i="73"/>
  <c r="J60" i="73"/>
  <c r="J66" i="73"/>
  <c r="J76" i="73"/>
  <c r="V82" i="73"/>
  <c r="Z16" i="74"/>
  <c r="Z20" i="74"/>
  <c r="Z24" i="74"/>
  <c r="Z28" i="74"/>
  <c r="Z32" i="74"/>
  <c r="Z36" i="74"/>
  <c r="Z40" i="74"/>
  <c r="Z44" i="74"/>
  <c r="Z48" i="74"/>
  <c r="R53" i="74"/>
  <c r="J56" i="74"/>
  <c r="R57" i="74"/>
  <c r="J60" i="74"/>
  <c r="R61" i="74"/>
  <c r="J64" i="74"/>
  <c r="R65" i="74"/>
  <c r="J68" i="74"/>
  <c r="R69" i="74"/>
  <c r="J72" i="74"/>
  <c r="R73" i="74"/>
  <c r="H77" i="74"/>
  <c r="R97" i="74"/>
  <c r="R98" i="74"/>
  <c r="J104" i="74"/>
  <c r="R105" i="74"/>
  <c r="R106" i="74"/>
  <c r="J112" i="74"/>
  <c r="R113" i="74"/>
  <c r="R114" i="74"/>
  <c r="R128" i="74"/>
  <c r="X73" i="75"/>
  <c r="Z73" i="75" s="1"/>
  <c r="N96" i="76"/>
  <c r="P99" i="76"/>
  <c r="X99" i="76" s="1"/>
  <c r="X102" i="76"/>
  <c r="Z102" i="76" s="1"/>
  <c r="T12" i="78"/>
  <c r="Z13" i="78"/>
  <c r="J38" i="73"/>
  <c r="J42" i="73"/>
  <c r="J46" i="73"/>
  <c r="H51" i="73"/>
  <c r="V62" i="73"/>
  <c r="J74" i="73"/>
  <c r="R52" i="74"/>
  <c r="J80" i="74"/>
  <c r="J90" i="74"/>
  <c r="R91" i="74"/>
  <c r="J94" i="74"/>
  <c r="R95" i="74"/>
  <c r="R96" i="74"/>
  <c r="J102" i="74"/>
  <c r="J110" i="74"/>
  <c r="J124" i="74"/>
  <c r="R130" i="74"/>
  <c r="N92" i="76"/>
  <c r="L92" i="76"/>
  <c r="Z96" i="76"/>
  <c r="V35" i="73"/>
  <c r="V39" i="73"/>
  <c r="V43" i="73"/>
  <c r="V47" i="73"/>
  <c r="J51" i="73"/>
  <c r="J53" i="73"/>
  <c r="J55" i="73"/>
  <c r="J59" i="73"/>
  <c r="V67" i="73"/>
  <c r="J73" i="73"/>
  <c r="J55" i="74"/>
  <c r="R56" i="74"/>
  <c r="J59" i="74"/>
  <c r="R60" i="74"/>
  <c r="J63" i="74"/>
  <c r="R64" i="74"/>
  <c r="J67" i="74"/>
  <c r="R68" i="74"/>
  <c r="J71" i="74"/>
  <c r="R72" i="74"/>
  <c r="J75" i="74"/>
  <c r="J89" i="74"/>
  <c r="J101" i="74"/>
  <c r="R104" i="74"/>
  <c r="R112" i="74"/>
  <c r="J123" i="74"/>
  <c r="H72" i="75"/>
  <c r="N12" i="73"/>
  <c r="X13" i="73"/>
  <c r="Z13" i="73" s="1"/>
  <c r="X21" i="73"/>
  <c r="Z21" i="73" s="1"/>
  <c r="X25" i="73"/>
  <c r="Z25" i="73" s="1"/>
  <c r="X29" i="73"/>
  <c r="J54" i="73"/>
  <c r="V56" i="73"/>
  <c r="V60" i="73"/>
  <c r="J64" i="73"/>
  <c r="V68" i="73"/>
  <c r="J72" i="73"/>
  <c r="V76" i="73"/>
  <c r="V78" i="73"/>
  <c r="P77" i="74"/>
  <c r="R81" i="74"/>
  <c r="J84" i="74"/>
  <c r="R85" i="74"/>
  <c r="J88" i="74"/>
  <c r="J100" i="74"/>
  <c r="J116" i="74"/>
  <c r="R117" i="74"/>
  <c r="J122" i="74"/>
  <c r="R125" i="74"/>
  <c r="L13" i="75"/>
  <c r="X67" i="75"/>
  <c r="Z13" i="76"/>
  <c r="J37" i="73"/>
  <c r="J41" i="73"/>
  <c r="J45" i="73"/>
  <c r="J49" i="73"/>
  <c r="V65" i="73"/>
  <c r="J71" i="73"/>
  <c r="X14" i="74"/>
  <c r="X18" i="74"/>
  <c r="X22" i="74"/>
  <c r="X26" i="74"/>
  <c r="X30" i="74"/>
  <c r="X34" i="74"/>
  <c r="Z34" i="74" s="1"/>
  <c r="X38" i="74"/>
  <c r="Z38" i="74" s="1"/>
  <c r="X42" i="74"/>
  <c r="Z42" i="74" s="1"/>
  <c r="X46" i="74"/>
  <c r="Z46" i="74" s="1"/>
  <c r="X50" i="74"/>
  <c r="Z50" i="74" s="1"/>
  <c r="R77" i="74"/>
  <c r="R79" i="74"/>
  <c r="R90" i="74"/>
  <c r="J93" i="74"/>
  <c r="R94" i="74"/>
  <c r="R102" i="74"/>
  <c r="R103" i="74"/>
  <c r="J109" i="74"/>
  <c r="R110" i="74"/>
  <c r="R111" i="74"/>
  <c r="J121" i="74"/>
  <c r="N13" i="75"/>
  <c r="X14" i="75"/>
  <c r="Z14" i="75" s="1"/>
  <c r="V34" i="73"/>
  <c r="V38" i="73"/>
  <c r="V42" i="73"/>
  <c r="V46" i="73"/>
  <c r="J58" i="73"/>
  <c r="V66" i="73"/>
  <c r="J70" i="73"/>
  <c r="V74" i="73"/>
  <c r="J54" i="74"/>
  <c r="R55" i="74"/>
  <c r="J58" i="74"/>
  <c r="R59" i="74"/>
  <c r="J62" i="74"/>
  <c r="R63" i="74"/>
  <c r="J66" i="74"/>
  <c r="R67" i="74"/>
  <c r="J70" i="74"/>
  <c r="R71" i="74"/>
  <c r="J74" i="74"/>
  <c r="R75" i="74"/>
  <c r="R80" i="74"/>
  <c r="J108" i="74"/>
  <c r="J120" i="74"/>
  <c r="R123" i="74"/>
  <c r="R124" i="74"/>
  <c r="X16" i="76"/>
  <c r="Z16" i="76" s="1"/>
  <c r="X20" i="76"/>
  <c r="Z20" i="76" s="1"/>
  <c r="X24" i="76"/>
  <c r="Z24" i="76" s="1"/>
  <c r="X16" i="73"/>
  <c r="Z16" i="73" s="1"/>
  <c r="X20" i="73"/>
  <c r="Z20" i="73" s="1"/>
  <c r="X24" i="73"/>
  <c r="Z24" i="73" s="1"/>
  <c r="X28" i="73"/>
  <c r="X32" i="73"/>
  <c r="V55" i="73"/>
  <c r="V59" i="73"/>
  <c r="J63" i="73"/>
  <c r="V75" i="73"/>
  <c r="J83" i="74"/>
  <c r="R84" i="74"/>
  <c r="J87" i="74"/>
  <c r="R88" i="74"/>
  <c r="R89" i="74"/>
  <c r="J99" i="74"/>
  <c r="R100" i="74"/>
  <c r="R101" i="74"/>
  <c r="J107" i="74"/>
  <c r="J115" i="74"/>
  <c r="R116" i="74"/>
  <c r="J119" i="74"/>
  <c r="L12" i="78"/>
  <c r="J39" i="78"/>
  <c r="X51" i="72"/>
  <c r="Z51" i="72" s="1"/>
  <c r="Z12" i="73"/>
  <c r="J36" i="73"/>
  <c r="J40" i="73"/>
  <c r="J44" i="73"/>
  <c r="J48" i="73"/>
  <c r="T51" i="73"/>
  <c r="J62" i="73"/>
  <c r="V64" i="73"/>
  <c r="V72" i="73"/>
  <c r="J82" i="73"/>
  <c r="X13" i="74"/>
  <c r="X17" i="74"/>
  <c r="X21" i="74"/>
  <c r="Z21" i="74" s="1"/>
  <c r="X25" i="74"/>
  <c r="X41" i="74"/>
  <c r="J92" i="74"/>
  <c r="R93" i="74"/>
  <c r="J98" i="74"/>
  <c r="J106" i="74"/>
  <c r="R109" i="74"/>
  <c r="J114" i="74"/>
  <c r="R121" i="74"/>
  <c r="R122" i="74"/>
  <c r="J128" i="74"/>
  <c r="J134" i="74"/>
  <c r="X13" i="75"/>
  <c r="X17" i="75"/>
  <c r="Z17" i="75" s="1"/>
  <c r="X21" i="75"/>
  <c r="Z21" i="75" s="1"/>
  <c r="V37" i="73"/>
  <c r="V41" i="73"/>
  <c r="V45" i="73"/>
  <c r="V49" i="73"/>
  <c r="V51" i="73"/>
  <c r="V53" i="73"/>
  <c r="J57" i="73"/>
  <c r="J61" i="73"/>
  <c r="J69" i="73"/>
  <c r="V73" i="73"/>
  <c r="Z13" i="74"/>
  <c r="J53" i="74"/>
  <c r="R54" i="74"/>
  <c r="J57" i="74"/>
  <c r="R58" i="74"/>
  <c r="J61" i="74"/>
  <c r="R62" i="74"/>
  <c r="J65" i="74"/>
  <c r="R66" i="74"/>
  <c r="J69" i="74"/>
  <c r="R70" i="74"/>
  <c r="J73" i="74"/>
  <c r="R74" i="74"/>
  <c r="J97" i="74"/>
  <c r="J105" i="74"/>
  <c r="J113" i="74"/>
  <c r="L128" i="74"/>
  <c r="N128" i="74" s="1"/>
  <c r="J129" i="74"/>
  <c r="X15" i="76"/>
  <c r="Z15" i="76" s="1"/>
  <c r="X19" i="76"/>
  <c r="Z19" i="76" s="1"/>
  <c r="X23" i="76"/>
  <c r="Z23" i="76" s="1"/>
  <c r="X27" i="76"/>
  <c r="Z27" i="76" s="1"/>
  <c r="X31" i="76"/>
  <c r="Z31" i="76" s="1"/>
  <c r="X35" i="76"/>
  <c r="Z35" i="76" s="1"/>
  <c r="V54" i="73"/>
  <c r="V58" i="73"/>
  <c r="J68" i="73"/>
  <c r="V70" i="73"/>
  <c r="J78" i="73"/>
  <c r="J52" i="74"/>
  <c r="J82" i="74"/>
  <c r="R83" i="74"/>
  <c r="J86" i="74"/>
  <c r="R87" i="74"/>
  <c r="J96" i="74"/>
  <c r="R99" i="74"/>
  <c r="R107" i="74"/>
  <c r="R108" i="74"/>
  <c r="R115" i="74"/>
  <c r="J118" i="74"/>
  <c r="R119" i="74"/>
  <c r="R120" i="74"/>
  <c r="J126" i="74"/>
  <c r="J130" i="74"/>
  <c r="Z88" i="76"/>
  <c r="J42" i="78"/>
  <c r="J60" i="78"/>
  <c r="J52" i="78"/>
  <c r="J44" i="78"/>
  <c r="J65" i="78"/>
  <c r="J59" i="78"/>
  <c r="J53" i="78"/>
  <c r="J58" i="78"/>
  <c r="J54" i="78"/>
  <c r="J57" i="78"/>
  <c r="J45" i="78"/>
  <c r="J37" i="78"/>
  <c r="J56" i="78"/>
  <c r="J46" i="78"/>
  <c r="J47" i="78"/>
  <c r="J51" i="78"/>
  <c r="J41" i="78"/>
  <c r="J22" i="78"/>
  <c r="J18" i="78"/>
  <c r="J49" i="78"/>
  <c r="J27" i="78"/>
  <c r="J32" i="78"/>
  <c r="J28" i="78"/>
  <c r="J26" i="78"/>
  <c r="J24" i="78"/>
  <c r="J43" i="78"/>
  <c r="J40" i="78"/>
  <c r="H24" i="78"/>
  <c r="J19" i="78"/>
  <c r="J33" i="78"/>
  <c r="J29" i="78"/>
  <c r="J20" i="78"/>
  <c r="J50" i="78"/>
  <c r="J48" i="78"/>
  <c r="J38" i="78"/>
  <c r="J34" i="78"/>
  <c r="J30" i="78"/>
  <c r="J35" i="78"/>
  <c r="J21" i="78"/>
  <c r="J36" i="78"/>
  <c r="N12" i="78"/>
  <c r="J35" i="73"/>
  <c r="J39" i="73"/>
  <c r="J43" i="73"/>
  <c r="J47" i="73"/>
  <c r="V63" i="73"/>
  <c r="J91" i="74"/>
  <c r="R92" i="74"/>
  <c r="F21" i="78"/>
  <c r="F46" i="78"/>
  <c r="L48" i="78"/>
  <c r="N48" i="78" s="1"/>
  <c r="Z53" i="78"/>
  <c r="P56" i="78"/>
  <c r="X56" i="78" s="1"/>
  <c r="Z56" i="78" s="1"/>
  <c r="X58" i="78"/>
  <c r="Z58" i="78" s="1"/>
  <c r="X61" i="78"/>
  <c r="Z61" i="78" s="1"/>
  <c r="V17" i="79"/>
  <c r="Z61" i="79"/>
  <c r="L62" i="80"/>
  <c r="L67" i="80"/>
  <c r="Z16" i="83"/>
  <c r="F28" i="83"/>
  <c r="R87" i="83"/>
  <c r="L12" i="87"/>
  <c r="P12" i="78"/>
  <c r="F30" i="78"/>
  <c r="F34" i="78"/>
  <c r="F38" i="78"/>
  <c r="F48" i="78"/>
  <c r="N40" i="79"/>
  <c r="V51" i="79"/>
  <c r="V55" i="80"/>
  <c r="V39" i="80"/>
  <c r="V31" i="80"/>
  <c r="V27" i="80"/>
  <c r="V23" i="80"/>
  <c r="V61" i="80"/>
  <c r="V57" i="80"/>
  <c r="V41" i="80"/>
  <c r="V33" i="80"/>
  <c r="T20" i="80"/>
  <c r="V64" i="80"/>
  <c r="V52" i="80"/>
  <c r="V40" i="80"/>
  <c r="V28" i="80"/>
  <c r="V24" i="80"/>
  <c r="V63" i="80"/>
  <c r="V51" i="80"/>
  <c r="V43" i="80"/>
  <c r="V58" i="80"/>
  <c r="V42" i="80"/>
  <c r="V34" i="80"/>
  <c r="V67" i="80"/>
  <c r="V65" i="80"/>
  <c r="V53" i="80"/>
  <c r="V45" i="80"/>
  <c r="V29" i="80"/>
  <c r="V25" i="80"/>
  <c r="V44" i="80"/>
  <c r="V16" i="80"/>
  <c r="V54" i="80"/>
  <c r="V46" i="80"/>
  <c r="V30" i="80"/>
  <c r="V26" i="80"/>
  <c r="V60" i="80"/>
  <c r="V56" i="80"/>
  <c r="V48" i="80"/>
  <c r="V36" i="80"/>
  <c r="V32" i="80"/>
  <c r="V18" i="80"/>
  <c r="F23" i="80"/>
  <c r="N62" i="80"/>
  <c r="V82" i="83"/>
  <c r="V69" i="83"/>
  <c r="V57" i="83"/>
  <c r="V45" i="83"/>
  <c r="V17" i="83"/>
  <c r="V63" i="83"/>
  <c r="V47" i="83"/>
  <c r="V31" i="83"/>
  <c r="V27" i="83"/>
  <c r="V23" i="83"/>
  <c r="V70" i="83"/>
  <c r="V58" i="83"/>
  <c r="V46" i="83"/>
  <c r="V38" i="83"/>
  <c r="V22" i="83"/>
  <c r="V18" i="83"/>
  <c r="V65" i="83"/>
  <c r="V49" i="83"/>
  <c r="V37" i="83"/>
  <c r="V33" i="83"/>
  <c r="T20" i="83"/>
  <c r="V20" i="83" s="1"/>
  <c r="V64" i="83"/>
  <c r="V48" i="83"/>
  <c r="V40" i="83"/>
  <c r="V28" i="83"/>
  <c r="V24" i="83"/>
  <c r="V71" i="83"/>
  <c r="V67" i="83"/>
  <c r="V59" i="83"/>
  <c r="V51" i="83"/>
  <c r="V39" i="83"/>
  <c r="V76" i="83"/>
  <c r="V66" i="83"/>
  <c r="V50" i="83"/>
  <c r="V42" i="83"/>
  <c r="V34" i="83"/>
  <c r="V72" i="83"/>
  <c r="V68" i="83"/>
  <c r="V60" i="83"/>
  <c r="V52" i="83"/>
  <c r="V44" i="83"/>
  <c r="V16" i="83"/>
  <c r="V74" i="83"/>
  <c r="V62" i="83"/>
  <c r="V54" i="83"/>
  <c r="V30" i="83"/>
  <c r="V26" i="83"/>
  <c r="V61" i="83"/>
  <c r="R66" i="83"/>
  <c r="R68" i="83"/>
  <c r="D99" i="76"/>
  <c r="F41" i="78"/>
  <c r="V22" i="79"/>
  <c r="V35" i="79"/>
  <c r="N38" i="79"/>
  <c r="L40" i="79"/>
  <c r="L56" i="79"/>
  <c r="N56" i="79" s="1"/>
  <c r="N16" i="80"/>
  <c r="L64" i="80"/>
  <c r="N64" i="80" s="1"/>
  <c r="N13" i="82"/>
  <c r="J18" i="82"/>
  <c r="X25" i="82"/>
  <c r="V25" i="83"/>
  <c r="L38" i="83"/>
  <c r="N38" i="83" s="1"/>
  <c r="N42" i="83"/>
  <c r="F20" i="78"/>
  <c r="P12" i="79"/>
  <c r="X14" i="79"/>
  <c r="Z14" i="79" s="1"/>
  <c r="N42" i="79"/>
  <c r="F44" i="80"/>
  <c r="F43" i="80"/>
  <c r="F69" i="80"/>
  <c r="F67" i="80"/>
  <c r="F54" i="80"/>
  <c r="F46" i="80"/>
  <c r="F45" i="80"/>
  <c r="F30" i="80"/>
  <c r="F26" i="80"/>
  <c r="F71" i="80"/>
  <c r="F17" i="80"/>
  <c r="F16" i="80"/>
  <c r="F60" i="80"/>
  <c r="F48" i="80"/>
  <c r="F47" i="80"/>
  <c r="F36" i="80"/>
  <c r="F55" i="80"/>
  <c r="F31" i="80"/>
  <c r="F27" i="80"/>
  <c r="F76" i="80"/>
  <c r="F73" i="80"/>
  <c r="F50" i="80"/>
  <c r="F49" i="80"/>
  <c r="F38" i="80"/>
  <c r="F37" i="80"/>
  <c r="F18" i="80"/>
  <c r="F61" i="80"/>
  <c r="F57" i="80"/>
  <c r="F56" i="80"/>
  <c r="F33" i="80"/>
  <c r="F32" i="80"/>
  <c r="F63" i="80"/>
  <c r="F62" i="80"/>
  <c r="F51" i="80"/>
  <c r="F22" i="80"/>
  <c r="F20" i="80"/>
  <c r="F65" i="80"/>
  <c r="F64" i="80"/>
  <c r="F53" i="80"/>
  <c r="F52" i="80"/>
  <c r="F29" i="80"/>
  <c r="F25" i="80"/>
  <c r="D20" i="80"/>
  <c r="X23" i="80"/>
  <c r="Z23" i="80" s="1"/>
  <c r="F34" i="80"/>
  <c r="V38" i="80"/>
  <c r="P21" i="82"/>
  <c r="R29" i="82"/>
  <c r="R17" i="82"/>
  <c r="X12" i="82"/>
  <c r="R18" i="82"/>
  <c r="R25" i="82"/>
  <c r="R23" i="82"/>
  <c r="R50" i="83"/>
  <c r="R52" i="83"/>
  <c r="H99" i="76"/>
  <c r="F29" i="78"/>
  <c r="F33" i="78"/>
  <c r="H12" i="80"/>
  <c r="X16" i="80"/>
  <c r="Z43" i="80"/>
  <c r="V62" i="80"/>
  <c r="Z13" i="82"/>
  <c r="T31" i="82"/>
  <c r="L14" i="83"/>
  <c r="N14" i="83" s="1"/>
  <c r="R17" i="83"/>
  <c r="N22" i="83"/>
  <c r="X42" i="83"/>
  <c r="Z42" i="83" s="1"/>
  <c r="Z44" i="83"/>
  <c r="V56" i="83"/>
  <c r="L67" i="83"/>
  <c r="N67" i="83" s="1"/>
  <c r="J78" i="87"/>
  <c r="J70" i="87"/>
  <c r="J66" i="87"/>
  <c r="J58" i="87"/>
  <c r="J48" i="87"/>
  <c r="J38" i="87"/>
  <c r="J32" i="87"/>
  <c r="J18" i="87"/>
  <c r="J59" i="87"/>
  <c r="J49" i="87"/>
  <c r="J39" i="87"/>
  <c r="J33" i="87"/>
  <c r="J23" i="87"/>
  <c r="J80" i="87"/>
  <c r="J60" i="87"/>
  <c r="J50" i="87"/>
  <c r="J40" i="87"/>
  <c r="J28" i="87"/>
  <c r="J24" i="87"/>
  <c r="J22" i="87"/>
  <c r="J71" i="87"/>
  <c r="J67" i="87"/>
  <c r="J51" i="87"/>
  <c r="J41" i="87"/>
  <c r="H20" i="87"/>
  <c r="J84" i="87"/>
  <c r="J52" i="87"/>
  <c r="J42" i="87"/>
  <c r="J34" i="87"/>
  <c r="J61" i="87"/>
  <c r="J53" i="87"/>
  <c r="J43" i="87"/>
  <c r="J29" i="87"/>
  <c r="J25" i="87"/>
  <c r="J72" i="87"/>
  <c r="J68" i="87"/>
  <c r="J54" i="87"/>
  <c r="J44" i="87"/>
  <c r="J73" i="87"/>
  <c r="J55" i="87"/>
  <c r="J35" i="87"/>
  <c r="J74" i="87"/>
  <c r="J62" i="87"/>
  <c r="J30" i="87"/>
  <c r="J26" i="87"/>
  <c r="J16" i="87"/>
  <c r="J75" i="87"/>
  <c r="J69" i="87"/>
  <c r="J63" i="87"/>
  <c r="J45" i="87"/>
  <c r="J17" i="87"/>
  <c r="J37" i="87"/>
  <c r="N12" i="87"/>
  <c r="J64" i="87"/>
  <c r="J47" i="87"/>
  <c r="J27" i="87"/>
  <c r="J57" i="87"/>
  <c r="J36" i="87"/>
  <c r="J77" i="87"/>
  <c r="J56" i="87"/>
  <c r="J46" i="87"/>
  <c r="D63" i="78"/>
  <c r="V59" i="79"/>
  <c r="V47" i="79"/>
  <c r="V31" i="79"/>
  <c r="V27" i="79"/>
  <c r="V23" i="79"/>
  <c r="V61" i="79"/>
  <c r="V37" i="79"/>
  <c r="V33" i="79"/>
  <c r="T20" i="79"/>
  <c r="V60" i="79"/>
  <c r="V56" i="79"/>
  <c r="V48" i="79"/>
  <c r="V40" i="79"/>
  <c r="V28" i="79"/>
  <c r="V24" i="79"/>
  <c r="V63" i="79"/>
  <c r="V55" i="79"/>
  <c r="V39" i="79"/>
  <c r="V62" i="79"/>
  <c r="V50" i="79"/>
  <c r="V42" i="79"/>
  <c r="V34" i="79"/>
  <c r="V57" i="79"/>
  <c r="V49" i="79"/>
  <c r="V41" i="79"/>
  <c r="V29" i="79"/>
  <c r="V25" i="79"/>
  <c r="V66" i="79"/>
  <c r="V64" i="79"/>
  <c r="V52" i="79"/>
  <c r="V44" i="79"/>
  <c r="V16" i="79"/>
  <c r="V58" i="79"/>
  <c r="V46" i="79"/>
  <c r="V30" i="79"/>
  <c r="V26" i="79"/>
  <c r="V70" i="79"/>
  <c r="V36" i="79"/>
  <c r="V32" i="79"/>
  <c r="V18" i="79"/>
  <c r="V38" i="79"/>
  <c r="Z16" i="80"/>
  <c r="V49" i="80"/>
  <c r="F58" i="80"/>
  <c r="X13" i="82"/>
  <c r="R82" i="83"/>
  <c r="R75" i="83"/>
  <c r="R78" i="83"/>
  <c r="R74" i="83"/>
  <c r="R62" i="83"/>
  <c r="R55" i="83"/>
  <c r="R54" i="83"/>
  <c r="R30" i="83"/>
  <c r="R26" i="83"/>
  <c r="R57" i="83"/>
  <c r="R56" i="83"/>
  <c r="R36" i="83"/>
  <c r="X12" i="83"/>
  <c r="Z12" i="83" s="1"/>
  <c r="R63" i="83"/>
  <c r="R32" i="83"/>
  <c r="R31" i="83"/>
  <c r="R27" i="83"/>
  <c r="R70" i="83"/>
  <c r="R58" i="83"/>
  <c r="R47" i="83"/>
  <c r="R46" i="83"/>
  <c r="R23" i="83"/>
  <c r="R18" i="83"/>
  <c r="R38" i="83"/>
  <c r="R37" i="83"/>
  <c r="R33" i="83"/>
  <c r="R22" i="83"/>
  <c r="R20" i="83"/>
  <c r="R80" i="83"/>
  <c r="R65" i="83"/>
  <c r="R64" i="83"/>
  <c r="R49" i="83"/>
  <c r="R48" i="83"/>
  <c r="R28" i="83"/>
  <c r="R24" i="83"/>
  <c r="P20" i="83"/>
  <c r="R84" i="83"/>
  <c r="R71" i="83"/>
  <c r="R59" i="83"/>
  <c r="R40" i="83"/>
  <c r="R39" i="83"/>
  <c r="R42" i="83"/>
  <c r="R41" i="83"/>
  <c r="R29" i="83"/>
  <c r="R25" i="83"/>
  <c r="R44" i="83"/>
  <c r="R43" i="83"/>
  <c r="R35" i="83"/>
  <c r="R16" i="83"/>
  <c r="V36" i="83"/>
  <c r="R69" i="83"/>
  <c r="V78" i="83"/>
  <c r="Z84" i="84"/>
  <c r="X84" i="84"/>
  <c r="H30" i="85"/>
  <c r="X15" i="78"/>
  <c r="Z15" i="78" s="1"/>
  <c r="F19" i="78"/>
  <c r="F24" i="78"/>
  <c r="F26" i="78"/>
  <c r="N43" i="78"/>
  <c r="F47" i="78"/>
  <c r="N16" i="79"/>
  <c r="N23" i="79"/>
  <c r="Z42" i="79"/>
  <c r="Z44" i="79"/>
  <c r="Z46" i="79"/>
  <c r="Z13" i="80"/>
  <c r="L22" i="80"/>
  <c r="F28" i="80"/>
  <c r="N32" i="80"/>
  <c r="F42" i="80"/>
  <c r="V47" i="80"/>
  <c r="F76" i="83"/>
  <c r="F75" i="83"/>
  <c r="F80" i="83"/>
  <c r="F78" i="83"/>
  <c r="F66" i="83"/>
  <c r="F65" i="83"/>
  <c r="F50" i="83"/>
  <c r="F49" i="83"/>
  <c r="F34" i="83"/>
  <c r="D20" i="83"/>
  <c r="F72" i="83"/>
  <c r="F68" i="83"/>
  <c r="F67" i="83"/>
  <c r="F60" i="83"/>
  <c r="F52" i="83"/>
  <c r="F51" i="83"/>
  <c r="F87" i="83"/>
  <c r="F82" i="83"/>
  <c r="F43" i="83"/>
  <c r="F42" i="83"/>
  <c r="F35" i="83"/>
  <c r="F74" i="83"/>
  <c r="F73" i="83"/>
  <c r="F62" i="83"/>
  <c r="F61" i="83"/>
  <c r="F54" i="83"/>
  <c r="F53" i="83"/>
  <c r="F30" i="83"/>
  <c r="F26" i="83"/>
  <c r="F69" i="83"/>
  <c r="F45" i="83"/>
  <c r="F44" i="83"/>
  <c r="F17" i="83"/>
  <c r="F16" i="83"/>
  <c r="F56" i="83"/>
  <c r="F55" i="83"/>
  <c r="F36" i="83"/>
  <c r="L12" i="83"/>
  <c r="F63" i="83"/>
  <c r="F31" i="83"/>
  <c r="F27" i="83"/>
  <c r="F84" i="83"/>
  <c r="F37" i="83"/>
  <c r="F33" i="83"/>
  <c r="F32" i="83"/>
  <c r="F71" i="83"/>
  <c r="F59" i="83"/>
  <c r="F39" i="83"/>
  <c r="F38" i="83"/>
  <c r="F22" i="83"/>
  <c r="F20" i="83"/>
  <c r="Z14" i="83"/>
  <c r="F24" i="83"/>
  <c r="F47" i="83"/>
  <c r="L51" i="83"/>
  <c r="N51" i="83" s="1"/>
  <c r="R73" i="83"/>
  <c r="J65" i="87"/>
  <c r="J76" i="87"/>
  <c r="F91" i="91"/>
  <c r="F86" i="91"/>
  <c r="F60" i="91"/>
  <c r="F28" i="91"/>
  <c r="F24" i="91"/>
  <c r="F20" i="91"/>
  <c r="F19" i="91"/>
  <c r="F79" i="91"/>
  <c r="F78" i="91"/>
  <c r="F71" i="91"/>
  <c r="F51" i="91"/>
  <c r="F50" i="91"/>
  <c r="F18" i="91"/>
  <c r="F16" i="91"/>
  <c r="F14" i="91"/>
  <c r="F93" i="91"/>
  <c r="F66" i="91"/>
  <c r="F62" i="91"/>
  <c r="F61" i="91"/>
  <c r="F42" i="91"/>
  <c r="F34" i="91"/>
  <c r="F30" i="91"/>
  <c r="F29" i="91"/>
  <c r="D16" i="91"/>
  <c r="F85" i="91"/>
  <c r="F53" i="91"/>
  <c r="F52" i="91"/>
  <c r="F25" i="91"/>
  <c r="F21" i="91"/>
  <c r="F87" i="91"/>
  <c r="F80" i="91"/>
  <c r="F72" i="91"/>
  <c r="F68" i="91"/>
  <c r="F67" i="91"/>
  <c r="F89" i="91"/>
  <c r="F26" i="91"/>
  <c r="F22" i="91"/>
  <c r="F73" i="91"/>
  <c r="F69" i="91"/>
  <c r="F57" i="91"/>
  <c r="F56" i="91"/>
  <c r="F45" i="91"/>
  <c r="F44" i="91"/>
  <c r="F37" i="91"/>
  <c r="F36" i="91"/>
  <c r="F81" i="91"/>
  <c r="F64" i="91"/>
  <c r="F32" i="91"/>
  <c r="L12" i="91"/>
  <c r="F75" i="91"/>
  <c r="F74" i="91"/>
  <c r="F59" i="91"/>
  <c r="F58" i="91"/>
  <c r="F55" i="91"/>
  <c r="F48" i="91"/>
  <c r="F43" i="91"/>
  <c r="F41" i="91"/>
  <c r="F76" i="91"/>
  <c r="F82" i="91"/>
  <c r="F46" i="91"/>
  <c r="F96" i="91"/>
  <c r="F39" i="91"/>
  <c r="F27" i="91"/>
  <c r="F23" i="91"/>
  <c r="F54" i="91"/>
  <c r="F49" i="91"/>
  <c r="F77" i="91"/>
  <c r="F47" i="91"/>
  <c r="F40" i="91"/>
  <c r="F70" i="91"/>
  <c r="F63" i="91"/>
  <c r="F35" i="91"/>
  <c r="F38" i="91"/>
  <c r="F31" i="91"/>
  <c r="F83" i="91"/>
  <c r="F33" i="91"/>
  <c r="F65" i="91"/>
  <c r="X84" i="76"/>
  <c r="X92" i="76"/>
  <c r="Z92" i="76" s="1"/>
  <c r="L100" i="76"/>
  <c r="N100" i="76" s="1"/>
  <c r="D68" i="79"/>
  <c r="N22" i="80"/>
  <c r="F39" i="80"/>
  <c r="R34" i="83"/>
  <c r="V75" i="83"/>
  <c r="T12" i="85"/>
  <c r="X13" i="85"/>
  <c r="Z13" i="85"/>
  <c r="L13" i="78"/>
  <c r="X43" i="78"/>
  <c r="Z43" i="78" s="1"/>
  <c r="D56" i="78"/>
  <c r="L56" i="78" s="1"/>
  <c r="N56" i="78" s="1"/>
  <c r="H12" i="79"/>
  <c r="N13" i="79"/>
  <c r="X16" i="79"/>
  <c r="Z16" i="79" s="1"/>
  <c r="N32" i="79"/>
  <c r="Z50" i="79"/>
  <c r="Z52" i="79"/>
  <c r="V17" i="80"/>
  <c r="F35" i="80"/>
  <c r="L52" i="80"/>
  <c r="N52" i="80" s="1"/>
  <c r="N17" i="82"/>
  <c r="X23" i="82"/>
  <c r="V29" i="83"/>
  <c r="N32" i="83"/>
  <c r="V43" i="83"/>
  <c r="R45" i="83"/>
  <c r="N61" i="83"/>
  <c r="R67" i="83"/>
  <c r="V73" i="83"/>
  <c r="N17" i="84"/>
  <c r="L17" i="84"/>
  <c r="N21" i="84"/>
  <c r="L21" i="84"/>
  <c r="F51" i="78"/>
  <c r="F50" i="78"/>
  <c r="F63" i="78"/>
  <c r="F61" i="78"/>
  <c r="F52" i="78"/>
  <c r="F44" i="78"/>
  <c r="F43" i="78"/>
  <c r="F65" i="78"/>
  <c r="F60" i="78"/>
  <c r="F59" i="78"/>
  <c r="F54" i="78"/>
  <c r="F53" i="78"/>
  <c r="F58" i="78"/>
  <c r="F45" i="78"/>
  <c r="F37" i="78"/>
  <c r="F70" i="78"/>
  <c r="F67" i="78"/>
  <c r="F57" i="78"/>
  <c r="F40" i="78"/>
  <c r="F39" i="78"/>
  <c r="N13" i="78"/>
  <c r="F17" i="78"/>
  <c r="F18" i="78"/>
  <c r="F22" i="78"/>
  <c r="L24" i="78"/>
  <c r="F56" i="78"/>
  <c r="Z59" i="78"/>
  <c r="V20" i="79"/>
  <c r="N61" i="79"/>
  <c r="F41" i="80"/>
  <c r="F59" i="80"/>
  <c r="J25" i="82"/>
  <c r="J23" i="82"/>
  <c r="H21" i="82"/>
  <c r="J29" i="82"/>
  <c r="J17" i="82"/>
  <c r="Z13" i="84"/>
  <c r="X13" i="84"/>
  <c r="T12" i="84"/>
  <c r="F31" i="78"/>
  <c r="F42" i="78"/>
  <c r="Z13" i="79"/>
  <c r="L22" i="79"/>
  <c r="N22" i="79" s="1"/>
  <c r="V45" i="79"/>
  <c r="V22" i="80"/>
  <c r="V37" i="80"/>
  <c r="X39" i="80"/>
  <c r="Z39" i="80" s="1"/>
  <c r="V50" i="80"/>
  <c r="Z56" i="80"/>
  <c r="V71" i="80"/>
  <c r="R19" i="82"/>
  <c r="H12" i="83"/>
  <c r="L13" i="83"/>
  <c r="N13" i="83" s="1"/>
  <c r="Z32" i="83"/>
  <c r="V41" i="83"/>
  <c r="Z47" i="83"/>
  <c r="R51" i="83"/>
  <c r="R53" i="83"/>
  <c r="X57" i="83"/>
  <c r="Z57" i="83" s="1"/>
  <c r="F64" i="83"/>
  <c r="R76" i="83"/>
  <c r="X17" i="84"/>
  <c r="Z17" i="84" s="1"/>
  <c r="F25" i="79"/>
  <c r="F29" i="79"/>
  <c r="F40" i="79"/>
  <c r="F41" i="79"/>
  <c r="F49" i="79"/>
  <c r="F56" i="79"/>
  <c r="F57" i="79"/>
  <c r="D12" i="82"/>
  <c r="N33" i="84"/>
  <c r="Z80" i="84"/>
  <c r="N90" i="84"/>
  <c r="Z23" i="85"/>
  <c r="X28" i="85"/>
  <c r="R71" i="87"/>
  <c r="R67" i="87"/>
  <c r="R52" i="87"/>
  <c r="R51" i="87"/>
  <c r="R84" i="87"/>
  <c r="R43" i="87"/>
  <c r="R42" i="87"/>
  <c r="R34" i="87"/>
  <c r="R89" i="87"/>
  <c r="R86" i="87"/>
  <c r="R61" i="87"/>
  <c r="R54" i="87"/>
  <c r="R53" i="87"/>
  <c r="R29" i="87"/>
  <c r="R25" i="87"/>
  <c r="R73" i="87"/>
  <c r="R72" i="87"/>
  <c r="R68" i="87"/>
  <c r="R44" i="87"/>
  <c r="R55" i="87"/>
  <c r="R35" i="87"/>
  <c r="R16" i="87"/>
  <c r="R75" i="87"/>
  <c r="R74" i="87"/>
  <c r="R63" i="87"/>
  <c r="R62" i="87"/>
  <c r="R30" i="87"/>
  <c r="R26" i="87"/>
  <c r="R69" i="87"/>
  <c r="R46" i="87"/>
  <c r="R45" i="87"/>
  <c r="R17" i="87"/>
  <c r="R77" i="87"/>
  <c r="R76" i="87"/>
  <c r="R65" i="87"/>
  <c r="R64" i="87"/>
  <c r="R57" i="87"/>
  <c r="R56" i="87"/>
  <c r="R37" i="87"/>
  <c r="R36" i="87"/>
  <c r="X12" i="87"/>
  <c r="R48" i="87"/>
  <c r="R47" i="87"/>
  <c r="R32" i="87"/>
  <c r="R31" i="87"/>
  <c r="R27" i="87"/>
  <c r="R78" i="87"/>
  <c r="R70" i="87"/>
  <c r="R66" i="87"/>
  <c r="R59" i="87"/>
  <c r="R58" i="87"/>
  <c r="R39" i="87"/>
  <c r="R38" i="87"/>
  <c r="R23" i="87"/>
  <c r="R18" i="87"/>
  <c r="Z32" i="87"/>
  <c r="V43" i="87"/>
  <c r="V17" i="88"/>
  <c r="Z22" i="88"/>
  <c r="R30" i="88"/>
  <c r="V45" i="88"/>
  <c r="F20" i="79"/>
  <c r="F22" i="79"/>
  <c r="F38" i="79"/>
  <c r="F39" i="79"/>
  <c r="F55" i="79"/>
  <c r="V19" i="82"/>
  <c r="V21" i="82"/>
  <c r="V23" i="82"/>
  <c r="V25" i="82"/>
  <c r="V27" i="82"/>
  <c r="X26" i="84"/>
  <c r="L38" i="84"/>
  <c r="N38" i="84" s="1"/>
  <c r="X56" i="84"/>
  <c r="Z108" i="84"/>
  <c r="X108" i="84"/>
  <c r="F47" i="87"/>
  <c r="F46" i="87"/>
  <c r="F31" i="87"/>
  <c r="F27" i="87"/>
  <c r="F78" i="87"/>
  <c r="F77" i="87"/>
  <c r="F70" i="87"/>
  <c r="F66" i="87"/>
  <c r="F65" i="87"/>
  <c r="F58" i="87"/>
  <c r="F57" i="87"/>
  <c r="F38" i="87"/>
  <c r="F37" i="87"/>
  <c r="F18" i="87"/>
  <c r="F49" i="87"/>
  <c r="F48" i="87"/>
  <c r="F33" i="87"/>
  <c r="F32" i="87"/>
  <c r="F60" i="87"/>
  <c r="F59" i="87"/>
  <c r="F40" i="87"/>
  <c r="F39" i="87"/>
  <c r="F28" i="87"/>
  <c r="F24" i="87"/>
  <c r="F23" i="87"/>
  <c r="F82" i="87"/>
  <c r="F80" i="87"/>
  <c r="F71" i="87"/>
  <c r="F67" i="87"/>
  <c r="F51" i="87"/>
  <c r="F50" i="87"/>
  <c r="F22" i="87"/>
  <c r="F20" i="87"/>
  <c r="F84" i="87"/>
  <c r="F42" i="87"/>
  <c r="F41" i="87"/>
  <c r="F34" i="87"/>
  <c r="D20" i="87"/>
  <c r="F61" i="87"/>
  <c r="F53" i="87"/>
  <c r="F52" i="87"/>
  <c r="F29" i="87"/>
  <c r="F25" i="87"/>
  <c r="F72" i="87"/>
  <c r="F68" i="87"/>
  <c r="F44" i="87"/>
  <c r="F43" i="87"/>
  <c r="F89" i="87"/>
  <c r="F86" i="87"/>
  <c r="F55" i="87"/>
  <c r="F54" i="87"/>
  <c r="F35" i="87"/>
  <c r="F74" i="87"/>
  <c r="F73" i="87"/>
  <c r="F62" i="87"/>
  <c r="F30" i="87"/>
  <c r="F26" i="87"/>
  <c r="X41" i="87"/>
  <c r="Z41" i="87" s="1"/>
  <c r="L46" i="87"/>
  <c r="N46" i="87" s="1"/>
  <c r="V60" i="87"/>
  <c r="R69" i="88"/>
  <c r="R67" i="88"/>
  <c r="R52" i="88"/>
  <c r="R59" i="88"/>
  <c r="R62" i="88"/>
  <c r="R61" i="88"/>
  <c r="R57" i="88"/>
  <c r="R50" i="88"/>
  <c r="R49" i="88"/>
  <c r="R73" i="88"/>
  <c r="R46" i="88"/>
  <c r="R45" i="88"/>
  <c r="R17" i="88"/>
  <c r="R36" i="88"/>
  <c r="X12" i="88"/>
  <c r="R54" i="88"/>
  <c r="R47" i="88"/>
  <c r="R32" i="88"/>
  <c r="R31" i="88"/>
  <c r="R27" i="88"/>
  <c r="R63" i="88"/>
  <c r="R51" i="88"/>
  <c r="R23" i="88"/>
  <c r="R18" i="88"/>
  <c r="R76" i="88"/>
  <c r="R48" i="88"/>
  <c r="R38" i="88"/>
  <c r="R37" i="88"/>
  <c r="R33" i="88"/>
  <c r="R22" i="88"/>
  <c r="R20" i="88"/>
  <c r="R64" i="88"/>
  <c r="R60" i="88"/>
  <c r="R28" i="88"/>
  <c r="R24" i="88"/>
  <c r="P20" i="88"/>
  <c r="R58" i="88"/>
  <c r="R55" i="88"/>
  <c r="R40" i="88"/>
  <c r="R39" i="88"/>
  <c r="R34" i="88"/>
  <c r="R71" i="88"/>
  <c r="R56" i="88"/>
  <c r="R42" i="88"/>
  <c r="R41" i="88"/>
  <c r="R29" i="88"/>
  <c r="R25" i="88"/>
  <c r="R65" i="88"/>
  <c r="Z67" i="88"/>
  <c r="X67" i="88"/>
  <c r="F32" i="79"/>
  <c r="F33" i="79"/>
  <c r="F37" i="79"/>
  <c r="F72" i="79"/>
  <c r="F75" i="79"/>
  <c r="L13" i="80"/>
  <c r="N13" i="80" s="1"/>
  <c r="L23" i="83"/>
  <c r="N23" i="83" s="1"/>
  <c r="L47" i="83"/>
  <c r="N47" i="83" s="1"/>
  <c r="X53" i="83"/>
  <c r="Z53" i="83" s="1"/>
  <c r="X61" i="83"/>
  <c r="Z61" i="83" s="1"/>
  <c r="P12" i="84"/>
  <c r="X14" i="84"/>
  <c r="X21" i="84"/>
  <c r="Z21" i="84" s="1"/>
  <c r="Z56" i="84"/>
  <c r="N20" i="85"/>
  <c r="N16" i="87"/>
  <c r="F36" i="87"/>
  <c r="Z52" i="87"/>
  <c r="X52" i="87"/>
  <c r="N63" i="87"/>
  <c r="F75" i="87"/>
  <c r="L40" i="88"/>
  <c r="N40" i="88" s="1"/>
  <c r="X50" i="88"/>
  <c r="F18" i="79"/>
  <c r="F54" i="79"/>
  <c r="V18" i="82"/>
  <c r="Z14" i="84"/>
  <c r="N25" i="84"/>
  <c r="R32" i="85"/>
  <c r="R15" i="85"/>
  <c r="R21" i="85"/>
  <c r="R16" i="85"/>
  <c r="R20" i="85"/>
  <c r="R23" i="85"/>
  <c r="R22" i="85"/>
  <c r="P18" i="85"/>
  <c r="R25" i="85"/>
  <c r="R24" i="85"/>
  <c r="X12" i="85"/>
  <c r="V84" i="87"/>
  <c r="V54" i="87"/>
  <c r="V42" i="87"/>
  <c r="V34" i="87"/>
  <c r="V73" i="87"/>
  <c r="V61" i="87"/>
  <c r="V53" i="87"/>
  <c r="V29" i="87"/>
  <c r="V25" i="87"/>
  <c r="V72" i="87"/>
  <c r="V68" i="87"/>
  <c r="V44" i="87"/>
  <c r="V16" i="87"/>
  <c r="V75" i="87"/>
  <c r="V63" i="87"/>
  <c r="V55" i="87"/>
  <c r="V35" i="87"/>
  <c r="V74" i="87"/>
  <c r="V62" i="87"/>
  <c r="V46" i="87"/>
  <c r="V30" i="87"/>
  <c r="V26" i="87"/>
  <c r="V77" i="87"/>
  <c r="V69" i="87"/>
  <c r="V65" i="87"/>
  <c r="V57" i="87"/>
  <c r="V45" i="87"/>
  <c r="V37" i="87"/>
  <c r="V17" i="87"/>
  <c r="V76" i="87"/>
  <c r="V64" i="87"/>
  <c r="V56" i="87"/>
  <c r="V48" i="87"/>
  <c r="V36" i="87"/>
  <c r="V32" i="87"/>
  <c r="Z12" i="87"/>
  <c r="V59" i="87"/>
  <c r="V47" i="87"/>
  <c r="V39" i="87"/>
  <c r="V31" i="87"/>
  <c r="V27" i="87"/>
  <c r="V23" i="87"/>
  <c r="V80" i="87"/>
  <c r="V78" i="87"/>
  <c r="V70" i="87"/>
  <c r="V66" i="87"/>
  <c r="V58" i="87"/>
  <c r="V50" i="87"/>
  <c r="V38" i="87"/>
  <c r="V22" i="87"/>
  <c r="V18" i="87"/>
  <c r="V49" i="87"/>
  <c r="V41" i="87"/>
  <c r="V33" i="87"/>
  <c r="T20" i="87"/>
  <c r="X20" i="87" s="1"/>
  <c r="V52" i="87"/>
  <c r="N75" i="87"/>
  <c r="P82" i="87"/>
  <c r="D12" i="88"/>
  <c r="L13" i="88"/>
  <c r="N38" i="88"/>
  <c r="N44" i="88"/>
  <c r="Z50" i="88"/>
  <c r="F27" i="79"/>
  <c r="F31" i="79"/>
  <c r="F46" i="79"/>
  <c r="F47" i="79"/>
  <c r="F59" i="79"/>
  <c r="D12" i="84"/>
  <c r="X23" i="84"/>
  <c r="Z23" i="84" s="1"/>
  <c r="X30" i="84"/>
  <c r="N74" i="84"/>
  <c r="N101" i="84"/>
  <c r="Z20" i="85"/>
  <c r="X13" i="87"/>
  <c r="Z13" i="87" s="1"/>
  <c r="Z16" i="87"/>
  <c r="V40" i="87"/>
  <c r="Z48" i="87"/>
  <c r="Z50" i="87"/>
  <c r="Z63" i="87"/>
  <c r="J63" i="88"/>
  <c r="J51" i="88"/>
  <c r="J64" i="88"/>
  <c r="J58" i="88"/>
  <c r="J65" i="88"/>
  <c r="J60" i="88"/>
  <c r="J54" i="88"/>
  <c r="J42" i="88"/>
  <c r="J59" i="88"/>
  <c r="J43" i="88"/>
  <c r="J35" i="88"/>
  <c r="J67" i="88"/>
  <c r="J62" i="88"/>
  <c r="J53" i="88"/>
  <c r="J50" i="88"/>
  <c r="J44" i="88"/>
  <c r="J30" i="88"/>
  <c r="J26" i="88"/>
  <c r="J16" i="88"/>
  <c r="J57" i="88"/>
  <c r="J45" i="88"/>
  <c r="J17" i="88"/>
  <c r="J46" i="88"/>
  <c r="J36" i="88"/>
  <c r="J47" i="88"/>
  <c r="J31" i="88"/>
  <c r="J27" i="88"/>
  <c r="J32" i="88"/>
  <c r="J18" i="88"/>
  <c r="J48" i="88"/>
  <c r="J37" i="88"/>
  <c r="J33" i="88"/>
  <c r="J23" i="88"/>
  <c r="J38" i="88"/>
  <c r="J28" i="88"/>
  <c r="J24" i="88"/>
  <c r="J22" i="88"/>
  <c r="J20" i="88"/>
  <c r="J55" i="88"/>
  <c r="J52" i="88"/>
  <c r="J39" i="88"/>
  <c r="H20" i="88"/>
  <c r="R26" i="88"/>
  <c r="J29" i="88"/>
  <c r="X62" i="88"/>
  <c r="F36" i="79"/>
  <c r="F70" i="79"/>
  <c r="Z12" i="82"/>
  <c r="Z13" i="83"/>
  <c r="L78" i="83"/>
  <c r="H12" i="84"/>
  <c r="N13" i="84"/>
  <c r="X18" i="84"/>
  <c r="Z18" i="84" s="1"/>
  <c r="N76" i="84"/>
  <c r="N78" i="84"/>
  <c r="L78" i="84"/>
  <c r="F26" i="85"/>
  <c r="F25" i="85"/>
  <c r="F30" i="85"/>
  <c r="F28" i="85"/>
  <c r="F32" i="85"/>
  <c r="F16" i="85"/>
  <c r="F15" i="85"/>
  <c r="F37" i="85"/>
  <c r="F34" i="85"/>
  <c r="F45" i="87"/>
  <c r="R16" i="88"/>
  <c r="R44" i="88"/>
  <c r="X46" i="88"/>
  <c r="Z46" i="88" s="1"/>
  <c r="J49" i="88"/>
  <c r="R53" i="88"/>
  <c r="Z62" i="88"/>
  <c r="X13" i="79"/>
  <c r="F16" i="79"/>
  <c r="F17" i="79"/>
  <c r="F44" i="79"/>
  <c r="F45" i="79"/>
  <c r="F52" i="79"/>
  <c r="F53" i="79"/>
  <c r="F66" i="79"/>
  <c r="F68" i="79"/>
  <c r="J26" i="85"/>
  <c r="J30" i="85"/>
  <c r="J28" i="85"/>
  <c r="J32" i="85"/>
  <c r="J15" i="85"/>
  <c r="J16" i="85"/>
  <c r="J21" i="85"/>
  <c r="J22" i="85"/>
  <c r="J20" i="85"/>
  <c r="J18" i="85"/>
  <c r="V59" i="88"/>
  <c r="V54" i="88"/>
  <c r="V71" i="88"/>
  <c r="V53" i="88"/>
  <c r="V64" i="88"/>
  <c r="V57" i="88"/>
  <c r="V36" i="88"/>
  <c r="V32" i="88"/>
  <c r="Z12" i="88"/>
  <c r="V47" i="88"/>
  <c r="V31" i="88"/>
  <c r="V27" i="88"/>
  <c r="V23" i="88"/>
  <c r="V63" i="88"/>
  <c r="V51" i="88"/>
  <c r="V48" i="88"/>
  <c r="V38" i="88"/>
  <c r="V22" i="88"/>
  <c r="V18" i="88"/>
  <c r="V37" i="88"/>
  <c r="V33" i="88"/>
  <c r="T20" i="88"/>
  <c r="V20" i="88" s="1"/>
  <c r="V60" i="88"/>
  <c r="V40" i="88"/>
  <c r="V28" i="88"/>
  <c r="V24" i="88"/>
  <c r="V58" i="88"/>
  <c r="V55" i="88"/>
  <c r="V39" i="88"/>
  <c r="V56" i="88"/>
  <c r="V52" i="88"/>
  <c r="V42" i="88"/>
  <c r="V34" i="88"/>
  <c r="V41" i="88"/>
  <c r="V29" i="88"/>
  <c r="V25" i="88"/>
  <c r="V65" i="88"/>
  <c r="V61" i="88"/>
  <c r="V49" i="88"/>
  <c r="V44" i="88"/>
  <c r="V16" i="88"/>
  <c r="V62" i="88"/>
  <c r="V50" i="88"/>
  <c r="V43" i="88"/>
  <c r="V35" i="88"/>
  <c r="V46" i="88"/>
  <c r="H70" i="92"/>
  <c r="F26" i="79"/>
  <c r="F30" i="79"/>
  <c r="F58" i="79"/>
  <c r="Z32" i="84"/>
  <c r="X34" i="84"/>
  <c r="Z34" i="84" s="1"/>
  <c r="X57" i="84"/>
  <c r="Z72" i="84"/>
  <c r="X72" i="84"/>
  <c r="Z95" i="84"/>
  <c r="Z99" i="84"/>
  <c r="Z101" i="84"/>
  <c r="F21" i="85"/>
  <c r="V24" i="87"/>
  <c r="V51" i="87"/>
  <c r="Z59" i="87"/>
  <c r="F69" i="87"/>
  <c r="V71" i="87"/>
  <c r="F76" i="87"/>
  <c r="J34" i="88"/>
  <c r="J61" i="88"/>
  <c r="J72" i="92"/>
  <c r="J56" i="92"/>
  <c r="J48" i="92"/>
  <c r="J51" i="92"/>
  <c r="J39" i="92"/>
  <c r="J62" i="92"/>
  <c r="J58" i="92"/>
  <c r="J40" i="92"/>
  <c r="J34" i="92"/>
  <c r="J63" i="92"/>
  <c r="J41" i="92"/>
  <c r="J29" i="92"/>
  <c r="J25" i="92"/>
  <c r="J64" i="92"/>
  <c r="J52" i="92"/>
  <c r="J42" i="92"/>
  <c r="J55" i="92"/>
  <c r="J47" i="92"/>
  <c r="J27" i="92"/>
  <c r="J23" i="92"/>
  <c r="J21" i="92"/>
  <c r="J19" i="92"/>
  <c r="J70" i="92"/>
  <c r="J46" i="92"/>
  <c r="J66" i="92"/>
  <c r="J54" i="92"/>
  <c r="J49" i="92"/>
  <c r="J37" i="92"/>
  <c r="J24" i="92"/>
  <c r="J61" i="92"/>
  <c r="J44" i="92"/>
  <c r="J32" i="92"/>
  <c r="J59" i="92"/>
  <c r="J38" i="92"/>
  <c r="J35" i="92"/>
  <c r="J16" i="92"/>
  <c r="J57" i="92"/>
  <c r="J17" i="92"/>
  <c r="J68" i="92"/>
  <c r="J45" i="92"/>
  <c r="J33" i="92"/>
  <c r="J30" i="92"/>
  <c r="J65" i="92"/>
  <c r="J53" i="92"/>
  <c r="J43" i="92"/>
  <c r="J26" i="92"/>
  <c r="J28" i="92"/>
  <c r="J36" i="92"/>
  <c r="J54" i="93"/>
  <c r="J48" i="93"/>
  <c r="J36" i="93"/>
  <c r="N12" i="93"/>
  <c r="J61" i="93"/>
  <c r="J49" i="93"/>
  <c r="J39" i="93"/>
  <c r="J33" i="93"/>
  <c r="J23" i="93"/>
  <c r="J64" i="93"/>
  <c r="J56" i="93"/>
  <c r="J40" i="93"/>
  <c r="J28" i="93"/>
  <c r="J24" i="93"/>
  <c r="J22" i="93"/>
  <c r="J63" i="93"/>
  <c r="J41" i="93"/>
  <c r="H20" i="93"/>
  <c r="J68" i="93"/>
  <c r="J50" i="93"/>
  <c r="J42" i="93"/>
  <c r="J34" i="93"/>
  <c r="J57" i="93"/>
  <c r="J51" i="93"/>
  <c r="J43" i="93"/>
  <c r="J53" i="93"/>
  <c r="J47" i="93"/>
  <c r="J17" i="93"/>
  <c r="J58" i="93"/>
  <c r="J31" i="93"/>
  <c r="J29" i="93"/>
  <c r="J52" i="93"/>
  <c r="J27" i="93"/>
  <c r="J25" i="93"/>
  <c r="J32" i="93"/>
  <c r="J18" i="93"/>
  <c r="J46" i="93"/>
  <c r="J16" i="93"/>
  <c r="J37" i="93"/>
  <c r="J59" i="93"/>
  <c r="J55" i="93"/>
  <c r="J44" i="93"/>
  <c r="J35" i="93"/>
  <c r="J30" i="93"/>
  <c r="J60" i="93"/>
  <c r="J26" i="93"/>
  <c r="J38" i="93"/>
  <c r="J45" i="93"/>
  <c r="F63" i="79"/>
  <c r="Z22" i="84"/>
  <c r="Z57" i="84"/>
  <c r="N108" i="84"/>
  <c r="D18" i="85"/>
  <c r="F56" i="87"/>
  <c r="J93" i="91"/>
  <c r="J79" i="91"/>
  <c r="J71" i="91"/>
  <c r="J61" i="91"/>
  <c r="J51" i="91"/>
  <c r="J29" i="91"/>
  <c r="H16" i="91"/>
  <c r="J66" i="91"/>
  <c r="J62" i="91"/>
  <c r="J52" i="91"/>
  <c r="J42" i="91"/>
  <c r="J34" i="91"/>
  <c r="J30" i="91"/>
  <c r="J87" i="91"/>
  <c r="J85" i="91"/>
  <c r="J67" i="91"/>
  <c r="J53" i="91"/>
  <c r="J25" i="91"/>
  <c r="J21" i="91"/>
  <c r="J96" i="91"/>
  <c r="J86" i="91"/>
  <c r="J80" i="91"/>
  <c r="J72" i="91"/>
  <c r="J68" i="91"/>
  <c r="J54" i="91"/>
  <c r="J89" i="91"/>
  <c r="J63" i="91"/>
  <c r="J55" i="91"/>
  <c r="J43" i="91"/>
  <c r="J73" i="91"/>
  <c r="J69" i="91"/>
  <c r="J57" i="91"/>
  <c r="J45" i="91"/>
  <c r="J37" i="91"/>
  <c r="J81" i="91"/>
  <c r="J74" i="91"/>
  <c r="J64" i="91"/>
  <c r="J58" i="91"/>
  <c r="J46" i="91"/>
  <c r="J38" i="91"/>
  <c r="J32" i="91"/>
  <c r="N12" i="91"/>
  <c r="J82" i="91"/>
  <c r="J75" i="91"/>
  <c r="J59" i="91"/>
  <c r="J47" i="91"/>
  <c r="J39" i="91"/>
  <c r="J27" i="91"/>
  <c r="J23" i="91"/>
  <c r="J91" i="91"/>
  <c r="J76" i="91"/>
  <c r="J70" i="91"/>
  <c r="J20" i="91"/>
  <c r="J22" i="91"/>
  <c r="J24" i="91"/>
  <c r="J26" i="91"/>
  <c r="J31" i="91"/>
  <c r="J33" i="91"/>
  <c r="J83" i="91"/>
  <c r="T12" i="92"/>
  <c r="Z14" i="92"/>
  <c r="X14" i="92"/>
  <c r="D66" i="93"/>
  <c r="J16" i="91"/>
  <c r="V18" i="91"/>
  <c r="J28" i="91"/>
  <c r="J35" i="91"/>
  <c r="V36" i="91"/>
  <c r="Z48" i="91"/>
  <c r="Z67" i="91"/>
  <c r="N48" i="92"/>
  <c r="N13" i="88"/>
  <c r="X14" i="88"/>
  <c r="Z14" i="88" s="1"/>
  <c r="Z56" i="88"/>
  <c r="V85" i="91"/>
  <c r="V83" i="91"/>
  <c r="V80" i="91"/>
  <c r="V89" i="91"/>
  <c r="V63" i="91"/>
  <c r="V55" i="91"/>
  <c r="V43" i="91"/>
  <c r="V35" i="91"/>
  <c r="V31" i="91"/>
  <c r="V74" i="91"/>
  <c r="V58" i="91"/>
  <c r="V46" i="91"/>
  <c r="V38" i="91"/>
  <c r="V26" i="91"/>
  <c r="V22" i="91"/>
  <c r="V82" i="91"/>
  <c r="V73" i="91"/>
  <c r="V69" i="91"/>
  <c r="V57" i="91"/>
  <c r="V45" i="91"/>
  <c r="V37" i="91"/>
  <c r="V81" i="91"/>
  <c r="V76" i="91"/>
  <c r="V64" i="91"/>
  <c r="V48" i="91"/>
  <c r="V40" i="91"/>
  <c r="V32" i="91"/>
  <c r="Z12" i="91"/>
  <c r="V75" i="91"/>
  <c r="V59" i="91"/>
  <c r="V47" i="91"/>
  <c r="V39" i="91"/>
  <c r="V77" i="91"/>
  <c r="V65" i="91"/>
  <c r="V61" i="91"/>
  <c r="V49" i="91"/>
  <c r="V41" i="91"/>
  <c r="V33" i="91"/>
  <c r="V29" i="91"/>
  <c r="T16" i="91"/>
  <c r="V93" i="91"/>
  <c r="V60" i="91"/>
  <c r="V52" i="91"/>
  <c r="V28" i="91"/>
  <c r="V24" i="91"/>
  <c r="V20" i="91"/>
  <c r="V79" i="91"/>
  <c r="V71" i="91"/>
  <c r="V67" i="91"/>
  <c r="V51" i="91"/>
  <c r="V87" i="91"/>
  <c r="V86" i="91"/>
  <c r="V66" i="91"/>
  <c r="V62" i="91"/>
  <c r="V54" i="91"/>
  <c r="N40" i="91"/>
  <c r="J77" i="91"/>
  <c r="L16" i="92"/>
  <c r="N16" i="92" s="1"/>
  <c r="J72" i="94"/>
  <c r="J64" i="94"/>
  <c r="J60" i="94"/>
  <c r="J50" i="94"/>
  <c r="J38" i="94"/>
  <c r="J32" i="94"/>
  <c r="J51" i="94"/>
  <c r="J39" i="94"/>
  <c r="J76" i="94"/>
  <c r="J40" i="94"/>
  <c r="J65" i="94"/>
  <c r="J61" i="94"/>
  <c r="J41" i="94"/>
  <c r="J33" i="94"/>
  <c r="J23" i="94"/>
  <c r="J52" i="94"/>
  <c r="J42" i="94"/>
  <c r="J28" i="94"/>
  <c r="J24" i="94"/>
  <c r="J22" i="94"/>
  <c r="J53" i="94"/>
  <c r="J43" i="94"/>
  <c r="J66" i="94"/>
  <c r="J62" i="94"/>
  <c r="J54" i="94"/>
  <c r="J44" i="94"/>
  <c r="J34" i="94"/>
  <c r="J67" i="94"/>
  <c r="J55" i="94"/>
  <c r="J45" i="94"/>
  <c r="J29" i="94"/>
  <c r="J25" i="94"/>
  <c r="J68" i="94"/>
  <c r="J56" i="94"/>
  <c r="J46" i="94"/>
  <c r="J59" i="94"/>
  <c r="J49" i="94"/>
  <c r="J37" i="94"/>
  <c r="J31" i="94"/>
  <c r="J57" i="94"/>
  <c r="J48" i="94"/>
  <c r="J35" i="94"/>
  <c r="J63" i="94"/>
  <c r="J18" i="94"/>
  <c r="J58" i="94"/>
  <c r="J47" i="94"/>
  <c r="J26" i="94"/>
  <c r="J69" i="94"/>
  <c r="J30" i="94"/>
  <c r="J27" i="94"/>
  <c r="J16" i="94"/>
  <c r="J36" i="94"/>
  <c r="H20" i="94"/>
  <c r="J20" i="94" s="1"/>
  <c r="J17" i="94"/>
  <c r="X12" i="91"/>
  <c r="J40" i="91"/>
  <c r="V50" i="91"/>
  <c r="V70" i="91"/>
  <c r="Z48" i="92"/>
  <c r="J70" i="94"/>
  <c r="X25" i="84"/>
  <c r="Z25" i="84" s="1"/>
  <c r="X29" i="84"/>
  <c r="Z29" i="84" s="1"/>
  <c r="X33" i="84"/>
  <c r="Z33" i="84" s="1"/>
  <c r="X48" i="88"/>
  <c r="Z48" i="88" s="1"/>
  <c r="L54" i="88"/>
  <c r="N54" i="88" s="1"/>
  <c r="V16" i="91"/>
  <c r="V42" i="91"/>
  <c r="J44" i="91"/>
  <c r="J49" i="91"/>
  <c r="N54" i="91"/>
  <c r="V68" i="91"/>
  <c r="D74" i="94"/>
  <c r="N19" i="91"/>
  <c r="J56" i="91"/>
  <c r="J60" i="91"/>
  <c r="X87" i="91"/>
  <c r="R51" i="92"/>
  <c r="R65" i="92"/>
  <c r="R64" i="92"/>
  <c r="R53" i="92"/>
  <c r="R52" i="92"/>
  <c r="R59" i="92"/>
  <c r="R44" i="92"/>
  <c r="R43" i="92"/>
  <c r="R35" i="92"/>
  <c r="R16" i="92"/>
  <c r="R66" i="92"/>
  <c r="R54" i="92"/>
  <c r="R31" i="92"/>
  <c r="R30" i="92"/>
  <c r="R26" i="92"/>
  <c r="R70" i="92"/>
  <c r="R68" i="92"/>
  <c r="R46" i="92"/>
  <c r="R45" i="92"/>
  <c r="R28" i="92"/>
  <c r="R24" i="92"/>
  <c r="R61" i="92"/>
  <c r="R49" i="92"/>
  <c r="R41" i="92"/>
  <c r="R38" i="92"/>
  <c r="R32" i="92"/>
  <c r="R29" i="92"/>
  <c r="R22" i="92"/>
  <c r="R50" i="92"/>
  <c r="R27" i="92"/>
  <c r="R47" i="92"/>
  <c r="R17" i="92"/>
  <c r="R72" i="92"/>
  <c r="R57" i="92"/>
  <c r="R42" i="92"/>
  <c r="R39" i="92"/>
  <c r="R25" i="92"/>
  <c r="R77" i="92"/>
  <c r="R62" i="92"/>
  <c r="R48" i="92"/>
  <c r="R23" i="92"/>
  <c r="R60" i="92"/>
  <c r="R55" i="92"/>
  <c r="R40" i="92"/>
  <c r="R36" i="92"/>
  <c r="R19" i="92"/>
  <c r="P19" i="92"/>
  <c r="R63" i="92"/>
  <c r="R58" i="92"/>
  <c r="R21" i="92"/>
  <c r="R34" i="92"/>
  <c r="X43" i="93"/>
  <c r="Z43" i="93" s="1"/>
  <c r="L12" i="94"/>
  <c r="N12" i="94" s="1"/>
  <c r="J14" i="91"/>
  <c r="J19" i="91"/>
  <c r="Z87" i="91"/>
  <c r="T85" i="91"/>
  <c r="Z21" i="92"/>
  <c r="Z38" i="92"/>
  <c r="X38" i="92"/>
  <c r="Z32" i="93"/>
  <c r="X32" i="93"/>
  <c r="X20" i="84"/>
  <c r="Z20" i="84" s="1"/>
  <c r="L13" i="85"/>
  <c r="L13" i="87"/>
  <c r="N13" i="87" s="1"/>
  <c r="L19" i="91"/>
  <c r="V30" i="91"/>
  <c r="L48" i="91"/>
  <c r="Z54" i="91"/>
  <c r="N82" i="91"/>
  <c r="L86" i="91"/>
  <c r="D85" i="91"/>
  <c r="L85" i="91" s="1"/>
  <c r="V96" i="91"/>
  <c r="V32" i="93"/>
  <c r="X64" i="93"/>
  <c r="Z64" i="93" s="1"/>
  <c r="P63" i="93"/>
  <c r="X63" i="93" s="1"/>
  <c r="Z63" i="93" s="1"/>
  <c r="N13" i="85"/>
  <c r="X38" i="88"/>
  <c r="Z38" i="88" s="1"/>
  <c r="L44" i="88"/>
  <c r="L67" i="88"/>
  <c r="J18" i="91"/>
  <c r="X19" i="91"/>
  <c r="Z19" i="91" s="1"/>
  <c r="V23" i="91"/>
  <c r="V34" i="91"/>
  <c r="N36" i="91"/>
  <c r="V44" i="91"/>
  <c r="N85" i="91"/>
  <c r="N56" i="88"/>
  <c r="V21" i="91"/>
  <c r="V25" i="91"/>
  <c r="V27" i="91"/>
  <c r="J36" i="91"/>
  <c r="J41" i="91"/>
  <c r="N48" i="91"/>
  <c r="V56" i="91"/>
  <c r="J78" i="91"/>
  <c r="L14" i="93"/>
  <c r="N14" i="93" s="1"/>
  <c r="R71" i="91"/>
  <c r="R79" i="91"/>
  <c r="R93" i="91"/>
  <c r="N53" i="92"/>
  <c r="Z56" i="92"/>
  <c r="V56" i="93"/>
  <c r="V40" i="93"/>
  <c r="V28" i="93"/>
  <c r="V24" i="93"/>
  <c r="V57" i="93"/>
  <c r="V45" i="93"/>
  <c r="V29" i="93"/>
  <c r="V25" i="93"/>
  <c r="V52" i="93"/>
  <c r="V44" i="93"/>
  <c r="V16" i="93"/>
  <c r="V47" i="93"/>
  <c r="V35" i="93"/>
  <c r="V58" i="93"/>
  <c r="V54" i="93"/>
  <c r="V46" i="93"/>
  <c r="V30" i="93"/>
  <c r="V26" i="93"/>
  <c r="V53" i="93"/>
  <c r="V63" i="93"/>
  <c r="V61" i="93"/>
  <c r="V49" i="93"/>
  <c r="V41" i="93"/>
  <c r="V33" i="93"/>
  <c r="T20" i="93"/>
  <c r="V31" i="93"/>
  <c r="V38" i="93"/>
  <c r="V43" i="93"/>
  <c r="F51" i="93"/>
  <c r="Z54" i="93"/>
  <c r="N63" i="93"/>
  <c r="V64" i="93"/>
  <c r="P16" i="91"/>
  <c r="R20" i="91"/>
  <c r="R24" i="91"/>
  <c r="R28" i="91"/>
  <c r="R29" i="91"/>
  <c r="R60" i="91"/>
  <c r="R61" i="91"/>
  <c r="F30" i="92"/>
  <c r="F33" i="92"/>
  <c r="L42" i="92"/>
  <c r="F45" i="92"/>
  <c r="F35" i="93"/>
  <c r="N51" i="93"/>
  <c r="Z23" i="94"/>
  <c r="R14" i="91"/>
  <c r="R16" i="91"/>
  <c r="R18" i="91"/>
  <c r="R33" i="91"/>
  <c r="R41" i="91"/>
  <c r="R49" i="91"/>
  <c r="R50" i="91"/>
  <c r="R65" i="91"/>
  <c r="R77" i="91"/>
  <c r="R78" i="91"/>
  <c r="F42" i="92"/>
  <c r="X48" i="92"/>
  <c r="F57" i="92"/>
  <c r="V20" i="93"/>
  <c r="F44" i="93"/>
  <c r="F55" i="93"/>
  <c r="R89" i="91"/>
  <c r="R87" i="91"/>
  <c r="R19" i="91"/>
  <c r="R70" i="91"/>
  <c r="R91" i="91"/>
  <c r="F70" i="92"/>
  <c r="F68" i="92"/>
  <c r="F55" i="92"/>
  <c r="F47" i="92"/>
  <c r="F46" i="92"/>
  <c r="F28" i="92"/>
  <c r="F24" i="92"/>
  <c r="F77" i="92"/>
  <c r="F74" i="92"/>
  <c r="F51" i="92"/>
  <c r="F50" i="92"/>
  <c r="F39" i="92"/>
  <c r="F38" i="92"/>
  <c r="F62" i="92"/>
  <c r="F58" i="92"/>
  <c r="F34" i="92"/>
  <c r="F41" i="92"/>
  <c r="F60" i="92"/>
  <c r="F36" i="92"/>
  <c r="F32" i="92"/>
  <c r="F31" i="92"/>
  <c r="L12" i="92"/>
  <c r="N12" i="92" s="1"/>
  <c r="F16" i="92"/>
  <c r="N42" i="92"/>
  <c r="X53" i="92"/>
  <c r="Z53" i="92" s="1"/>
  <c r="X65" i="92"/>
  <c r="Z65" i="92" s="1"/>
  <c r="V17" i="93"/>
  <c r="L37" i="93"/>
  <c r="N37" i="93" s="1"/>
  <c r="X51" i="93"/>
  <c r="Z51" i="93"/>
  <c r="F53" i="93"/>
  <c r="F17" i="93"/>
  <c r="F16" i="93"/>
  <c r="F38" i="93"/>
  <c r="F37" i="93"/>
  <c r="F18" i="93"/>
  <c r="F61" i="93"/>
  <c r="F60" i="93"/>
  <c r="F49" i="93"/>
  <c r="F33" i="93"/>
  <c r="F32" i="93"/>
  <c r="F56" i="93"/>
  <c r="F40" i="93"/>
  <c r="F39" i="93"/>
  <c r="F28" i="93"/>
  <c r="F24" i="93"/>
  <c r="F23" i="93"/>
  <c r="F66" i="93"/>
  <c r="F64" i="93"/>
  <c r="F22" i="93"/>
  <c r="F20" i="93"/>
  <c r="F68" i="93"/>
  <c r="F63" i="93"/>
  <c r="F50" i="93"/>
  <c r="F42" i="93"/>
  <c r="F41" i="93"/>
  <c r="F58" i="93"/>
  <c r="F46" i="93"/>
  <c r="F45" i="93"/>
  <c r="F30" i="93"/>
  <c r="F26" i="93"/>
  <c r="F57" i="93"/>
  <c r="Z60" i="93"/>
  <c r="X60" i="93"/>
  <c r="F73" i="93"/>
  <c r="F49" i="94"/>
  <c r="F48" i="94"/>
  <c r="F37" i="94"/>
  <c r="F36" i="94"/>
  <c r="F64" i="94"/>
  <c r="F60" i="94"/>
  <c r="F59" i="94"/>
  <c r="F74" i="94"/>
  <c r="F72" i="94"/>
  <c r="F51" i="94"/>
  <c r="F50" i="94"/>
  <c r="F39" i="94"/>
  <c r="F38" i="94"/>
  <c r="F27" i="94"/>
  <c r="F76" i="94"/>
  <c r="F18" i="94"/>
  <c r="F65" i="94"/>
  <c r="F61" i="94"/>
  <c r="F41" i="94"/>
  <c r="F40" i="94"/>
  <c r="F33" i="94"/>
  <c r="F52" i="94"/>
  <c r="F28" i="94"/>
  <c r="F24" i="94"/>
  <c r="F23" i="94"/>
  <c r="F81" i="94"/>
  <c r="F78" i="94"/>
  <c r="F43" i="94"/>
  <c r="F42" i="94"/>
  <c r="F22" i="94"/>
  <c r="F20" i="94"/>
  <c r="F66" i="94"/>
  <c r="F62" i="94"/>
  <c r="F54" i="94"/>
  <c r="F53" i="94"/>
  <c r="F34" i="94"/>
  <c r="F45" i="94"/>
  <c r="F44" i="94"/>
  <c r="F29" i="94"/>
  <c r="F70" i="94"/>
  <c r="F69" i="94"/>
  <c r="F58" i="94"/>
  <c r="F57" i="94"/>
  <c r="F30" i="94"/>
  <c r="F26" i="94"/>
  <c r="F55" i="94"/>
  <c r="F25" i="94"/>
  <c r="F31" i="94"/>
  <c r="F68" i="94"/>
  <c r="F35" i="94"/>
  <c r="F63" i="94"/>
  <c r="F56" i="94"/>
  <c r="F47" i="94"/>
  <c r="F16" i="94"/>
  <c r="F46" i="94"/>
  <c r="N69" i="94"/>
  <c r="L69" i="94"/>
  <c r="T80" i="97"/>
  <c r="V80" i="97" s="1"/>
  <c r="R64" i="91"/>
  <c r="R81" i="91"/>
  <c r="R82" i="91"/>
  <c r="N44" i="92"/>
  <c r="F61" i="92"/>
  <c r="F64" i="92"/>
  <c r="V60" i="93"/>
  <c r="L13" i="94"/>
  <c r="N13" i="94" s="1"/>
  <c r="F67" i="94"/>
  <c r="F74" i="95"/>
  <c r="F70" i="95"/>
  <c r="F69" i="95"/>
  <c r="F58" i="95"/>
  <c r="F57" i="95"/>
  <c r="F46" i="95"/>
  <c r="F81" i="95"/>
  <c r="F80" i="95"/>
  <c r="F85" i="95"/>
  <c r="F76" i="95"/>
  <c r="F72" i="95"/>
  <c r="F60" i="95"/>
  <c r="F52" i="95"/>
  <c r="F51" i="95"/>
  <c r="F77" i="95"/>
  <c r="F68" i="95"/>
  <c r="F65" i="95"/>
  <c r="F62" i="95"/>
  <c r="F53" i="95"/>
  <c r="F48" i="95"/>
  <c r="F26" i="95"/>
  <c r="F44" i="95"/>
  <c r="F38" i="95"/>
  <c r="F30" i="95"/>
  <c r="F17" i="95"/>
  <c r="F16" i="95"/>
  <c r="F75" i="95"/>
  <c r="F54" i="95"/>
  <c r="F49" i="95"/>
  <c r="F35" i="95"/>
  <c r="L12" i="95"/>
  <c r="N12" i="95" s="1"/>
  <c r="F82" i="95"/>
  <c r="F78" i="95"/>
  <c r="F59" i="95"/>
  <c r="F45" i="95"/>
  <c r="F39" i="95"/>
  <c r="F27" i="95"/>
  <c r="F79" i="95"/>
  <c r="F63" i="95"/>
  <c r="F55" i="95"/>
  <c r="F50" i="95"/>
  <c r="F31" i="95"/>
  <c r="F18" i="95"/>
  <c r="F73" i="95"/>
  <c r="F66" i="95"/>
  <c r="F89" i="95"/>
  <c r="F83" i="95"/>
  <c r="F56" i="95"/>
  <c r="F41" i="95"/>
  <c r="F40" i="95"/>
  <c r="F36" i="95"/>
  <c r="F33" i="95"/>
  <c r="F32" i="95"/>
  <c r="F28" i="95"/>
  <c r="F24" i="95"/>
  <c r="F23" i="95"/>
  <c r="F22" i="95"/>
  <c r="F61" i="95"/>
  <c r="F47" i="95"/>
  <c r="F34" i="95"/>
  <c r="D20" i="95"/>
  <c r="F25" i="95"/>
  <c r="F42" i="95"/>
  <c r="F67" i="95"/>
  <c r="F37" i="95"/>
  <c r="F29" i="95"/>
  <c r="F64" i="95"/>
  <c r="F43" i="95"/>
  <c r="R37" i="91"/>
  <c r="R38" i="91"/>
  <c r="R45" i="91"/>
  <c r="R46" i="91"/>
  <c r="R57" i="91"/>
  <c r="R58" i="91"/>
  <c r="R69" i="91"/>
  <c r="R73" i="91"/>
  <c r="R74" i="91"/>
  <c r="Z82" i="91"/>
  <c r="F29" i="92"/>
  <c r="F37" i="92"/>
  <c r="F49" i="92"/>
  <c r="F54" i="92"/>
  <c r="L56" i="92"/>
  <c r="N56" i="92" s="1"/>
  <c r="F66" i="92"/>
  <c r="X13" i="93"/>
  <c r="Z13" i="93" s="1"/>
  <c r="P12" i="93"/>
  <c r="F25" i="93"/>
  <c r="F27" i="93"/>
  <c r="F48" i="93"/>
  <c r="F52" i="93"/>
  <c r="R22" i="94"/>
  <c r="R22" i="91"/>
  <c r="R26" i="91"/>
  <c r="L44" i="92"/>
  <c r="F56" i="92"/>
  <c r="F34" i="93"/>
  <c r="F36" i="93"/>
  <c r="Z37" i="93"/>
  <c r="L43" i="93"/>
  <c r="F54" i="93"/>
  <c r="V55" i="93"/>
  <c r="V59" i="93"/>
  <c r="T12" i="94"/>
  <c r="L16" i="94"/>
  <c r="N16" i="94" s="1"/>
  <c r="F32" i="94"/>
  <c r="R31" i="91"/>
  <c r="R35" i="91"/>
  <c r="R36" i="91"/>
  <c r="R43" i="91"/>
  <c r="R44" i="91"/>
  <c r="R55" i="91"/>
  <c r="R56" i="91"/>
  <c r="R63" i="91"/>
  <c r="N86" i="91"/>
  <c r="L14" i="92"/>
  <c r="D19" i="92"/>
  <c r="Z50" i="92"/>
  <c r="V18" i="93"/>
  <c r="V23" i="93"/>
  <c r="F29" i="93"/>
  <c r="F31" i="93"/>
  <c r="V37" i="93"/>
  <c r="N41" i="93"/>
  <c r="F43" i="93"/>
  <c r="V50" i="93"/>
  <c r="X13" i="94"/>
  <c r="Z13" i="94" s="1"/>
  <c r="R68" i="91"/>
  <c r="R72" i="91"/>
  <c r="R80" i="91"/>
  <c r="R96" i="91"/>
  <c r="N14" i="92"/>
  <c r="F19" i="92"/>
  <c r="X21" i="92"/>
  <c r="F26" i="92"/>
  <c r="F43" i="92"/>
  <c r="F63" i="92"/>
  <c r="Z39" i="93"/>
  <c r="N43" i="93"/>
  <c r="V68" i="93"/>
  <c r="N55" i="94"/>
  <c r="Z16" i="95"/>
  <c r="T91" i="95"/>
  <c r="R38" i="95"/>
  <c r="N61" i="95"/>
  <c r="N22" i="95"/>
  <c r="L57" i="95"/>
  <c r="N57" i="95" s="1"/>
  <c r="J71" i="95"/>
  <c r="R65" i="94"/>
  <c r="R61" i="94"/>
  <c r="R42" i="94"/>
  <c r="R41" i="94"/>
  <c r="R33" i="94"/>
  <c r="R53" i="94"/>
  <c r="R52" i="94"/>
  <c r="R44" i="94"/>
  <c r="R43" i="94"/>
  <c r="R67" i="94"/>
  <c r="R66" i="94"/>
  <c r="R62" i="94"/>
  <c r="R55" i="94"/>
  <c r="R54" i="94"/>
  <c r="R34" i="94"/>
  <c r="R46" i="94"/>
  <c r="R45" i="94"/>
  <c r="R29" i="94"/>
  <c r="R25" i="94"/>
  <c r="R69" i="94"/>
  <c r="R68" i="94"/>
  <c r="R57" i="94"/>
  <c r="R56" i="94"/>
  <c r="R63" i="94"/>
  <c r="R48" i="94"/>
  <c r="R47" i="94"/>
  <c r="R36" i="94"/>
  <c r="R35" i="94"/>
  <c r="R16" i="94"/>
  <c r="R70" i="94"/>
  <c r="R59" i="94"/>
  <c r="R58" i="94"/>
  <c r="R31" i="94"/>
  <c r="R30" i="94"/>
  <c r="R26" i="94"/>
  <c r="R72" i="94"/>
  <c r="R50" i="94"/>
  <c r="R49" i="94"/>
  <c r="R38" i="94"/>
  <c r="R37" i="94"/>
  <c r="R76" i="94"/>
  <c r="R23" i="94"/>
  <c r="P20" i="94"/>
  <c r="Z38" i="94"/>
  <c r="R40" i="94"/>
  <c r="J57" i="95"/>
  <c r="R28" i="94"/>
  <c r="X40" i="94"/>
  <c r="Z40" i="94" s="1"/>
  <c r="L14" i="95"/>
  <c r="N14" i="95" s="1"/>
  <c r="J29" i="95"/>
  <c r="R74" i="97"/>
  <c r="R73" i="97"/>
  <c r="R80" i="97"/>
  <c r="R78" i="97"/>
  <c r="R75" i="97"/>
  <c r="R48" i="97"/>
  <c r="R47" i="97"/>
  <c r="R77" i="97"/>
  <c r="R63" i="97"/>
  <c r="R62" i="97"/>
  <c r="R82" i="97"/>
  <c r="R65" i="97"/>
  <c r="R64" i="97"/>
  <c r="R41" i="97"/>
  <c r="R40" i="97"/>
  <c r="R70" i="97"/>
  <c r="R66" i="97"/>
  <c r="R59" i="97"/>
  <c r="R58" i="97"/>
  <c r="R43" i="97"/>
  <c r="R42" i="97"/>
  <c r="R68" i="97"/>
  <c r="R71" i="97"/>
  <c r="R56" i="97"/>
  <c r="R53" i="97"/>
  <c r="R45" i="97"/>
  <c r="R44" i="97"/>
  <c r="R39" i="97"/>
  <c r="R32" i="97"/>
  <c r="R31" i="97"/>
  <c r="R27" i="97"/>
  <c r="R60" i="97"/>
  <c r="R22" i="97"/>
  <c r="R20" i="97"/>
  <c r="R87" i="97"/>
  <c r="R72" i="97"/>
  <c r="R69" i="97"/>
  <c r="R49" i="97"/>
  <c r="R36" i="97"/>
  <c r="R33" i="97"/>
  <c r="R28" i="97"/>
  <c r="R24" i="97"/>
  <c r="P20" i="97"/>
  <c r="R57" i="97"/>
  <c r="R50" i="97"/>
  <c r="R67" i="97"/>
  <c r="R61" i="97"/>
  <c r="R46" i="97"/>
  <c r="R54" i="97"/>
  <c r="R37" i="97"/>
  <c r="R29" i="97"/>
  <c r="R25" i="97"/>
  <c r="R55" i="97"/>
  <c r="R51" i="97"/>
  <c r="R16" i="97"/>
  <c r="R38" i="97"/>
  <c r="X12" i="97"/>
  <c r="Z12" i="97" s="1"/>
  <c r="R84" i="97"/>
  <c r="R18" i="97"/>
  <c r="R23" i="97"/>
  <c r="R35" i="97"/>
  <c r="R26" i="97"/>
  <c r="R52" i="97"/>
  <c r="J45" i="98"/>
  <c r="J34" i="98"/>
  <c r="J28" i="98"/>
  <c r="J24" i="98"/>
  <c r="J35" i="98"/>
  <c r="J29" i="98"/>
  <c r="J36" i="98"/>
  <c r="J30" i="98"/>
  <c r="J37" i="98"/>
  <c r="J25" i="98"/>
  <c r="J39" i="98"/>
  <c r="J31" i="98"/>
  <c r="J21" i="98"/>
  <c r="J41" i="98"/>
  <c r="H18" i="98"/>
  <c r="J23" i="98"/>
  <c r="J16" i="98"/>
  <c r="J38" i="98"/>
  <c r="J32" i="98"/>
  <c r="J26" i="98"/>
  <c r="J18" i="98"/>
  <c r="J22" i="98"/>
  <c r="J33" i="98"/>
  <c r="N12" i="98"/>
  <c r="J27" i="98"/>
  <c r="J20" i="98"/>
  <c r="X12" i="94"/>
  <c r="N14" i="94"/>
  <c r="R32" i="94"/>
  <c r="R60" i="94"/>
  <c r="N51" i="95"/>
  <c r="R34" i="97"/>
  <c r="L12" i="98"/>
  <c r="L13" i="93"/>
  <c r="N13" i="93" s="1"/>
  <c r="R24" i="94"/>
  <c r="R39" i="94"/>
  <c r="Z14" i="95"/>
  <c r="X14" i="94"/>
  <c r="Z14" i="94" s="1"/>
  <c r="Z44" i="95"/>
  <c r="N47" i="95"/>
  <c r="X69" i="95"/>
  <c r="Z69" i="95" s="1"/>
  <c r="L46" i="94"/>
  <c r="N46" i="94" s="1"/>
  <c r="L57" i="94"/>
  <c r="N57" i="94" s="1"/>
  <c r="J81" i="95"/>
  <c r="J47" i="95"/>
  <c r="J37" i="95"/>
  <c r="J33" i="95"/>
  <c r="J82" i="95"/>
  <c r="J64" i="95"/>
  <c r="J85" i="95"/>
  <c r="J89" i="95"/>
  <c r="J61" i="95"/>
  <c r="J53" i="95"/>
  <c r="J43" i="95"/>
  <c r="J65" i="95"/>
  <c r="J62" i="95"/>
  <c r="J58" i="95"/>
  <c r="J48" i="95"/>
  <c r="J44" i="95"/>
  <c r="J38" i="95"/>
  <c r="J26" i="95"/>
  <c r="J16" i="95"/>
  <c r="J72" i="95"/>
  <c r="J49" i="95"/>
  <c r="J30" i="95"/>
  <c r="J17" i="95"/>
  <c r="J78" i="95"/>
  <c r="J75" i="95"/>
  <c r="J69" i="95"/>
  <c r="J54" i="95"/>
  <c r="J35" i="95"/>
  <c r="J59" i="95"/>
  <c r="J55" i="95"/>
  <c r="J45" i="95"/>
  <c r="J39" i="95"/>
  <c r="J27" i="95"/>
  <c r="J79" i="95"/>
  <c r="J63" i="95"/>
  <c r="J50" i="95"/>
  <c r="J31" i="95"/>
  <c r="J18" i="95"/>
  <c r="J73" i="95"/>
  <c r="J66" i="95"/>
  <c r="J40" i="95"/>
  <c r="J32" i="95"/>
  <c r="J23" i="95"/>
  <c r="J83" i="95"/>
  <c r="J70" i="95"/>
  <c r="J56" i="95"/>
  <c r="J41" i="95"/>
  <c r="J36" i="95"/>
  <c r="J28" i="95"/>
  <c r="J24" i="95"/>
  <c r="J22" i="95"/>
  <c r="J76" i="95"/>
  <c r="J67" i="95"/>
  <c r="J51" i="95"/>
  <c r="H20" i="95"/>
  <c r="J80" i="95"/>
  <c r="J60" i="95"/>
  <c r="J46" i="95"/>
  <c r="J42" i="95"/>
  <c r="J77" i="95"/>
  <c r="J74" i="95"/>
  <c r="J68" i="95"/>
  <c r="R27" i="94"/>
  <c r="N44" i="94"/>
  <c r="Z50" i="94"/>
  <c r="Z47" i="95"/>
  <c r="Z49" i="95"/>
  <c r="J52" i="95"/>
  <c r="H12" i="97"/>
  <c r="L13" i="97"/>
  <c r="N13" i="97"/>
  <c r="R30" i="97"/>
  <c r="Z32" i="97"/>
  <c r="V32" i="97"/>
  <c r="Z55" i="94"/>
  <c r="Z67" i="94"/>
  <c r="X12" i="95"/>
  <c r="Z12" i="95" s="1"/>
  <c r="V23" i="95"/>
  <c r="V27" i="95"/>
  <c r="V32" i="95"/>
  <c r="R35" i="95"/>
  <c r="V40" i="95"/>
  <c r="R54" i="95"/>
  <c r="Z55" i="95"/>
  <c r="V75" i="95"/>
  <c r="F26" i="97"/>
  <c r="F28" i="97"/>
  <c r="N32" i="97"/>
  <c r="F50" i="97"/>
  <c r="R16" i="95"/>
  <c r="V26" i="95"/>
  <c r="V48" i="95"/>
  <c r="V49" i="95"/>
  <c r="R53" i="95"/>
  <c r="V58" i="95"/>
  <c r="V62" i="95"/>
  <c r="N67" i="95"/>
  <c r="V68" i="95"/>
  <c r="R74" i="95"/>
  <c r="V78" i="95"/>
  <c r="V81" i="95"/>
  <c r="V34" i="95"/>
  <c r="R37" i="95"/>
  <c r="V38" i="95"/>
  <c r="R43" i="95"/>
  <c r="V44" i="95"/>
  <c r="R52" i="95"/>
  <c r="V74" i="95"/>
  <c r="V91" i="95"/>
  <c r="L16" i="97"/>
  <c r="N16" i="97" s="1"/>
  <c r="F82" i="97"/>
  <c r="J70" i="101"/>
  <c r="J72" i="101"/>
  <c r="J75" i="101"/>
  <c r="J61" i="101"/>
  <c r="J67" i="101"/>
  <c r="J63" i="101"/>
  <c r="J74" i="101"/>
  <c r="J60" i="101"/>
  <c r="J54" i="101"/>
  <c r="J44" i="101"/>
  <c r="J30" i="101"/>
  <c r="J26" i="101"/>
  <c r="J16" i="101"/>
  <c r="J45" i="101"/>
  <c r="J17" i="101"/>
  <c r="J46" i="101"/>
  <c r="J36" i="101"/>
  <c r="J71" i="101"/>
  <c r="J62" i="101"/>
  <c r="J55" i="101"/>
  <c r="J47" i="101"/>
  <c r="J31" i="101"/>
  <c r="J27" i="101"/>
  <c r="J65" i="101"/>
  <c r="J56" i="101"/>
  <c r="J48" i="101"/>
  <c r="J32" i="101"/>
  <c r="J18" i="101"/>
  <c r="J68" i="101"/>
  <c r="J57" i="101"/>
  <c r="J49" i="101"/>
  <c r="J37" i="101"/>
  <c r="J33" i="101"/>
  <c r="J23" i="101"/>
  <c r="J79" i="101"/>
  <c r="J58" i="101"/>
  <c r="J50" i="101"/>
  <c r="J38" i="101"/>
  <c r="J28" i="101"/>
  <c r="J24" i="101"/>
  <c r="J22" i="101"/>
  <c r="J20" i="101"/>
  <c r="J51" i="101"/>
  <c r="J39" i="101"/>
  <c r="H20" i="101"/>
  <c r="J69" i="101"/>
  <c r="J66" i="101"/>
  <c r="J59" i="101"/>
  <c r="J52" i="101"/>
  <c r="J40" i="101"/>
  <c r="J34" i="101"/>
  <c r="J35" i="101"/>
  <c r="J29" i="101"/>
  <c r="J53" i="101"/>
  <c r="J43" i="101"/>
  <c r="J41" i="101"/>
  <c r="J64" i="101"/>
  <c r="J42" i="101"/>
  <c r="J25" i="101"/>
  <c r="L13" i="95"/>
  <c r="V16" i="95"/>
  <c r="R25" i="95"/>
  <c r="R29" i="95"/>
  <c r="V37" i="95"/>
  <c r="V43" i="95"/>
  <c r="R47" i="95"/>
  <c r="V52" i="95"/>
  <c r="R61" i="95"/>
  <c r="R64" i="95"/>
  <c r="R71" i="95"/>
  <c r="V85" i="95"/>
  <c r="F41" i="97"/>
  <c r="N13" i="95"/>
  <c r="V25" i="95"/>
  <c r="R46" i="95"/>
  <c r="R60" i="95"/>
  <c r="V64" i="95"/>
  <c r="V71" i="95"/>
  <c r="X85" i="95"/>
  <c r="R89" i="95"/>
  <c r="N22" i="97"/>
  <c r="R33" i="95"/>
  <c r="L40" i="95"/>
  <c r="N40" i="95" s="1"/>
  <c r="R42" i="95"/>
  <c r="V46" i="95"/>
  <c r="N55" i="95"/>
  <c r="V57" i="95"/>
  <c r="V60" i="95"/>
  <c r="R67" i="95"/>
  <c r="R76" i="95"/>
  <c r="R80" i="95"/>
  <c r="R83" i="95"/>
  <c r="V89" i="95"/>
  <c r="F87" i="97"/>
  <c r="F84" i="97"/>
  <c r="F71" i="97"/>
  <c r="F67" i="97"/>
  <c r="F68" i="97"/>
  <c r="F56" i="97"/>
  <c r="F55" i="97"/>
  <c r="F62" i="97"/>
  <c r="F38" i="97"/>
  <c r="F34" i="97"/>
  <c r="F70" i="97"/>
  <c r="F58" i="97"/>
  <c r="F51" i="97"/>
  <c r="F78" i="97"/>
  <c r="F65" i="97"/>
  <c r="F47" i="97"/>
  <c r="F74" i="97"/>
  <c r="F59" i="97"/>
  <c r="F43" i="97"/>
  <c r="F35" i="97"/>
  <c r="F17" i="97"/>
  <c r="F16" i="97"/>
  <c r="F80" i="97"/>
  <c r="F75" i="97"/>
  <c r="F52" i="97"/>
  <c r="L12" i="97"/>
  <c r="F66" i="97"/>
  <c r="F53" i="97"/>
  <c r="F48" i="97"/>
  <c r="F44" i="97"/>
  <c r="F39" i="97"/>
  <c r="F31" i="97"/>
  <c r="F27" i="97"/>
  <c r="F63" i="97"/>
  <c r="F60" i="97"/>
  <c r="F69" i="97"/>
  <c r="F49" i="97"/>
  <c r="F45" i="97"/>
  <c r="F40" i="97"/>
  <c r="F32" i="97"/>
  <c r="F72" i="97"/>
  <c r="F57" i="97"/>
  <c r="F77" i="97"/>
  <c r="F64" i="97"/>
  <c r="F61" i="97"/>
  <c r="F46" i="97"/>
  <c r="F22" i="97"/>
  <c r="F20" i="97"/>
  <c r="Z16" i="97"/>
  <c r="Z39" i="97"/>
  <c r="P20" i="95"/>
  <c r="R24" i="95"/>
  <c r="R28" i="95"/>
  <c r="V33" i="95"/>
  <c r="R36" i="95"/>
  <c r="L38" i="95"/>
  <c r="N38" i="95" s="1"/>
  <c r="R41" i="95"/>
  <c r="L44" i="95"/>
  <c r="N44" i="95" s="1"/>
  <c r="V56" i="95"/>
  <c r="Z67" i="95"/>
  <c r="R70" i="95"/>
  <c r="R73" i="95"/>
  <c r="V83" i="95"/>
  <c r="V39" i="97"/>
  <c r="R20" i="95"/>
  <c r="R22" i="95"/>
  <c r="V36" i="95"/>
  <c r="V42" i="95"/>
  <c r="V51" i="95"/>
  <c r="V67" i="95"/>
  <c r="V70" i="95"/>
  <c r="V80" i="95"/>
  <c r="F54" i="97"/>
  <c r="X38" i="98"/>
  <c r="Z38" i="98" s="1"/>
  <c r="R85" i="95"/>
  <c r="R51" i="95"/>
  <c r="R50" i="95"/>
  <c r="R34" i="95"/>
  <c r="R65" i="95"/>
  <c r="R69" i="95"/>
  <c r="R68" i="95"/>
  <c r="R57" i="95"/>
  <c r="R56" i="95"/>
  <c r="R18" i="95"/>
  <c r="R23" i="95"/>
  <c r="R31" i="95"/>
  <c r="R32" i="95"/>
  <c r="R39" i="95"/>
  <c r="R40" i="95"/>
  <c r="R45" i="95"/>
  <c r="V50" i="95"/>
  <c r="R59" i="95"/>
  <c r="R63" i="95"/>
  <c r="R79" i="95"/>
  <c r="L14" i="97"/>
  <c r="N14" i="97" s="1"/>
  <c r="X22" i="97"/>
  <c r="Z22" i="97" s="1"/>
  <c r="V65" i="95"/>
  <c r="V61" i="95"/>
  <c r="V53" i="95"/>
  <c r="V41" i="95"/>
  <c r="V29" i="95"/>
  <c r="V76" i="95"/>
  <c r="V72" i="95"/>
  <c r="V77" i="95"/>
  <c r="V73" i="95"/>
  <c r="V69" i="95"/>
  <c r="V79" i="95"/>
  <c r="V63" i="95"/>
  <c r="V47" i="95"/>
  <c r="V18" i="95"/>
  <c r="V20" i="95"/>
  <c r="V22" i="95"/>
  <c r="R27" i="95"/>
  <c r="V31" i="95"/>
  <c r="V39" i="95"/>
  <c r="V45" i="95"/>
  <c r="L49" i="95"/>
  <c r="N49" i="95" s="1"/>
  <c r="R55" i="95"/>
  <c r="V59" i="95"/>
  <c r="R75" i="95"/>
  <c r="R82" i="95"/>
  <c r="D80" i="97"/>
  <c r="F42" i="97"/>
  <c r="X45" i="97"/>
  <c r="Z45" i="97" s="1"/>
  <c r="F73" i="97"/>
  <c r="V26" i="97"/>
  <c r="V30" i="97"/>
  <c r="N41" i="97"/>
  <c r="Z59" i="97"/>
  <c r="X65" i="97"/>
  <c r="Z65" i="97" s="1"/>
  <c r="L14" i="98"/>
  <c r="N14" i="98" s="1"/>
  <c r="V25" i="98"/>
  <c r="R27" i="98"/>
  <c r="F31" i="98"/>
  <c r="V37" i="98"/>
  <c r="Z55" i="97"/>
  <c r="V58" i="97"/>
  <c r="V70" i="97"/>
  <c r="V73" i="97"/>
  <c r="V74" i="97"/>
  <c r="V20" i="98"/>
  <c r="V18" i="98"/>
  <c r="V16" i="98"/>
  <c r="V41" i="98"/>
  <c r="V39" i="98"/>
  <c r="V31" i="98"/>
  <c r="T18" i="98"/>
  <c r="V26" i="98"/>
  <c r="V22" i="98"/>
  <c r="V27" i="98"/>
  <c r="V23" i="98"/>
  <c r="V45" i="98"/>
  <c r="V33" i="98"/>
  <c r="V29" i="98"/>
  <c r="V34" i="98"/>
  <c r="J40" i="99"/>
  <c r="J28" i="99"/>
  <c r="J24" i="99"/>
  <c r="J14" i="99"/>
  <c r="J45" i="99"/>
  <c r="J29" i="99"/>
  <c r="J32" i="99"/>
  <c r="J33" i="99"/>
  <c r="J22" i="99"/>
  <c r="J15" i="99"/>
  <c r="J35" i="99"/>
  <c r="J31" i="99"/>
  <c r="J25" i="99"/>
  <c r="J17" i="99"/>
  <c r="J41" i="99"/>
  <c r="J23" i="99"/>
  <c r="J20" i="99"/>
  <c r="H17" i="99"/>
  <c r="N12" i="99"/>
  <c r="J36" i="99"/>
  <c r="J19" i="99"/>
  <c r="L12" i="99"/>
  <c r="J47" i="99"/>
  <c r="J26" i="99"/>
  <c r="J21" i="99"/>
  <c r="J43" i="99"/>
  <c r="J37" i="99"/>
  <c r="V16" i="97"/>
  <c r="V34" i="97"/>
  <c r="V55" i="97"/>
  <c r="X78" i="97"/>
  <c r="Z12" i="98"/>
  <c r="D18" i="98"/>
  <c r="R29" i="98"/>
  <c r="Z20" i="99"/>
  <c r="J27" i="99"/>
  <c r="J38" i="99"/>
  <c r="J50" i="99"/>
  <c r="V82" i="97"/>
  <c r="F18" i="98"/>
  <c r="Z29" i="98"/>
  <c r="R33" i="98"/>
  <c r="V46" i="97"/>
  <c r="V61" i="97"/>
  <c r="N63" i="97"/>
  <c r="V64" i="97"/>
  <c r="V67" i="97"/>
  <c r="V77" i="97"/>
  <c r="R24" i="98"/>
  <c r="R36" i="98"/>
  <c r="F39" i="98"/>
  <c r="N39" i="97"/>
  <c r="V41" i="97"/>
  <c r="V57" i="97"/>
  <c r="V24" i="98"/>
  <c r="R28" i="98"/>
  <c r="F32" i="98"/>
  <c r="F38" i="98"/>
  <c r="L17" i="99"/>
  <c r="Z40" i="99"/>
  <c r="X40" i="100"/>
  <c r="Z40" i="100" s="1"/>
  <c r="Z16" i="102"/>
  <c r="T46" i="102"/>
  <c r="V24" i="97"/>
  <c r="V28" i="97"/>
  <c r="V33" i="97"/>
  <c r="V36" i="97"/>
  <c r="V40" i="97"/>
  <c r="V49" i="97"/>
  <c r="F16" i="98"/>
  <c r="V28" i="98"/>
  <c r="V36" i="98"/>
  <c r="Z41" i="99"/>
  <c r="Z15" i="100"/>
  <c r="X15" i="100"/>
  <c r="N42" i="101"/>
  <c r="L42" i="101"/>
  <c r="R45" i="98"/>
  <c r="R38" i="98"/>
  <c r="R37" i="98"/>
  <c r="R25" i="98"/>
  <c r="R21" i="98"/>
  <c r="R39" i="98"/>
  <c r="R31" i="98"/>
  <c r="R20" i="98"/>
  <c r="R18" i="98"/>
  <c r="R16" i="98"/>
  <c r="R41" i="98"/>
  <c r="R26" i="98"/>
  <c r="R22" i="98"/>
  <c r="P18" i="98"/>
  <c r="R32" i="98"/>
  <c r="X12" i="98"/>
  <c r="R30" i="98"/>
  <c r="V35" i="98"/>
  <c r="V78" i="97"/>
  <c r="V62" i="97"/>
  <c r="V50" i="97"/>
  <c r="V69" i="97"/>
  <c r="V65" i="97"/>
  <c r="V59" i="97"/>
  <c r="V51" i="97"/>
  <c r="V43" i="97"/>
  <c r="V35" i="97"/>
  <c r="V53" i="97"/>
  <c r="V45" i="97"/>
  <c r="V18" i="97"/>
  <c r="V20" i="97"/>
  <c r="V22" i="97"/>
  <c r="V60" i="97"/>
  <c r="V63" i="97"/>
  <c r="V66" i="97"/>
  <c r="V75" i="97"/>
  <c r="Z13" i="98"/>
  <c r="L21" i="98"/>
  <c r="N21" i="98" s="1"/>
  <c r="V30" i="98"/>
  <c r="Z31" i="99"/>
  <c r="J34" i="99"/>
  <c r="N65" i="97"/>
  <c r="V71" i="97"/>
  <c r="F33" i="98"/>
  <c r="F28" i="98"/>
  <c r="F24" i="98"/>
  <c r="F35" i="98"/>
  <c r="F34" i="98"/>
  <c r="F30" i="98"/>
  <c r="F29" i="98"/>
  <c r="F26" i="98"/>
  <c r="F22" i="98"/>
  <c r="F21" i="98"/>
  <c r="F20" i="98"/>
  <c r="F25" i="98"/>
  <c r="F27" i="98"/>
  <c r="F37" i="98"/>
  <c r="F45" i="98"/>
  <c r="T47" i="99"/>
  <c r="L21" i="100"/>
  <c r="N21" i="100" s="1"/>
  <c r="L14" i="99"/>
  <c r="R15" i="99"/>
  <c r="R22" i="99"/>
  <c r="L29" i="99"/>
  <c r="N29" i="99" s="1"/>
  <c r="R31" i="99"/>
  <c r="R50" i="99"/>
  <c r="F54" i="100"/>
  <c r="F53" i="100"/>
  <c r="F46" i="100"/>
  <c r="F45" i="100"/>
  <c r="F37" i="100"/>
  <c r="F36" i="100"/>
  <c r="F17" i="100"/>
  <c r="F59" i="100"/>
  <c r="F57" i="100"/>
  <c r="F48" i="100"/>
  <c r="F47" i="100"/>
  <c r="F61" i="100"/>
  <c r="F56" i="100"/>
  <c r="F39" i="100"/>
  <c r="F38" i="100"/>
  <c r="F50" i="100"/>
  <c r="F49" i="100"/>
  <c r="F21" i="100"/>
  <c r="F19" i="100"/>
  <c r="F41" i="100"/>
  <c r="F40" i="100"/>
  <c r="F29" i="100"/>
  <c r="D19" i="100"/>
  <c r="F66" i="100"/>
  <c r="F51" i="100"/>
  <c r="F43" i="100"/>
  <c r="F42" i="100"/>
  <c r="F31" i="100"/>
  <c r="F30" i="100"/>
  <c r="V17" i="100"/>
  <c r="F27" i="100"/>
  <c r="V28" i="100"/>
  <c r="V40" i="100"/>
  <c r="V42" i="100"/>
  <c r="V50" i="100"/>
  <c r="V66" i="101"/>
  <c r="V79" i="101"/>
  <c r="V67" i="101"/>
  <c r="V63" i="101"/>
  <c r="V68" i="101"/>
  <c r="V64" i="101"/>
  <c r="V71" i="101"/>
  <c r="V65" i="101"/>
  <c r="V58" i="101"/>
  <c r="V50" i="101"/>
  <c r="V38" i="101"/>
  <c r="V22" i="101"/>
  <c r="V18" i="101"/>
  <c r="V75" i="101"/>
  <c r="V57" i="101"/>
  <c r="V49" i="101"/>
  <c r="V37" i="101"/>
  <c r="V33" i="101"/>
  <c r="T20" i="101"/>
  <c r="V20" i="101" s="1"/>
  <c r="V52" i="101"/>
  <c r="V40" i="101"/>
  <c r="V28" i="101"/>
  <c r="V24" i="101"/>
  <c r="V69" i="101"/>
  <c r="V51" i="101"/>
  <c r="V39" i="101"/>
  <c r="V59" i="101"/>
  <c r="V42" i="101"/>
  <c r="V34" i="101"/>
  <c r="V72" i="101"/>
  <c r="V53" i="101"/>
  <c r="V41" i="101"/>
  <c r="V29" i="101"/>
  <c r="V25" i="101"/>
  <c r="V44" i="101"/>
  <c r="V16" i="101"/>
  <c r="V43" i="101"/>
  <c r="V35" i="101"/>
  <c r="V70" i="101"/>
  <c r="V61" i="101"/>
  <c r="V60" i="101"/>
  <c r="V54" i="101"/>
  <c r="V46" i="101"/>
  <c r="V30" i="101"/>
  <c r="V26" i="101"/>
  <c r="N23" i="101"/>
  <c r="N38" i="101"/>
  <c r="L52" i="101"/>
  <c r="R61" i="101"/>
  <c r="R35" i="102"/>
  <c r="R48" i="102"/>
  <c r="R26" i="102"/>
  <c r="R22" i="102"/>
  <c r="R53" i="102"/>
  <c r="R50" i="102"/>
  <c r="R37" i="102"/>
  <c r="R36" i="102"/>
  <c r="X12" i="102"/>
  <c r="R28" i="102"/>
  <c r="R27" i="102"/>
  <c r="R23" i="102"/>
  <c r="R30" i="102"/>
  <c r="R29" i="102"/>
  <c r="R41" i="102"/>
  <c r="R40" i="102"/>
  <c r="R24" i="102"/>
  <c r="R20" i="102"/>
  <c r="P16" i="102"/>
  <c r="R32" i="102"/>
  <c r="R31" i="102"/>
  <c r="R33" i="102"/>
  <c r="R38" i="102"/>
  <c r="R18" i="102"/>
  <c r="R14" i="102"/>
  <c r="R39" i="102"/>
  <c r="R34" i="102"/>
  <c r="R42" i="102"/>
  <c r="R25" i="102"/>
  <c r="R21" i="102"/>
  <c r="R19" i="102"/>
  <c r="R46" i="102"/>
  <c r="Z22" i="100"/>
  <c r="V30" i="100"/>
  <c r="V39" i="100"/>
  <c r="Z56" i="100"/>
  <c r="D77" i="101"/>
  <c r="L20" i="101"/>
  <c r="F52" i="101"/>
  <c r="Z61" i="101"/>
  <c r="F43" i="99"/>
  <c r="F41" i="99"/>
  <c r="F28" i="99"/>
  <c r="F24" i="99"/>
  <c r="F25" i="99"/>
  <c r="F21" i="99"/>
  <c r="F50" i="99"/>
  <c r="F47" i="99"/>
  <c r="F32" i="99"/>
  <c r="F31" i="99"/>
  <c r="F19" i="99"/>
  <c r="F17" i="99"/>
  <c r="X14" i="99"/>
  <c r="Z14" i="99" s="1"/>
  <c r="R24" i="99"/>
  <c r="V30" i="99"/>
  <c r="V31" i="99"/>
  <c r="V34" i="99"/>
  <c r="V38" i="99"/>
  <c r="V50" i="99"/>
  <c r="P12" i="100"/>
  <c r="X13" i="100"/>
  <c r="F35" i="100"/>
  <c r="F34" i="101"/>
  <c r="R36" i="101"/>
  <c r="X31" i="99"/>
  <c r="Z13" i="100"/>
  <c r="F41" i="101"/>
  <c r="F69" i="101"/>
  <c r="T12" i="103"/>
  <c r="Z15" i="103"/>
  <c r="N33" i="104"/>
  <c r="N20" i="99"/>
  <c r="V21" i="99"/>
  <c r="L15" i="100"/>
  <c r="V21" i="100"/>
  <c r="V27" i="100"/>
  <c r="X32" i="100"/>
  <c r="Z32" i="100" s="1"/>
  <c r="X49" i="100"/>
  <c r="Z49" i="100" s="1"/>
  <c r="N14" i="101"/>
  <c r="Z44" i="101"/>
  <c r="Z46" i="101"/>
  <c r="Z52" i="101"/>
  <c r="N58" i="101"/>
  <c r="X15" i="103"/>
  <c r="V14" i="99"/>
  <c r="L19" i="99"/>
  <c r="N19" i="99" s="1"/>
  <c r="R26" i="99"/>
  <c r="R29" i="99"/>
  <c r="V33" i="99"/>
  <c r="D40" i="99"/>
  <c r="L40" i="99" s="1"/>
  <c r="N40" i="99" s="1"/>
  <c r="Z47" i="100"/>
  <c r="R17" i="101"/>
  <c r="N22" i="101"/>
  <c r="Z32" i="101"/>
  <c r="Z48" i="101"/>
  <c r="V62" i="101"/>
  <c r="R25" i="99"/>
  <c r="R21" i="99"/>
  <c r="P17" i="99"/>
  <c r="R33" i="99"/>
  <c r="R32" i="99"/>
  <c r="R37" i="99"/>
  <c r="R36" i="99"/>
  <c r="X12" i="99"/>
  <c r="R43" i="99"/>
  <c r="V26" i="99"/>
  <c r="Z29" i="99"/>
  <c r="H12" i="100"/>
  <c r="V35" i="100"/>
  <c r="V47" i="100"/>
  <c r="R77" i="101"/>
  <c r="R75" i="101"/>
  <c r="R74" i="101"/>
  <c r="R79" i="101"/>
  <c r="R84" i="101"/>
  <c r="R81" i="101"/>
  <c r="R69" i="101"/>
  <c r="R68" i="101"/>
  <c r="R64" i="101"/>
  <c r="R71" i="101"/>
  <c r="R62" i="101"/>
  <c r="R56" i="101"/>
  <c r="R55" i="101"/>
  <c r="R48" i="101"/>
  <c r="R47" i="101"/>
  <c r="R32" i="101"/>
  <c r="R31" i="101"/>
  <c r="R27" i="101"/>
  <c r="R65" i="101"/>
  <c r="R23" i="101"/>
  <c r="R18" i="101"/>
  <c r="R58" i="101"/>
  <c r="R57" i="101"/>
  <c r="R50" i="101"/>
  <c r="R49" i="101"/>
  <c r="R38" i="101"/>
  <c r="R37" i="101"/>
  <c r="R33" i="101"/>
  <c r="R22" i="101"/>
  <c r="R20" i="101"/>
  <c r="R28" i="101"/>
  <c r="R24" i="101"/>
  <c r="P20" i="101"/>
  <c r="R63" i="101"/>
  <c r="R52" i="101"/>
  <c r="R51" i="101"/>
  <c r="R40" i="101"/>
  <c r="R39" i="101"/>
  <c r="R66" i="101"/>
  <c r="R59" i="101"/>
  <c r="R34" i="101"/>
  <c r="R72" i="101"/>
  <c r="R53" i="101"/>
  <c r="R42" i="101"/>
  <c r="R41" i="101"/>
  <c r="R29" i="101"/>
  <c r="R25" i="101"/>
  <c r="R44" i="101"/>
  <c r="R43" i="101"/>
  <c r="R35" i="101"/>
  <c r="R16" i="101"/>
  <c r="R26" i="101"/>
  <c r="F53" i="101"/>
  <c r="Z56" i="101"/>
  <c r="V32" i="99"/>
  <c r="V35" i="99"/>
  <c r="V36" i="99"/>
  <c r="V43" i="99"/>
  <c r="V41" i="99"/>
  <c r="V27" i="99"/>
  <c r="V23" i="99"/>
  <c r="R28" i="99"/>
  <c r="V29" i="99"/>
  <c r="N35" i="99"/>
  <c r="V47" i="99"/>
  <c r="T19" i="100"/>
  <c r="L22" i="100"/>
  <c r="X38" i="100"/>
  <c r="Z38" i="100" s="1"/>
  <c r="V43" i="100"/>
  <c r="V49" i="100"/>
  <c r="V56" i="101"/>
  <c r="R67" i="101"/>
  <c r="X41" i="99"/>
  <c r="V41" i="100"/>
  <c r="V29" i="100"/>
  <c r="V25" i="100"/>
  <c r="V32" i="100"/>
  <c r="V24" i="100"/>
  <c r="V51" i="100"/>
  <c r="V53" i="100"/>
  <c r="V45" i="100"/>
  <c r="V33" i="100"/>
  <c r="V52" i="100"/>
  <c r="V44" i="100"/>
  <c r="V36" i="100"/>
  <c r="V16" i="100"/>
  <c r="V56" i="100"/>
  <c r="V54" i="100"/>
  <c r="V46" i="100"/>
  <c r="V38" i="100"/>
  <c r="V22" i="100"/>
  <c r="V23" i="100"/>
  <c r="V26" i="100"/>
  <c r="V31" i="100"/>
  <c r="V37" i="100"/>
  <c r="F72" i="101"/>
  <c r="F71" i="101"/>
  <c r="F60" i="101"/>
  <c r="F79" i="101"/>
  <c r="F74" i="101"/>
  <c r="F70" i="101"/>
  <c r="F64" i="101"/>
  <c r="F43" i="101"/>
  <c r="F42" i="101"/>
  <c r="F35" i="101"/>
  <c r="F81" i="101"/>
  <c r="F67" i="101"/>
  <c r="F54" i="101"/>
  <c r="F30" i="101"/>
  <c r="F26" i="101"/>
  <c r="F45" i="101"/>
  <c r="F44" i="101"/>
  <c r="F17" i="101"/>
  <c r="F16" i="101"/>
  <c r="F61" i="101"/>
  <c r="F36" i="101"/>
  <c r="L12" i="101"/>
  <c r="N12" i="101" s="1"/>
  <c r="F62" i="101"/>
  <c r="F55" i="101"/>
  <c r="F47" i="101"/>
  <c r="F46" i="101"/>
  <c r="F31" i="101"/>
  <c r="F27" i="101"/>
  <c r="F75" i="101"/>
  <c r="F65" i="101"/>
  <c r="F18" i="101"/>
  <c r="F68" i="101"/>
  <c r="F57" i="101"/>
  <c r="F56" i="101"/>
  <c r="F49" i="101"/>
  <c r="F48" i="101"/>
  <c r="F37" i="101"/>
  <c r="F33" i="101"/>
  <c r="F32" i="101"/>
  <c r="F63" i="101"/>
  <c r="F28" i="101"/>
  <c r="F24" i="101"/>
  <c r="F23" i="101"/>
  <c r="F84" i="101"/>
  <c r="F58" i="101"/>
  <c r="F51" i="101"/>
  <c r="F50" i="101"/>
  <c r="F39" i="101"/>
  <c r="F38" i="101"/>
  <c r="F22" i="101"/>
  <c r="F20" i="101"/>
  <c r="L40" i="101"/>
  <c r="N40" i="101" s="1"/>
  <c r="F59" i="101"/>
  <c r="X30" i="102"/>
  <c r="Z30" i="102" s="1"/>
  <c r="Z49" i="103"/>
  <c r="Z51" i="103"/>
  <c r="Z32" i="102"/>
  <c r="N17" i="103"/>
  <c r="N43" i="104"/>
  <c r="L43" i="104"/>
  <c r="L13" i="101"/>
  <c r="N13" i="101" s="1"/>
  <c r="R44" i="104"/>
  <c r="R37" i="104"/>
  <c r="R36" i="104"/>
  <c r="R48" i="104"/>
  <c r="R46" i="104"/>
  <c r="R50" i="104"/>
  <c r="R40" i="104"/>
  <c r="R55" i="104"/>
  <c r="R52" i="104"/>
  <c r="R24" i="104"/>
  <c r="R19" i="104"/>
  <c r="R31" i="104"/>
  <c r="R30" i="104"/>
  <c r="R23" i="104"/>
  <c r="R21" i="104"/>
  <c r="R41" i="104"/>
  <c r="R39" i="104"/>
  <c r="R25" i="104"/>
  <c r="R28" i="104"/>
  <c r="R17" i="104"/>
  <c r="R42" i="104"/>
  <c r="P21" i="104"/>
  <c r="R34" i="104"/>
  <c r="R26" i="104"/>
  <c r="R18" i="104"/>
  <c r="R35" i="104"/>
  <c r="R29" i="104"/>
  <c r="R43" i="104"/>
  <c r="R38" i="104"/>
  <c r="R32" i="104"/>
  <c r="L13" i="100"/>
  <c r="X14" i="101"/>
  <c r="Z14" i="101" s="1"/>
  <c r="L71" i="101"/>
  <c r="L14" i="102"/>
  <c r="L18" i="102"/>
  <c r="N18" i="102" s="1"/>
  <c r="F38" i="102"/>
  <c r="Z23" i="103"/>
  <c r="T12" i="105"/>
  <c r="Z15" i="105"/>
  <c r="Z69" i="101"/>
  <c r="N75" i="101"/>
  <c r="L75" i="101"/>
  <c r="Z34" i="102"/>
  <c r="L67" i="103"/>
  <c r="N67" i="103" s="1"/>
  <c r="D12" i="104"/>
  <c r="F20" i="102"/>
  <c r="F22" i="102"/>
  <c r="F24" i="102"/>
  <c r="D12" i="103"/>
  <c r="L13" i="103"/>
  <c r="N13" i="103" s="1"/>
  <c r="L74" i="101"/>
  <c r="T74" i="101"/>
  <c r="F31" i="102"/>
  <c r="F30" i="102"/>
  <c r="F18" i="102"/>
  <c r="F16" i="102"/>
  <c r="F14" i="102"/>
  <c r="F42" i="102"/>
  <c r="F41" i="102"/>
  <c r="D16" i="102"/>
  <c r="F33" i="102"/>
  <c r="F32" i="102"/>
  <c r="F25" i="102"/>
  <c r="F21" i="102"/>
  <c r="F46" i="102"/>
  <c r="F44" i="102"/>
  <c r="F35" i="102"/>
  <c r="F34" i="102"/>
  <c r="F48" i="102"/>
  <c r="F36" i="102"/>
  <c r="L12" i="102"/>
  <c r="F53" i="102"/>
  <c r="F50" i="102"/>
  <c r="F27" i="102"/>
  <c r="F23" i="102"/>
  <c r="Z14" i="102"/>
  <c r="X14" i="102"/>
  <c r="X18" i="102"/>
  <c r="Z18" i="102" s="1"/>
  <c r="F28" i="102"/>
  <c r="H12" i="103"/>
  <c r="L49" i="100"/>
  <c r="Z13" i="101"/>
  <c r="X71" i="101"/>
  <c r="Z71" i="101" s="1"/>
  <c r="H74" i="101"/>
  <c r="H16" i="102"/>
  <c r="N28" i="102"/>
  <c r="F40" i="102"/>
  <c r="P12" i="103"/>
  <c r="N45" i="103"/>
  <c r="N57" i="103"/>
  <c r="Z15" i="104"/>
  <c r="X15" i="104"/>
  <c r="T12" i="104"/>
  <c r="X12" i="104" s="1"/>
  <c r="X75" i="101"/>
  <c r="Z75" i="101" s="1"/>
  <c r="L19" i="102"/>
  <c r="N19" i="102" s="1"/>
  <c r="N30" i="102"/>
  <c r="F37" i="102"/>
  <c r="X44" i="102"/>
  <c r="L24" i="103"/>
  <c r="N24" i="103" s="1"/>
  <c r="N53" i="103"/>
  <c r="R27" i="104"/>
  <c r="N35" i="104"/>
  <c r="L35" i="104"/>
  <c r="Z24" i="105"/>
  <c r="F41" i="105"/>
  <c r="J56" i="105"/>
  <c r="L74" i="107"/>
  <c r="N74" i="107" s="1"/>
  <c r="J28" i="102"/>
  <c r="J38" i="102"/>
  <c r="V44" i="102"/>
  <c r="V46" i="102"/>
  <c r="F84" i="105"/>
  <c r="F83" i="105"/>
  <c r="F76" i="105"/>
  <c r="F72" i="105"/>
  <c r="F90" i="105"/>
  <c r="F68" i="105"/>
  <c r="F67" i="105"/>
  <c r="F52" i="105"/>
  <c r="F51" i="105"/>
  <c r="F78" i="105"/>
  <c r="F74" i="105"/>
  <c r="F70" i="105"/>
  <c r="F69" i="105"/>
  <c r="F62" i="105"/>
  <c r="F54" i="105"/>
  <c r="F53" i="105"/>
  <c r="F65" i="105"/>
  <c r="F63" i="105"/>
  <c r="F32" i="105"/>
  <c r="F28" i="105"/>
  <c r="F49" i="105"/>
  <c r="F43" i="105"/>
  <c r="F19" i="105"/>
  <c r="F57" i="105"/>
  <c r="F38" i="105"/>
  <c r="F81" i="105"/>
  <c r="F66" i="105"/>
  <c r="F61" i="105"/>
  <c r="F44" i="105"/>
  <c r="F33" i="105"/>
  <c r="F29" i="105"/>
  <c r="F25" i="105"/>
  <c r="F24" i="105"/>
  <c r="F58" i="105"/>
  <c r="F50" i="105"/>
  <c r="F23" i="105"/>
  <c r="F64" i="105"/>
  <c r="F45" i="105"/>
  <c r="F39" i="105"/>
  <c r="F35" i="105"/>
  <c r="F34" i="105"/>
  <c r="D21" i="105"/>
  <c r="F82" i="105"/>
  <c r="F79" i="105"/>
  <c r="F46" i="105"/>
  <c r="F30" i="105"/>
  <c r="F26" i="105"/>
  <c r="F86" i="105"/>
  <c r="F55" i="105"/>
  <c r="F59" i="105"/>
  <c r="F40" i="105"/>
  <c r="F36" i="105"/>
  <c r="F77" i="105"/>
  <c r="F75" i="105"/>
  <c r="F47" i="105"/>
  <c r="F80" i="105"/>
  <c r="F71" i="105"/>
  <c r="F56" i="105"/>
  <c r="F37" i="105"/>
  <c r="F17" i="105"/>
  <c r="T12" i="107"/>
  <c r="X13" i="107"/>
  <c r="Z13" i="107" s="1"/>
  <c r="J23" i="102"/>
  <c r="J27" i="102"/>
  <c r="V31" i="102"/>
  <c r="J37" i="102"/>
  <c r="X43" i="104"/>
  <c r="Z43" i="104" s="1"/>
  <c r="J69" i="105"/>
  <c r="J53" i="105"/>
  <c r="J78" i="105"/>
  <c r="J74" i="105"/>
  <c r="J70" i="105"/>
  <c r="J62" i="105"/>
  <c r="J54" i="105"/>
  <c r="J42" i="105"/>
  <c r="J79" i="105"/>
  <c r="J63" i="105"/>
  <c r="J55" i="105"/>
  <c r="J84" i="105"/>
  <c r="J76" i="105"/>
  <c r="J72" i="105"/>
  <c r="J60" i="105"/>
  <c r="J48" i="105"/>
  <c r="J57" i="105"/>
  <c r="J19" i="105"/>
  <c r="J81" i="105"/>
  <c r="J38" i="105"/>
  <c r="J24" i="105"/>
  <c r="J66" i="105"/>
  <c r="J61" i="105"/>
  <c r="J44" i="105"/>
  <c r="J33" i="105"/>
  <c r="J29" i="105"/>
  <c r="J25" i="105"/>
  <c r="J23" i="105"/>
  <c r="J21" i="105"/>
  <c r="J58" i="105"/>
  <c r="J50" i="105"/>
  <c r="J45" i="105"/>
  <c r="J34" i="105"/>
  <c r="J64" i="105"/>
  <c r="J39" i="105"/>
  <c r="J35" i="105"/>
  <c r="J90" i="105"/>
  <c r="J86" i="105"/>
  <c r="J82" i="105"/>
  <c r="J67" i="105"/>
  <c r="J46" i="105"/>
  <c r="J30" i="105"/>
  <c r="J26" i="105"/>
  <c r="J59" i="105"/>
  <c r="J51" i="105"/>
  <c r="J47" i="105"/>
  <c r="J40" i="105"/>
  <c r="J36" i="105"/>
  <c r="N12" i="105"/>
  <c r="J77" i="105"/>
  <c r="J75" i="105"/>
  <c r="J52" i="105"/>
  <c r="J41" i="105"/>
  <c r="J31" i="105"/>
  <c r="J27" i="105"/>
  <c r="J83" i="105"/>
  <c r="J73" i="105"/>
  <c r="J68" i="105"/>
  <c r="J49" i="105"/>
  <c r="J43" i="105"/>
  <c r="J32" i="105"/>
  <c r="J28" i="105"/>
  <c r="L14" i="105"/>
  <c r="N14" i="105" s="1"/>
  <c r="L17" i="105"/>
  <c r="N17" i="105" s="1"/>
  <c r="Z41" i="105"/>
  <c r="J36" i="102"/>
  <c r="J50" i="102"/>
  <c r="J53" i="102"/>
  <c r="Z67" i="103"/>
  <c r="Z23" i="105"/>
  <c r="X23" i="105"/>
  <c r="F73" i="105"/>
  <c r="V41" i="102"/>
  <c r="L83" i="103"/>
  <c r="H12" i="104"/>
  <c r="Z14" i="104"/>
  <c r="J37" i="105"/>
  <c r="F42" i="105"/>
  <c r="Z81" i="105"/>
  <c r="X81" i="105"/>
  <c r="V14" i="102"/>
  <c r="V16" i="102"/>
  <c r="V18" i="102"/>
  <c r="J22" i="102"/>
  <c r="J26" i="102"/>
  <c r="V30" i="102"/>
  <c r="V38" i="102"/>
  <c r="J48" i="102"/>
  <c r="X13" i="103"/>
  <c r="Z13" i="103" s="1"/>
  <c r="X67" i="103"/>
  <c r="L76" i="103"/>
  <c r="L13" i="104"/>
  <c r="N13" i="104" s="1"/>
  <c r="L33" i="104"/>
  <c r="X35" i="104"/>
  <c r="Z35" i="104" s="1"/>
  <c r="L39" i="104"/>
  <c r="N39" i="104" s="1"/>
  <c r="Z17" i="105"/>
  <c r="X17" i="105"/>
  <c r="X34" i="105"/>
  <c r="Z34" i="105" s="1"/>
  <c r="F48" i="105"/>
  <c r="F60" i="105"/>
  <c r="J71" i="105"/>
  <c r="J35" i="102"/>
  <c r="J34" i="102"/>
  <c r="J44" i="102"/>
  <c r="J46" i="102"/>
  <c r="N76" i="103"/>
  <c r="H88" i="105"/>
  <c r="J88" i="105" s="1"/>
  <c r="J21" i="102"/>
  <c r="J25" i="102"/>
  <c r="J33" i="102"/>
  <c r="V37" i="102"/>
  <c r="X39" i="104"/>
  <c r="Z39" i="104" s="1"/>
  <c r="F18" i="105"/>
  <c r="F27" i="105"/>
  <c r="Z55" i="105"/>
  <c r="Z63" i="105"/>
  <c r="J32" i="102"/>
  <c r="X76" i="103"/>
  <c r="Z76" i="103" s="1"/>
  <c r="X83" i="103"/>
  <c r="X33" i="104"/>
  <c r="Z33" i="104" s="1"/>
  <c r="P12" i="105"/>
  <c r="X13" i="105"/>
  <c r="Z13" i="105" s="1"/>
  <c r="N15" i="105"/>
  <c r="J18" i="105"/>
  <c r="J80" i="105"/>
  <c r="N24" i="105"/>
  <c r="N63" i="105"/>
  <c r="X67" i="105"/>
  <c r="D21" i="107"/>
  <c r="F40" i="107"/>
  <c r="Z78" i="107"/>
  <c r="F51" i="107"/>
  <c r="F32" i="107"/>
  <c r="N57" i="107"/>
  <c r="Z63" i="107"/>
  <c r="Z49" i="105"/>
  <c r="X57" i="105"/>
  <c r="Z57" i="105" s="1"/>
  <c r="F28" i="107"/>
  <c r="F34" i="107"/>
  <c r="L86" i="105"/>
  <c r="N86" i="105"/>
  <c r="F36" i="107"/>
  <c r="N45" i="107"/>
  <c r="N49" i="107"/>
  <c r="F64" i="107"/>
  <c r="L51" i="105"/>
  <c r="N51" i="105" s="1"/>
  <c r="X55" i="105"/>
  <c r="N79" i="105"/>
  <c r="Z55" i="107"/>
  <c r="L67" i="105"/>
  <c r="X79" i="105"/>
  <c r="Z79" i="105" s="1"/>
  <c r="X86" i="105"/>
  <c r="X14" i="107"/>
  <c r="P12" i="107"/>
  <c r="F19" i="107"/>
  <c r="Z14" i="107"/>
  <c r="F70" i="107"/>
  <c r="F54" i="107"/>
  <c r="F53" i="107"/>
  <c r="F42" i="107"/>
  <c r="F41" i="107"/>
  <c r="F18" i="107"/>
  <c r="F17" i="107"/>
  <c r="F87" i="107"/>
  <c r="F77" i="107"/>
  <c r="F76" i="107"/>
  <c r="F65" i="107"/>
  <c r="F37" i="107"/>
  <c r="F90" i="107"/>
  <c r="F56" i="107"/>
  <c r="F55" i="107"/>
  <c r="F44" i="107"/>
  <c r="F43" i="107"/>
  <c r="F79" i="107"/>
  <c r="F78" i="107"/>
  <c r="F71" i="107"/>
  <c r="F66" i="107"/>
  <c r="F58" i="107"/>
  <c r="F57" i="107"/>
  <c r="F46" i="107"/>
  <c r="F45" i="107"/>
  <c r="F38" i="107"/>
  <c r="F33" i="107"/>
  <c r="F29" i="107"/>
  <c r="F25" i="107"/>
  <c r="F24" i="107"/>
  <c r="F81" i="107"/>
  <c r="F72" i="107"/>
  <c r="F68" i="107"/>
  <c r="F67" i="107"/>
  <c r="F60" i="107"/>
  <c r="F59" i="107"/>
  <c r="F48" i="107"/>
  <c r="F47" i="107"/>
  <c r="F23" i="107"/>
  <c r="F21" i="107"/>
  <c r="F83" i="107"/>
  <c r="F39" i="107"/>
  <c r="F62" i="107"/>
  <c r="F61" i="107"/>
  <c r="F50" i="107"/>
  <c r="F49" i="107"/>
  <c r="F30" i="107"/>
  <c r="F26" i="107"/>
  <c r="F85" i="107"/>
  <c r="F73" i="107"/>
  <c r="F69" i="107"/>
  <c r="F75" i="107"/>
  <c r="F74" i="107"/>
  <c r="F31" i="107"/>
  <c r="F27" i="107"/>
  <c r="Z43" i="107"/>
  <c r="L23" i="105"/>
  <c r="N23" i="105" s="1"/>
  <c r="X41" i="105"/>
  <c r="N57" i="105"/>
  <c r="H12" i="107"/>
  <c r="L12" i="107" s="1"/>
  <c r="Z24" i="107"/>
  <c r="T63" i="109"/>
  <c r="V63" i="109" s="1"/>
  <c r="L81" i="105"/>
  <c r="N81" i="105" s="1"/>
  <c r="L13" i="107"/>
  <c r="N13" i="107" s="1"/>
  <c r="N15" i="107"/>
  <c r="F35" i="107"/>
  <c r="F63" i="107"/>
  <c r="R37" i="108"/>
  <c r="R31" i="108"/>
  <c r="R24" i="108"/>
  <c r="R20" i="108"/>
  <c r="R39" i="108"/>
  <c r="R35" i="108"/>
  <c r="R29" i="108"/>
  <c r="R23" i="108"/>
  <c r="R14" i="108"/>
  <c r="R16" i="108"/>
  <c r="R26" i="108"/>
  <c r="R21" i="108"/>
  <c r="P16" i="108"/>
  <c r="R18" i="108"/>
  <c r="R27" i="108"/>
  <c r="R42" i="108"/>
  <c r="R19" i="108"/>
  <c r="R32" i="108"/>
  <c r="R33" i="108"/>
  <c r="R28" i="108"/>
  <c r="R22" i="108"/>
  <c r="X12" i="108"/>
  <c r="R25" i="108"/>
  <c r="N78" i="107"/>
  <c r="N12" i="108"/>
  <c r="V16" i="108"/>
  <c r="J20" i="108"/>
  <c r="V23" i="108"/>
  <c r="J65" i="109"/>
  <c r="J53" i="109"/>
  <c r="J45" i="109"/>
  <c r="J35" i="109"/>
  <c r="J31" i="109"/>
  <c r="J54" i="109"/>
  <c r="J46" i="109"/>
  <c r="J36" i="109"/>
  <c r="J47" i="109"/>
  <c r="J37" i="109"/>
  <c r="J48" i="109"/>
  <c r="J38" i="109"/>
  <c r="J32" i="109"/>
  <c r="J55" i="109"/>
  <c r="J49" i="109"/>
  <c r="J39" i="109"/>
  <c r="J27" i="109"/>
  <c r="J23" i="109"/>
  <c r="L12" i="109"/>
  <c r="N12" i="109" s="1"/>
  <c r="J50" i="109"/>
  <c r="J40" i="109"/>
  <c r="J41" i="109"/>
  <c r="J33" i="109"/>
  <c r="J56" i="109"/>
  <c r="J42" i="109"/>
  <c r="J28" i="109"/>
  <c r="J24" i="109"/>
  <c r="J57" i="109"/>
  <c r="J51" i="109"/>
  <c r="J43" i="109"/>
  <c r="J58" i="109"/>
  <c r="J60" i="109"/>
  <c r="J52" i="109"/>
  <c r="J44" i="109"/>
  <c r="J30" i="109"/>
  <c r="H17" i="109"/>
  <c r="X38" i="109"/>
  <c r="Z38" i="109" s="1"/>
  <c r="V26" i="108"/>
  <c r="V28" i="108"/>
  <c r="Z12" i="108"/>
  <c r="V35" i="108"/>
  <c r="V33" i="108"/>
  <c r="V42" i="108"/>
  <c r="V39" i="108"/>
  <c r="V37" i="108"/>
  <c r="F19" i="108"/>
  <c r="V20" i="108"/>
  <c r="J22" i="108"/>
  <c r="J32" i="108"/>
  <c r="J37" i="108"/>
  <c r="P12" i="109"/>
  <c r="V22" i="109"/>
  <c r="D16" i="108"/>
  <c r="F18" i="108"/>
  <c r="N19" i="108"/>
  <c r="V25" i="108"/>
  <c r="J27" i="108"/>
  <c r="F31" i="108"/>
  <c r="P31" i="108"/>
  <c r="X31" i="108" s="1"/>
  <c r="X33" i="108"/>
  <c r="Z33" i="108" s="1"/>
  <c r="J42" i="108"/>
  <c r="V55" i="109"/>
  <c r="V39" i="109"/>
  <c r="V27" i="109"/>
  <c r="V23" i="109"/>
  <c r="V50" i="109"/>
  <c r="V42" i="109"/>
  <c r="V57" i="109"/>
  <c r="V41" i="109"/>
  <c r="V33" i="109"/>
  <c r="V56" i="109"/>
  <c r="V61" i="109"/>
  <c r="V51" i="109"/>
  <c r="V43" i="109"/>
  <c r="V19" i="109"/>
  <c r="V17" i="109"/>
  <c r="V15" i="109"/>
  <c r="V60" i="109"/>
  <c r="V58" i="109"/>
  <c r="V34" i="109"/>
  <c r="V30" i="109"/>
  <c r="V53" i="109"/>
  <c r="V45" i="109"/>
  <c r="V29" i="109"/>
  <c r="V25" i="109"/>
  <c r="V21" i="109"/>
  <c r="V52" i="109"/>
  <c r="V44" i="109"/>
  <c r="V36" i="109"/>
  <c r="V65" i="109"/>
  <c r="V47" i="109"/>
  <c r="V35" i="109"/>
  <c r="V31" i="109"/>
  <c r="V54" i="109"/>
  <c r="V46" i="109"/>
  <c r="V38" i="109"/>
  <c r="V48" i="109"/>
  <c r="V40" i="109"/>
  <c r="V32" i="109"/>
  <c r="X45" i="107"/>
  <c r="Z45" i="107" s="1"/>
  <c r="L51" i="107"/>
  <c r="F16" i="108"/>
  <c r="N18" i="108"/>
  <c r="J19" i="108"/>
  <c r="F24" i="108"/>
  <c r="V24" i="109"/>
  <c r="F14" i="108"/>
  <c r="H16" i="108"/>
  <c r="J18" i="108"/>
  <c r="V22" i="108"/>
  <c r="J24" i="108"/>
  <c r="J31" i="108"/>
  <c r="N20" i="109"/>
  <c r="J16" i="108"/>
  <c r="J21" i="108"/>
  <c r="F26" i="108"/>
  <c r="J20" i="109"/>
  <c r="J14" i="108"/>
  <c r="V24" i="108"/>
  <c r="J26" i="108"/>
  <c r="F29" i="108"/>
  <c r="V32" i="108"/>
  <c r="J19" i="109"/>
  <c r="L20" i="109"/>
  <c r="V19" i="108"/>
  <c r="J29" i="108"/>
  <c r="Z31" i="108"/>
  <c r="J39" i="108"/>
  <c r="V26" i="109"/>
  <c r="F23" i="108"/>
  <c r="F37" i="108"/>
  <c r="F32" i="108"/>
  <c r="F25" i="108"/>
  <c r="F21" i="108"/>
  <c r="F42" i="108"/>
  <c r="F39" i="108"/>
  <c r="F28" i="108"/>
  <c r="F27" i="108"/>
  <c r="V27" i="108"/>
  <c r="V31" i="108"/>
  <c r="J35" i="108"/>
  <c r="F17" i="109"/>
  <c r="D63" i="109"/>
  <c r="L45" i="107"/>
  <c r="X51" i="107"/>
  <c r="Z51" i="107" s="1"/>
  <c r="L57" i="107"/>
  <c r="X63" i="107"/>
  <c r="V18" i="108"/>
  <c r="V21" i="108"/>
  <c r="V20" i="109"/>
  <c r="V28" i="109"/>
  <c r="V49" i="109"/>
  <c r="L12" i="108"/>
  <c r="T16" i="108"/>
  <c r="X18" i="108"/>
  <c r="Z18" i="108" s="1"/>
  <c r="F20" i="108"/>
  <c r="J25" i="108"/>
  <c r="F33" i="108"/>
  <c r="L17" i="109"/>
  <c r="L42" i="109"/>
  <c r="F42" i="109"/>
  <c r="T104" i="63" l="1"/>
  <c r="X100" i="63"/>
  <c r="Z100" i="63" s="1"/>
  <c r="L20" i="87"/>
  <c r="D82" i="87"/>
  <c r="L18" i="22"/>
  <c r="D27" i="22"/>
  <c r="Z16" i="108"/>
  <c r="T35" i="108"/>
  <c r="R49" i="109"/>
  <c r="R48" i="109"/>
  <c r="R32" i="109"/>
  <c r="X12" i="109"/>
  <c r="Z12" i="109" s="1"/>
  <c r="R55" i="109"/>
  <c r="R40" i="109"/>
  <c r="R39" i="109"/>
  <c r="R50" i="109"/>
  <c r="R42" i="109"/>
  <c r="R41" i="109"/>
  <c r="R33" i="109"/>
  <c r="R57" i="109"/>
  <c r="R56" i="109"/>
  <c r="R28" i="109"/>
  <c r="R24" i="109"/>
  <c r="R51" i="109"/>
  <c r="R43" i="109"/>
  <c r="R20" i="109"/>
  <c r="R61" i="109"/>
  <c r="R58" i="109"/>
  <c r="R34" i="109"/>
  <c r="R19" i="109"/>
  <c r="R15" i="109"/>
  <c r="R60" i="109"/>
  <c r="R30" i="109"/>
  <c r="R29" i="109"/>
  <c r="R25" i="109"/>
  <c r="R21" i="109"/>
  <c r="P17" i="109"/>
  <c r="R17" i="109" s="1"/>
  <c r="R53" i="109"/>
  <c r="R52" i="109"/>
  <c r="R45" i="109"/>
  <c r="R44" i="109"/>
  <c r="R65" i="109"/>
  <c r="R36" i="109"/>
  <c r="R35" i="109"/>
  <c r="R38" i="109"/>
  <c r="R37" i="109"/>
  <c r="R31" i="109"/>
  <c r="R23" i="109"/>
  <c r="R54" i="109"/>
  <c r="R46" i="109"/>
  <c r="R26" i="109"/>
  <c r="R47" i="109"/>
  <c r="R27" i="109"/>
  <c r="R22" i="109"/>
  <c r="D81" i="101"/>
  <c r="T50" i="102"/>
  <c r="L18" i="98"/>
  <c r="D43" i="98"/>
  <c r="D72" i="79"/>
  <c r="N20" i="87"/>
  <c r="H82" i="87"/>
  <c r="T34" i="82"/>
  <c r="V31" i="82"/>
  <c r="T80" i="73"/>
  <c r="X51" i="73"/>
  <c r="Z51" i="73" s="1"/>
  <c r="P80" i="73"/>
  <c r="V103" i="70"/>
  <c r="V95" i="70"/>
  <c r="V87" i="70"/>
  <c r="V67" i="70"/>
  <c r="V63" i="70"/>
  <c r="V102" i="70"/>
  <c r="V86" i="70"/>
  <c r="V78" i="70"/>
  <c r="V54" i="70"/>
  <c r="V50" i="70"/>
  <c r="V46" i="70"/>
  <c r="V42" i="70"/>
  <c r="V97" i="70"/>
  <c r="V77" i="70"/>
  <c r="V73" i="70"/>
  <c r="V104" i="70"/>
  <c r="V96" i="70"/>
  <c r="V88" i="70"/>
  <c r="V80" i="70"/>
  <c r="V68" i="70"/>
  <c r="V64" i="70"/>
  <c r="V99" i="70"/>
  <c r="V79" i="70"/>
  <c r="V55" i="70"/>
  <c r="V51" i="70"/>
  <c r="V47" i="70"/>
  <c r="V43" i="70"/>
  <c r="V106" i="70"/>
  <c r="V98" i="70"/>
  <c r="V90" i="70"/>
  <c r="V74" i="70"/>
  <c r="V105" i="70"/>
  <c r="V89" i="70"/>
  <c r="V81" i="70"/>
  <c r="V69" i="70"/>
  <c r="V65" i="70"/>
  <c r="V61" i="70"/>
  <c r="V114" i="70"/>
  <c r="V108" i="70"/>
  <c r="V100" i="70"/>
  <c r="V92" i="70"/>
  <c r="V60" i="70"/>
  <c r="V58" i="70"/>
  <c r="V56" i="70"/>
  <c r="V52" i="70"/>
  <c r="V48" i="70"/>
  <c r="V44" i="70"/>
  <c r="V113" i="70"/>
  <c r="V107" i="70"/>
  <c r="V91" i="70"/>
  <c r="V83" i="70"/>
  <c r="V75" i="70"/>
  <c r="V71" i="70"/>
  <c r="T58" i="70"/>
  <c r="V112" i="70"/>
  <c r="V94" i="70"/>
  <c r="V82" i="70"/>
  <c r="V70" i="70"/>
  <c r="V66" i="70"/>
  <c r="V62" i="70"/>
  <c r="V118" i="70"/>
  <c r="V84" i="70"/>
  <c r="V76" i="70"/>
  <c r="V72" i="70"/>
  <c r="V101" i="70"/>
  <c r="V45" i="70"/>
  <c r="V53" i="70"/>
  <c r="V111" i="70"/>
  <c r="V41" i="70"/>
  <c r="V93" i="70"/>
  <c r="V85" i="70"/>
  <c r="V109" i="70"/>
  <c r="V49" i="70"/>
  <c r="Z16" i="57"/>
  <c r="T65" i="57"/>
  <c r="X16" i="61"/>
  <c r="P48" i="61"/>
  <c r="V50" i="48"/>
  <c r="V42" i="48"/>
  <c r="V57" i="48"/>
  <c r="V41" i="48"/>
  <c r="V33" i="48"/>
  <c r="V56" i="48"/>
  <c r="V60" i="48"/>
  <c r="V58" i="48"/>
  <c r="V34" i="48"/>
  <c r="V30" i="48"/>
  <c r="V52" i="48"/>
  <c r="V44" i="48"/>
  <c r="V36" i="48"/>
  <c r="V65" i="48"/>
  <c r="V47" i="48"/>
  <c r="V35" i="48"/>
  <c r="V31" i="48"/>
  <c r="V54" i="48"/>
  <c r="V55" i="48"/>
  <c r="V39" i="48"/>
  <c r="V27" i="48"/>
  <c r="V23" i="48"/>
  <c r="V53" i="48"/>
  <c r="V40" i="48"/>
  <c r="V49" i="48"/>
  <c r="V48" i="48"/>
  <c r="V43" i="48"/>
  <c r="V38" i="48"/>
  <c r="V22" i="48"/>
  <c r="V20" i="48"/>
  <c r="V51" i="48"/>
  <c r="V46" i="48"/>
  <c r="V26" i="48"/>
  <c r="V15" i="48"/>
  <c r="V28" i="48"/>
  <c r="V24" i="48"/>
  <c r="V45" i="48"/>
  <c r="V21" i="48"/>
  <c r="T17" i="48"/>
  <c r="V61" i="48"/>
  <c r="V32" i="48"/>
  <c r="V19" i="48"/>
  <c r="V37" i="48"/>
  <c r="V29" i="48"/>
  <c r="V25" i="48"/>
  <c r="X12" i="48"/>
  <c r="Z12" i="48" s="1"/>
  <c r="P63" i="48"/>
  <c r="R17" i="48"/>
  <c r="X113" i="42"/>
  <c r="J242" i="15"/>
  <c r="J224" i="15"/>
  <c r="J202" i="15"/>
  <c r="J192" i="15"/>
  <c r="J184" i="15"/>
  <c r="J168" i="15"/>
  <c r="J164" i="15"/>
  <c r="J106" i="15"/>
  <c r="J243" i="15"/>
  <c r="J235" i="15"/>
  <c r="J231" i="15"/>
  <c r="J219" i="15"/>
  <c r="J203" i="15"/>
  <c r="J193" i="15"/>
  <c r="J185" i="15"/>
  <c r="J155" i="15"/>
  <c r="J151" i="15"/>
  <c r="J147" i="15"/>
  <c r="J143" i="15"/>
  <c r="J139" i="15"/>
  <c r="J135" i="15"/>
  <c r="J131" i="15"/>
  <c r="J127" i="15"/>
  <c r="J123" i="15"/>
  <c r="J119" i="15"/>
  <c r="J115" i="15"/>
  <c r="J111" i="15"/>
  <c r="J107" i="15"/>
  <c r="J258" i="15"/>
  <c r="J214" i="15"/>
  <c r="J204" i="15"/>
  <c r="J194" i="15"/>
  <c r="J186" i="15"/>
  <c r="J178" i="15"/>
  <c r="J174" i="15"/>
  <c r="J257" i="15"/>
  <c r="J225" i="15"/>
  <c r="J205" i="15"/>
  <c r="J195" i="15"/>
  <c r="J187" i="15"/>
  <c r="J169" i="15"/>
  <c r="J165" i="15"/>
  <c r="J262" i="15"/>
  <c r="J256" i="15"/>
  <c r="J244" i="15"/>
  <c r="J236" i="15"/>
  <c r="J232" i="15"/>
  <c r="J226" i="15"/>
  <c r="J220" i="15"/>
  <c r="J206" i="15"/>
  <c r="J196" i="15"/>
  <c r="J188" i="15"/>
  <c r="J156" i="15"/>
  <c r="J152" i="15"/>
  <c r="J148" i="15"/>
  <c r="J144" i="15"/>
  <c r="J140" i="15"/>
  <c r="J136" i="15"/>
  <c r="J132" i="15"/>
  <c r="J128" i="15"/>
  <c r="J124" i="15"/>
  <c r="J120" i="15"/>
  <c r="J116" i="15"/>
  <c r="J112" i="15"/>
  <c r="J108" i="15"/>
  <c r="J255" i="15"/>
  <c r="J237" i="15"/>
  <c r="J227" i="15"/>
  <c r="J221" i="15"/>
  <c r="J215" i="15"/>
  <c r="J207" i="15"/>
  <c r="J197" i="15"/>
  <c r="J179" i="15"/>
  <c r="J175" i="15"/>
  <c r="J161" i="15"/>
  <c r="J254" i="15"/>
  <c r="J238" i="15"/>
  <c r="J222" i="15"/>
  <c r="J208" i="15"/>
  <c r="J198" i="15"/>
  <c r="J180" i="15"/>
  <c r="J170" i="15"/>
  <c r="J166" i="15"/>
  <c r="J162" i="15"/>
  <c r="J160" i="15"/>
  <c r="J253" i="15"/>
  <c r="J245" i="15"/>
  <c r="J233" i="15"/>
  <c r="J209" i="15"/>
  <c r="J199" i="15"/>
  <c r="J189" i="15"/>
  <c r="J181" i="15"/>
  <c r="H158" i="15"/>
  <c r="L158" i="15" s="1"/>
  <c r="J153" i="15"/>
  <c r="J149" i="15"/>
  <c r="J145" i="15"/>
  <c r="J141" i="15"/>
  <c r="J137" i="15"/>
  <c r="J133" i="15"/>
  <c r="J129" i="15"/>
  <c r="J125" i="15"/>
  <c r="J121" i="15"/>
  <c r="J117" i="15"/>
  <c r="J113" i="15"/>
  <c r="J109" i="15"/>
  <c r="J252" i="15"/>
  <c r="J246" i="15"/>
  <c r="J228" i="15"/>
  <c r="J216" i="15"/>
  <c r="J210" i="15"/>
  <c r="J200" i="15"/>
  <c r="J190" i="15"/>
  <c r="J182" i="15"/>
  <c r="J176" i="15"/>
  <c r="N12" i="15"/>
  <c r="J251" i="15"/>
  <c r="J247" i="15"/>
  <c r="J239" i="15"/>
  <c r="J229" i="15"/>
  <c r="J223" i="15"/>
  <c r="J217" i="15"/>
  <c r="J211" i="15"/>
  <c r="J191" i="15"/>
  <c r="J183" i="15"/>
  <c r="J171" i="15"/>
  <c r="J167" i="15"/>
  <c r="J163" i="15"/>
  <c r="J249" i="15"/>
  <c r="J241" i="15"/>
  <c r="J213" i="15"/>
  <c r="J201" i="15"/>
  <c r="J177" i="15"/>
  <c r="J173" i="15"/>
  <c r="J134" i="15"/>
  <c r="J126" i="15"/>
  <c r="J118" i="15"/>
  <c r="J250" i="15"/>
  <c r="J230" i="15"/>
  <c r="J212" i="15"/>
  <c r="J154" i="15"/>
  <c r="J110" i="15"/>
  <c r="J172" i="15"/>
  <c r="J146" i="15"/>
  <c r="J234" i="15"/>
  <c r="J138" i="15"/>
  <c r="J130" i="15"/>
  <c r="J122" i="15"/>
  <c r="J114" i="15"/>
  <c r="J240" i="15"/>
  <c r="J142" i="15"/>
  <c r="J218" i="15"/>
  <c r="J150" i="15"/>
  <c r="H91" i="9"/>
  <c r="N16" i="9"/>
  <c r="X16" i="6"/>
  <c r="P22" i="6"/>
  <c r="J302" i="3"/>
  <c r="J290" i="3"/>
  <c r="J282" i="3"/>
  <c r="J278" i="3"/>
  <c r="J274" i="3"/>
  <c r="J262" i="3"/>
  <c r="J246" i="3"/>
  <c r="J238" i="3"/>
  <c r="J228" i="3"/>
  <c r="J214" i="3"/>
  <c r="J210" i="3"/>
  <c r="J260" i="3"/>
  <c r="J254" i="3"/>
  <c r="J242" i="3"/>
  <c r="J234" i="3"/>
  <c r="J301" i="3"/>
  <c r="J283" i="3"/>
  <c r="J257" i="3"/>
  <c r="J247" i="3"/>
  <c r="J229" i="3"/>
  <c r="J221" i="3"/>
  <c r="J205" i="3"/>
  <c r="J201" i="3"/>
  <c r="J300" i="3"/>
  <c r="J284" i="3"/>
  <c r="J268" i="3"/>
  <c r="J248" i="3"/>
  <c r="J222" i="3"/>
  <c r="J192" i="3"/>
  <c r="J188" i="3"/>
  <c r="J184" i="3"/>
  <c r="J180" i="3"/>
  <c r="J176" i="3"/>
  <c r="J172" i="3"/>
  <c r="J168" i="3"/>
  <c r="J164" i="3"/>
  <c r="J160" i="3"/>
  <c r="J156" i="3"/>
  <c r="J152" i="3"/>
  <c r="J148" i="3"/>
  <c r="J144" i="3"/>
  <c r="J140" i="3"/>
  <c r="J136" i="3"/>
  <c r="J299" i="3"/>
  <c r="J291" i="3"/>
  <c r="J279" i="3"/>
  <c r="J275" i="3"/>
  <c r="J263" i="3"/>
  <c r="J249" i="3"/>
  <c r="J239" i="3"/>
  <c r="J223" i="3"/>
  <c r="J215" i="3"/>
  <c r="J211" i="3"/>
  <c r="J298" i="3"/>
  <c r="J292" i="3"/>
  <c r="J264" i="3"/>
  <c r="J258" i="3"/>
  <c r="J250" i="3"/>
  <c r="J240" i="3"/>
  <c r="J230" i="3"/>
  <c r="J224" i="3"/>
  <c r="J206" i="3"/>
  <c r="J202" i="3"/>
  <c r="J306" i="3"/>
  <c r="J288" i="3"/>
  <c r="J297" i="3"/>
  <c r="J293" i="3"/>
  <c r="J285" i="3"/>
  <c r="J269" i="3"/>
  <c r="J265" i="3"/>
  <c r="J251" i="3"/>
  <c r="J241" i="3"/>
  <c r="J231" i="3"/>
  <c r="J225" i="3"/>
  <c r="J193" i="3"/>
  <c r="J189" i="3"/>
  <c r="J185" i="3"/>
  <c r="J181" i="3"/>
  <c r="J177" i="3"/>
  <c r="J173" i="3"/>
  <c r="J169" i="3"/>
  <c r="J165" i="3"/>
  <c r="J161" i="3"/>
  <c r="J157" i="3"/>
  <c r="J153" i="3"/>
  <c r="J149" i="3"/>
  <c r="J145" i="3"/>
  <c r="J141" i="3"/>
  <c r="J137" i="3"/>
  <c r="J296" i="3"/>
  <c r="J286" i="3"/>
  <c r="J280" i="3"/>
  <c r="J276" i="3"/>
  <c r="J270" i="3"/>
  <c r="J252" i="3"/>
  <c r="J232" i="3"/>
  <c r="J216" i="3"/>
  <c r="J212" i="3"/>
  <c r="J198" i="3"/>
  <c r="N12" i="3"/>
  <c r="J307" i="3"/>
  <c r="J295" i="3"/>
  <c r="J287" i="3"/>
  <c r="J271" i="3"/>
  <c r="J259" i="3"/>
  <c r="J253" i="3"/>
  <c r="J233" i="3"/>
  <c r="J217" i="3"/>
  <c r="J207" i="3"/>
  <c r="J203" i="3"/>
  <c r="J199" i="3"/>
  <c r="J197" i="3"/>
  <c r="J311" i="3"/>
  <c r="J305" i="3"/>
  <c r="J289" i="3"/>
  <c r="J281" i="3"/>
  <c r="J277" i="3"/>
  <c r="J261" i="3"/>
  <c r="J255" i="3"/>
  <c r="J243" i="3"/>
  <c r="J235" i="3"/>
  <c r="J219" i="3"/>
  <c r="J213" i="3"/>
  <c r="J316" i="3"/>
  <c r="J315" i="3"/>
  <c r="J303" i="3"/>
  <c r="J273" i="3"/>
  <c r="J267" i="3"/>
  <c r="J245" i="3"/>
  <c r="J237" i="3"/>
  <c r="J227" i="3"/>
  <c r="J209" i="3"/>
  <c r="J191" i="3"/>
  <c r="J187" i="3"/>
  <c r="J183" i="3"/>
  <c r="J179" i="3"/>
  <c r="J175" i="3"/>
  <c r="J171" i="3"/>
  <c r="J167" i="3"/>
  <c r="J163" i="3"/>
  <c r="J159" i="3"/>
  <c r="J155" i="3"/>
  <c r="J151" i="3"/>
  <c r="J147" i="3"/>
  <c r="J143" i="3"/>
  <c r="J139" i="3"/>
  <c r="J135" i="3"/>
  <c r="J266" i="3"/>
  <c r="J186" i="3"/>
  <c r="J146" i="3"/>
  <c r="J208" i="3"/>
  <c r="J166" i="3"/>
  <c r="J200" i="3"/>
  <c r="J178" i="3"/>
  <c r="J134" i="3"/>
  <c r="J304" i="3"/>
  <c r="J218" i="3"/>
  <c r="J158" i="3"/>
  <c r="J236" i="3"/>
  <c r="J220" i="3"/>
  <c r="J190" i="3"/>
  <c r="J150" i="3"/>
  <c r="J138" i="3"/>
  <c r="J226" i="3"/>
  <c r="J170" i="3"/>
  <c r="J142" i="3"/>
  <c r="J256" i="3"/>
  <c r="J182" i="3"/>
  <c r="J154" i="3"/>
  <c r="J204" i="3"/>
  <c r="H195" i="3"/>
  <c r="J162" i="3"/>
  <c r="J174" i="3"/>
  <c r="J272" i="3"/>
  <c r="J244" i="3"/>
  <c r="H27" i="111"/>
  <c r="N18" i="111"/>
  <c r="L18" i="112"/>
  <c r="D27" i="112"/>
  <c r="N18" i="47"/>
  <c r="H27" i="47"/>
  <c r="X18" i="37"/>
  <c r="P27" i="37"/>
  <c r="P27" i="41"/>
  <c r="X18" i="41"/>
  <c r="X18" i="32"/>
  <c r="P27" i="32"/>
  <c r="T27" i="35"/>
  <c r="Z18" i="35"/>
  <c r="X18" i="29"/>
  <c r="P27" i="29"/>
  <c r="T27" i="34"/>
  <c r="Z18" i="34"/>
  <c r="D27" i="20"/>
  <c r="L18" i="20"/>
  <c r="P27" i="25"/>
  <c r="X18" i="25"/>
  <c r="T27" i="7"/>
  <c r="Z18" i="7"/>
  <c r="X18" i="4"/>
  <c r="P27" i="4"/>
  <c r="X18" i="46"/>
  <c r="P27" i="46"/>
  <c r="R67" i="107"/>
  <c r="R66" i="107"/>
  <c r="R59" i="107"/>
  <c r="R58" i="107"/>
  <c r="R47" i="107"/>
  <c r="R46" i="107"/>
  <c r="R38" i="107"/>
  <c r="R23" i="107"/>
  <c r="R21" i="107"/>
  <c r="R81" i="107"/>
  <c r="R34" i="107"/>
  <c r="R33" i="107"/>
  <c r="R29" i="107"/>
  <c r="R25" i="107"/>
  <c r="R83" i="107"/>
  <c r="R72" i="107"/>
  <c r="R68" i="107"/>
  <c r="R61" i="107"/>
  <c r="R60" i="107"/>
  <c r="R49" i="107"/>
  <c r="R48" i="107"/>
  <c r="R63" i="107"/>
  <c r="R62" i="107"/>
  <c r="R51" i="107"/>
  <c r="R50" i="107"/>
  <c r="R30" i="107"/>
  <c r="R26" i="107"/>
  <c r="R85" i="107"/>
  <c r="R74" i="107"/>
  <c r="R73" i="107"/>
  <c r="R69" i="107"/>
  <c r="R64" i="107"/>
  <c r="R53" i="107"/>
  <c r="R52" i="107"/>
  <c r="R41" i="107"/>
  <c r="R40" i="107"/>
  <c r="R36" i="107"/>
  <c r="R17" i="107"/>
  <c r="X12" i="107"/>
  <c r="R87" i="107"/>
  <c r="R76" i="107"/>
  <c r="R75" i="107"/>
  <c r="R90" i="107"/>
  <c r="R70" i="107"/>
  <c r="R55" i="107"/>
  <c r="R54" i="107"/>
  <c r="R43" i="107"/>
  <c r="R42" i="107"/>
  <c r="R18" i="107"/>
  <c r="R78" i="107"/>
  <c r="R77" i="107"/>
  <c r="R65" i="107"/>
  <c r="R37" i="107"/>
  <c r="R79" i="107"/>
  <c r="R71" i="107"/>
  <c r="R24" i="107"/>
  <c r="R19" i="107"/>
  <c r="R31" i="107"/>
  <c r="R56" i="107"/>
  <c r="R39" i="107"/>
  <c r="R45" i="107"/>
  <c r="R28" i="107"/>
  <c r="R57" i="107"/>
  <c r="R32" i="107"/>
  <c r="P21" i="107"/>
  <c r="R35" i="107"/>
  <c r="R44" i="107"/>
  <c r="R27" i="107"/>
  <c r="D88" i="105"/>
  <c r="L21" i="105"/>
  <c r="N21" i="105" s="1"/>
  <c r="T59" i="100"/>
  <c r="D84" i="97"/>
  <c r="P74" i="94"/>
  <c r="D30" i="85"/>
  <c r="L18" i="85"/>
  <c r="N18" i="85" s="1"/>
  <c r="X18" i="85"/>
  <c r="P30" i="85"/>
  <c r="P27" i="82"/>
  <c r="X21" i="82"/>
  <c r="Z21" i="82" s="1"/>
  <c r="N72" i="75"/>
  <c r="T104" i="76"/>
  <c r="L20" i="69"/>
  <c r="D64" i="69"/>
  <c r="H72" i="72"/>
  <c r="L72" i="72" s="1"/>
  <c r="N23" i="72"/>
  <c r="H48" i="61"/>
  <c r="N16" i="61"/>
  <c r="L16" i="59"/>
  <c r="D60" i="59"/>
  <c r="D50" i="60"/>
  <c r="L16" i="60"/>
  <c r="X95" i="63"/>
  <c r="L16" i="55"/>
  <c r="D33" i="55"/>
  <c r="V100" i="51"/>
  <c r="V78" i="51"/>
  <c r="V70" i="51"/>
  <c r="V99" i="51"/>
  <c r="V97" i="51"/>
  <c r="V89" i="51"/>
  <c r="V65" i="51"/>
  <c r="V61" i="51"/>
  <c r="V57" i="51"/>
  <c r="V106" i="51"/>
  <c r="V80" i="51"/>
  <c r="V56" i="51"/>
  <c r="V52" i="51"/>
  <c r="V48" i="51"/>
  <c r="V44" i="51"/>
  <c r="V40" i="51"/>
  <c r="V71" i="51"/>
  <c r="V67" i="51"/>
  <c r="T54" i="51"/>
  <c r="V90" i="51"/>
  <c r="V82" i="51"/>
  <c r="V66" i="51"/>
  <c r="V62" i="51"/>
  <c r="V58" i="51"/>
  <c r="V81" i="51"/>
  <c r="V73" i="51"/>
  <c r="V49" i="51"/>
  <c r="V45" i="51"/>
  <c r="V41" i="51"/>
  <c r="V92" i="51"/>
  <c r="V84" i="51"/>
  <c r="V72" i="51"/>
  <c r="V68" i="51"/>
  <c r="V91" i="51"/>
  <c r="V83" i="51"/>
  <c r="V75" i="51"/>
  <c r="V63" i="51"/>
  <c r="V59" i="51"/>
  <c r="V94" i="51"/>
  <c r="V86" i="51"/>
  <c r="V74" i="51"/>
  <c r="V50" i="51"/>
  <c r="V46" i="51"/>
  <c r="V42" i="51"/>
  <c r="V93" i="51"/>
  <c r="V85" i="51"/>
  <c r="V77" i="51"/>
  <c r="V69" i="51"/>
  <c r="V101" i="51"/>
  <c r="V95" i="51"/>
  <c r="V87" i="51"/>
  <c r="V79" i="51"/>
  <c r="V51" i="51"/>
  <c r="V47" i="51"/>
  <c r="V43" i="51"/>
  <c r="V39" i="51"/>
  <c r="V88" i="51"/>
  <c r="V64" i="51"/>
  <c r="V60" i="51"/>
  <c r="V102" i="51"/>
  <c r="V96" i="51"/>
  <c r="V76" i="51"/>
  <c r="H118" i="42"/>
  <c r="V103" i="27"/>
  <c r="V87" i="27"/>
  <c r="V79" i="27"/>
  <c r="V55" i="27"/>
  <c r="V51" i="27"/>
  <c r="V47" i="27"/>
  <c r="V43" i="27"/>
  <c r="V98" i="27"/>
  <c r="V78" i="27"/>
  <c r="V74" i="27"/>
  <c r="V105" i="27"/>
  <c r="V97" i="27"/>
  <c r="V89" i="27"/>
  <c r="V81" i="27"/>
  <c r="V69" i="27"/>
  <c r="V65" i="27"/>
  <c r="V100" i="27"/>
  <c r="V80" i="27"/>
  <c r="V56" i="27"/>
  <c r="V52" i="27"/>
  <c r="V48" i="27"/>
  <c r="V44" i="27"/>
  <c r="V107" i="27"/>
  <c r="V99" i="27"/>
  <c r="V91" i="27"/>
  <c r="V75" i="27"/>
  <c r="V106" i="27"/>
  <c r="V90" i="27"/>
  <c r="V82" i="27"/>
  <c r="V70" i="27"/>
  <c r="V66" i="27"/>
  <c r="V62" i="27"/>
  <c r="V115" i="27"/>
  <c r="V109" i="27"/>
  <c r="V101" i="27"/>
  <c r="V93" i="27"/>
  <c r="V61" i="27"/>
  <c r="V57" i="27"/>
  <c r="V53" i="27"/>
  <c r="V49" i="27"/>
  <c r="V45" i="27"/>
  <c r="V114" i="27"/>
  <c r="V108" i="27"/>
  <c r="V92" i="27"/>
  <c r="V84" i="27"/>
  <c r="V76" i="27"/>
  <c r="V72" i="27"/>
  <c r="T59" i="27"/>
  <c r="V59" i="27" s="1"/>
  <c r="V113" i="27"/>
  <c r="V95" i="27"/>
  <c r="V83" i="27"/>
  <c r="V71" i="27"/>
  <c r="V67" i="27"/>
  <c r="V63" i="27"/>
  <c r="V112" i="27"/>
  <c r="V110" i="27"/>
  <c r="V102" i="27"/>
  <c r="V94" i="27"/>
  <c r="V86" i="27"/>
  <c r="V54" i="27"/>
  <c r="V50" i="27"/>
  <c r="V46" i="27"/>
  <c r="V42" i="27"/>
  <c r="V96" i="27"/>
  <c r="V64" i="27"/>
  <c r="V104" i="27"/>
  <c r="V85" i="27"/>
  <c r="V73" i="27"/>
  <c r="V68" i="27"/>
  <c r="V88" i="27"/>
  <c r="V77" i="27"/>
  <c r="V119" i="27"/>
  <c r="R91" i="21"/>
  <c r="R90" i="21"/>
  <c r="R86" i="21"/>
  <c r="R34" i="21"/>
  <c r="R30" i="21"/>
  <c r="P26" i="21"/>
  <c r="R74" i="21"/>
  <c r="R73" i="21"/>
  <c r="R66" i="21"/>
  <c r="R65" i="21"/>
  <c r="R54" i="21"/>
  <c r="R53" i="21"/>
  <c r="R93" i="21"/>
  <c r="R92" i="21"/>
  <c r="R81" i="21"/>
  <c r="R80" i="21"/>
  <c r="R45" i="21"/>
  <c r="R44" i="21"/>
  <c r="R40" i="21"/>
  <c r="X12" i="21"/>
  <c r="Z12" i="21" s="1"/>
  <c r="R87" i="21"/>
  <c r="R76" i="21"/>
  <c r="R75" i="21"/>
  <c r="R68" i="21"/>
  <c r="R67" i="21"/>
  <c r="R56" i="21"/>
  <c r="R55" i="21"/>
  <c r="R35" i="21"/>
  <c r="R31" i="21"/>
  <c r="R95" i="21"/>
  <c r="R94" i="21"/>
  <c r="R83" i="21"/>
  <c r="R82" i="21"/>
  <c r="R47" i="21"/>
  <c r="R46" i="21"/>
  <c r="R77" i="21"/>
  <c r="R70" i="21"/>
  <c r="R69" i="21"/>
  <c r="R58" i="21"/>
  <c r="R57" i="21"/>
  <c r="R41" i="21"/>
  <c r="R22" i="21"/>
  <c r="R96" i="21"/>
  <c r="R88" i="21"/>
  <c r="R84" i="21"/>
  <c r="R49" i="21"/>
  <c r="R48" i="21"/>
  <c r="R36" i="21"/>
  <c r="R32" i="21"/>
  <c r="R98" i="21"/>
  <c r="R71" i="21"/>
  <c r="R60" i="21"/>
  <c r="R59" i="21"/>
  <c r="R23" i="21"/>
  <c r="R78" i="21"/>
  <c r="R51" i="21"/>
  <c r="R50" i="21"/>
  <c r="R42" i="21"/>
  <c r="R89" i="21"/>
  <c r="R85" i="21"/>
  <c r="R62" i="21"/>
  <c r="R61" i="21"/>
  <c r="R38" i="21"/>
  <c r="R37" i="21"/>
  <c r="R33" i="21"/>
  <c r="R79" i="21"/>
  <c r="R64" i="21"/>
  <c r="R63" i="21"/>
  <c r="R43" i="21"/>
  <c r="R39" i="21"/>
  <c r="R28" i="21"/>
  <c r="R102" i="21"/>
  <c r="R52" i="21"/>
  <c r="R29" i="21"/>
  <c r="R24" i="21"/>
  <c r="R72" i="21"/>
  <c r="D260" i="15"/>
  <c r="P91" i="9"/>
  <c r="X16" i="9"/>
  <c r="D91" i="9"/>
  <c r="L16" i="9"/>
  <c r="R257" i="12"/>
  <c r="R242" i="12"/>
  <c r="R238" i="12"/>
  <c r="R226" i="12"/>
  <c r="R211" i="12"/>
  <c r="R210" i="12"/>
  <c r="R174" i="12"/>
  <c r="R170" i="12"/>
  <c r="R250" i="12"/>
  <c r="R249" i="12"/>
  <c r="R221" i="12"/>
  <c r="R202" i="12"/>
  <c r="R201" i="12"/>
  <c r="R193" i="12"/>
  <c r="R166" i="12"/>
  <c r="R161" i="12"/>
  <c r="R157" i="12"/>
  <c r="R153" i="12"/>
  <c r="R149" i="12"/>
  <c r="R145" i="12"/>
  <c r="R141" i="12"/>
  <c r="R137" i="12"/>
  <c r="R133" i="12"/>
  <c r="R129" i="12"/>
  <c r="R232" i="12"/>
  <c r="R213" i="12"/>
  <c r="R212" i="12"/>
  <c r="R185" i="12"/>
  <c r="R184" i="12"/>
  <c r="R180" i="12"/>
  <c r="R165" i="12"/>
  <c r="R109" i="12"/>
  <c r="X12" i="12"/>
  <c r="R266" i="12"/>
  <c r="R251" i="12"/>
  <c r="R243" i="12"/>
  <c r="R239" i="12"/>
  <c r="R228" i="12"/>
  <c r="R227" i="12"/>
  <c r="R265" i="12"/>
  <c r="R222" i="12"/>
  <c r="R215" i="12"/>
  <c r="R214" i="12"/>
  <c r="R195" i="12"/>
  <c r="R194" i="12"/>
  <c r="R187" i="12"/>
  <c r="R186" i="12"/>
  <c r="R158" i="12"/>
  <c r="R154" i="12"/>
  <c r="R150" i="12"/>
  <c r="R146" i="12"/>
  <c r="R142" i="12"/>
  <c r="R138" i="12"/>
  <c r="R134" i="12"/>
  <c r="R130" i="12"/>
  <c r="R126" i="12"/>
  <c r="R122" i="12"/>
  <c r="R118" i="12"/>
  <c r="R114" i="12"/>
  <c r="R110" i="12"/>
  <c r="R264" i="12"/>
  <c r="R234" i="12"/>
  <c r="R233" i="12"/>
  <c r="R229" i="12"/>
  <c r="R205" i="12"/>
  <c r="R181" i="12"/>
  <c r="R270" i="12"/>
  <c r="R263" i="12"/>
  <c r="R252" i="12"/>
  <c r="R245" i="12"/>
  <c r="R244" i="12"/>
  <c r="R240" i="12"/>
  <c r="R217" i="12"/>
  <c r="R216" i="12"/>
  <c r="R196" i="12"/>
  <c r="R188" i="12"/>
  <c r="R177" i="12"/>
  <c r="R176" i="12"/>
  <c r="R172" i="12"/>
  <c r="R168" i="12"/>
  <c r="R262" i="12"/>
  <c r="R235" i="12"/>
  <c r="R224" i="12"/>
  <c r="R223" i="12"/>
  <c r="R159" i="12"/>
  <c r="R155" i="12"/>
  <c r="R151" i="12"/>
  <c r="R147" i="12"/>
  <c r="R143" i="12"/>
  <c r="R139" i="12"/>
  <c r="R135" i="12"/>
  <c r="R131" i="12"/>
  <c r="R127" i="12"/>
  <c r="R123" i="12"/>
  <c r="R119" i="12"/>
  <c r="R115" i="12"/>
  <c r="R111" i="12"/>
  <c r="R261" i="12"/>
  <c r="R246" i="12"/>
  <c r="R230" i="12"/>
  <c r="R219" i="12"/>
  <c r="R218" i="12"/>
  <c r="R207" i="12"/>
  <c r="R206" i="12"/>
  <c r="R182" i="12"/>
  <c r="R178" i="12"/>
  <c r="R260" i="12"/>
  <c r="R254" i="12"/>
  <c r="R253" i="12"/>
  <c r="R241" i="12"/>
  <c r="R225" i="12"/>
  <c r="R198" i="12"/>
  <c r="R197" i="12"/>
  <c r="R190" i="12"/>
  <c r="R189" i="12"/>
  <c r="R173" i="12"/>
  <c r="R169" i="12"/>
  <c r="R258" i="12"/>
  <c r="R255" i="12"/>
  <c r="R248" i="12"/>
  <c r="R247" i="12"/>
  <c r="R231" i="12"/>
  <c r="R200" i="12"/>
  <c r="R199" i="12"/>
  <c r="R192" i="12"/>
  <c r="R191" i="12"/>
  <c r="R183" i="12"/>
  <c r="R179" i="12"/>
  <c r="R209" i="12"/>
  <c r="R132" i="12"/>
  <c r="R203" i="12"/>
  <c r="R204" i="12"/>
  <c r="R144" i="12"/>
  <c r="R112" i="12"/>
  <c r="R237" i="12"/>
  <c r="R160" i="12"/>
  <c r="R117" i="12"/>
  <c r="R175" i="12"/>
  <c r="R156" i="12"/>
  <c r="R120" i="12"/>
  <c r="R116" i="12"/>
  <c r="R148" i="12"/>
  <c r="R136" i="12"/>
  <c r="R124" i="12"/>
  <c r="R259" i="12"/>
  <c r="R208" i="12"/>
  <c r="R167" i="12"/>
  <c r="R128" i="12"/>
  <c r="R113" i="12"/>
  <c r="R236" i="12"/>
  <c r="R140" i="12"/>
  <c r="R121" i="12"/>
  <c r="R220" i="12"/>
  <c r="R171" i="12"/>
  <c r="P163" i="12"/>
  <c r="R163" i="12" s="1"/>
  <c r="R125" i="12"/>
  <c r="R152" i="12"/>
  <c r="X18" i="112"/>
  <c r="P27" i="112"/>
  <c r="X18" i="111"/>
  <c r="P27" i="111"/>
  <c r="T27" i="53"/>
  <c r="Z18" i="53"/>
  <c r="L18" i="47"/>
  <c r="D27" i="47"/>
  <c r="P27" i="40"/>
  <c r="X18" i="40"/>
  <c r="H27" i="35"/>
  <c r="N18" i="35"/>
  <c r="H27" i="31"/>
  <c r="N18" i="31"/>
  <c r="L18" i="23"/>
  <c r="D27" i="23"/>
  <c r="X18" i="17"/>
  <c r="P27" i="17"/>
  <c r="L18" i="16"/>
  <c r="D27" i="16"/>
  <c r="T27" i="25"/>
  <c r="Z18" i="25"/>
  <c r="L18" i="14"/>
  <c r="D27" i="14"/>
  <c r="H27" i="11"/>
  <c r="N18" i="11"/>
  <c r="H27" i="14"/>
  <c r="N18" i="14"/>
  <c r="T27" i="4"/>
  <c r="Z18" i="4"/>
  <c r="H27" i="4"/>
  <c r="N18" i="4"/>
  <c r="T84" i="97"/>
  <c r="Z87" i="33"/>
  <c r="T27" i="112"/>
  <c r="Z18" i="112"/>
  <c r="V80" i="103"/>
  <c r="V72" i="103"/>
  <c r="V68" i="103"/>
  <c r="V79" i="103"/>
  <c r="V63" i="103"/>
  <c r="V87" i="103"/>
  <c r="V65" i="103"/>
  <c r="V71" i="103"/>
  <c r="V52" i="103"/>
  <c r="V40" i="103"/>
  <c r="V36" i="103"/>
  <c r="V83" i="103"/>
  <c r="V55" i="103"/>
  <c r="V43" i="103"/>
  <c r="V31" i="103"/>
  <c r="V27" i="103"/>
  <c r="V61" i="103"/>
  <c r="V54" i="103"/>
  <c r="V42" i="103"/>
  <c r="V18" i="103"/>
  <c r="V78" i="103"/>
  <c r="V77" i="103"/>
  <c r="V74" i="103"/>
  <c r="V69" i="103"/>
  <c r="V57" i="103"/>
  <c r="V45" i="103"/>
  <c r="V37" i="103"/>
  <c r="V56" i="103"/>
  <c r="V44" i="103"/>
  <c r="V32" i="103"/>
  <c r="V28" i="103"/>
  <c r="V24" i="103"/>
  <c r="V67" i="103"/>
  <c r="V66" i="103"/>
  <c r="V47" i="103"/>
  <c r="V23" i="103"/>
  <c r="V19" i="103"/>
  <c r="V62" i="103"/>
  <c r="V58" i="103"/>
  <c r="V46" i="103"/>
  <c r="V38" i="103"/>
  <c r="V34" i="103"/>
  <c r="T21" i="103"/>
  <c r="V21" i="103" s="1"/>
  <c r="V75" i="103"/>
  <c r="V59" i="103"/>
  <c r="V49" i="103"/>
  <c r="V33" i="103"/>
  <c r="V29" i="103"/>
  <c r="V25" i="103"/>
  <c r="V70" i="103"/>
  <c r="V48" i="103"/>
  <c r="V76" i="103"/>
  <c r="V51" i="103"/>
  <c r="V41" i="103"/>
  <c r="V26" i="103"/>
  <c r="V39" i="103"/>
  <c r="V30" i="103"/>
  <c r="V50" i="103"/>
  <c r="V17" i="103"/>
  <c r="V64" i="103"/>
  <c r="V60" i="103"/>
  <c r="V73" i="103"/>
  <c r="V53" i="103"/>
  <c r="V35" i="103"/>
  <c r="V81" i="103"/>
  <c r="T50" i="99"/>
  <c r="P70" i="92"/>
  <c r="L20" i="94"/>
  <c r="V20" i="87"/>
  <c r="L99" i="76"/>
  <c r="P72" i="72"/>
  <c r="X23" i="72"/>
  <c r="X58" i="70"/>
  <c r="P116" i="70"/>
  <c r="D76" i="72"/>
  <c r="H58" i="67"/>
  <c r="N16" i="67"/>
  <c r="P50" i="60"/>
  <c r="X16" i="60"/>
  <c r="J101" i="68"/>
  <c r="J85" i="68"/>
  <c r="J73" i="68"/>
  <c r="J69" i="68"/>
  <c r="J67" i="68"/>
  <c r="J86" i="68"/>
  <c r="J95" i="68"/>
  <c r="J102" i="68"/>
  <c r="J96" i="68"/>
  <c r="J74" i="68"/>
  <c r="J70" i="68"/>
  <c r="J103" i="68"/>
  <c r="J97" i="68"/>
  <c r="J61" i="68"/>
  <c r="J57" i="68"/>
  <c r="J53" i="68"/>
  <c r="J49" i="68"/>
  <c r="J45" i="68"/>
  <c r="J104" i="68"/>
  <c r="J88" i="68"/>
  <c r="J80" i="68"/>
  <c r="J105" i="68"/>
  <c r="J89" i="68"/>
  <c r="J75" i="68"/>
  <c r="J71" i="68"/>
  <c r="J106" i="68"/>
  <c r="J98" i="68"/>
  <c r="J90" i="68"/>
  <c r="J99" i="68"/>
  <c r="J91" i="68"/>
  <c r="J108" i="68"/>
  <c r="J100" i="68"/>
  <c r="J92" i="68"/>
  <c r="J82" i="68"/>
  <c r="J76" i="68"/>
  <c r="J72" i="68"/>
  <c r="J112" i="68"/>
  <c r="J94" i="68"/>
  <c r="J84" i="68"/>
  <c r="J78" i="68"/>
  <c r="J68" i="68"/>
  <c r="J52" i="68"/>
  <c r="J44" i="68"/>
  <c r="J60" i="68"/>
  <c r="J47" i="68"/>
  <c r="J50" i="68"/>
  <c r="J55" i="68"/>
  <c r="J63" i="68"/>
  <c r="J58" i="68"/>
  <c r="J48" i="68"/>
  <c r="J77" i="68"/>
  <c r="J93" i="68"/>
  <c r="J56" i="68"/>
  <c r="J46" i="68"/>
  <c r="J79" i="68"/>
  <c r="H65" i="68"/>
  <c r="J51" i="68"/>
  <c r="J83" i="68"/>
  <c r="J81" i="68"/>
  <c r="J59" i="68"/>
  <c r="J54" i="68"/>
  <c r="J87" i="68"/>
  <c r="J62" i="68"/>
  <c r="L16" i="63"/>
  <c r="D100" i="63"/>
  <c r="N16" i="60"/>
  <c r="H50" i="60"/>
  <c r="X16" i="54"/>
  <c r="P22" i="54"/>
  <c r="L60" i="48"/>
  <c r="N60" i="48" s="1"/>
  <c r="D95" i="33"/>
  <c r="L36" i="33"/>
  <c r="D122" i="36"/>
  <c r="F117" i="36"/>
  <c r="P122" i="36"/>
  <c r="X28" i="36"/>
  <c r="Z28" i="36" s="1"/>
  <c r="R109" i="24"/>
  <c r="R117" i="24"/>
  <c r="R116" i="24"/>
  <c r="R101" i="24"/>
  <c r="R92" i="24"/>
  <c r="R91" i="24"/>
  <c r="R119" i="24"/>
  <c r="R118" i="24"/>
  <c r="R111" i="24"/>
  <c r="R110" i="24"/>
  <c r="R103" i="24"/>
  <c r="R102" i="24"/>
  <c r="R120" i="24"/>
  <c r="R113" i="24"/>
  <c r="R112" i="24"/>
  <c r="R105" i="24"/>
  <c r="R104" i="24"/>
  <c r="R114" i="24"/>
  <c r="R106" i="24"/>
  <c r="R126" i="24"/>
  <c r="R94" i="24"/>
  <c r="R89" i="24"/>
  <c r="R115" i="24"/>
  <c r="R107" i="24"/>
  <c r="R84" i="24"/>
  <c r="R80" i="24"/>
  <c r="R98" i="24"/>
  <c r="R71" i="24"/>
  <c r="R67" i="24"/>
  <c r="R63" i="24"/>
  <c r="R59" i="24"/>
  <c r="R55" i="24"/>
  <c r="R51" i="24"/>
  <c r="R122" i="24"/>
  <c r="R90" i="24"/>
  <c r="R99" i="24"/>
  <c r="R95" i="24"/>
  <c r="R86" i="24"/>
  <c r="R85" i="24"/>
  <c r="R81" i="24"/>
  <c r="R96" i="24"/>
  <c r="R77" i="24"/>
  <c r="R72" i="24"/>
  <c r="R68" i="24"/>
  <c r="R64" i="24"/>
  <c r="R60" i="24"/>
  <c r="R56" i="24"/>
  <c r="R52" i="24"/>
  <c r="R108" i="24"/>
  <c r="R87" i="24"/>
  <c r="R76" i="24"/>
  <c r="R74" i="24"/>
  <c r="R82" i="24"/>
  <c r="R78" i="24"/>
  <c r="P74" i="24"/>
  <c r="R97" i="24"/>
  <c r="R69" i="24"/>
  <c r="R65" i="24"/>
  <c r="R61" i="24"/>
  <c r="R57" i="24"/>
  <c r="R53" i="24"/>
  <c r="R88" i="24"/>
  <c r="R49" i="24"/>
  <c r="X12" i="24"/>
  <c r="Z12" i="24" s="1"/>
  <c r="R93" i="24"/>
  <c r="R70" i="24"/>
  <c r="R66" i="24"/>
  <c r="R62" i="24"/>
  <c r="R58" i="24"/>
  <c r="R54" i="24"/>
  <c r="R50" i="24"/>
  <c r="R83" i="24"/>
  <c r="R100" i="24"/>
  <c r="R79" i="24"/>
  <c r="Z249" i="15"/>
  <c r="R256" i="15"/>
  <c r="R226" i="15"/>
  <c r="R225" i="15"/>
  <c r="R206" i="15"/>
  <c r="R205" i="15"/>
  <c r="R169" i="15"/>
  <c r="R165" i="15"/>
  <c r="R262" i="15"/>
  <c r="R255" i="15"/>
  <c r="R244" i="15"/>
  <c r="R237" i="15"/>
  <c r="R236" i="15"/>
  <c r="R232" i="15"/>
  <c r="R221" i="15"/>
  <c r="R220" i="15"/>
  <c r="R197" i="15"/>
  <c r="R196" i="15"/>
  <c r="R188" i="15"/>
  <c r="R161" i="15"/>
  <c r="R156" i="15"/>
  <c r="R152" i="15"/>
  <c r="R148" i="15"/>
  <c r="R144" i="15"/>
  <c r="R140" i="15"/>
  <c r="R136" i="15"/>
  <c r="R132" i="15"/>
  <c r="R128" i="15"/>
  <c r="R124" i="15"/>
  <c r="R120" i="15"/>
  <c r="R116" i="15"/>
  <c r="R112" i="15"/>
  <c r="R108" i="15"/>
  <c r="R254" i="15"/>
  <c r="R227" i="15"/>
  <c r="R215" i="15"/>
  <c r="R208" i="15"/>
  <c r="R207" i="15"/>
  <c r="R180" i="15"/>
  <c r="R179" i="15"/>
  <c r="R175" i="15"/>
  <c r="R160" i="15"/>
  <c r="R158" i="15"/>
  <c r="R253" i="15"/>
  <c r="R238" i="15"/>
  <c r="R222" i="15"/>
  <c r="R199" i="15"/>
  <c r="R198" i="15"/>
  <c r="R170" i="15"/>
  <c r="R166" i="15"/>
  <c r="R162" i="15"/>
  <c r="P158" i="15"/>
  <c r="R252" i="15"/>
  <c r="R246" i="15"/>
  <c r="R245" i="15"/>
  <c r="R233" i="15"/>
  <c r="R210" i="15"/>
  <c r="R209" i="15"/>
  <c r="R190" i="15"/>
  <c r="R189" i="15"/>
  <c r="R182" i="15"/>
  <c r="R181" i="15"/>
  <c r="R153" i="15"/>
  <c r="R149" i="15"/>
  <c r="R145" i="15"/>
  <c r="R141" i="15"/>
  <c r="R137" i="15"/>
  <c r="R133" i="15"/>
  <c r="R129" i="15"/>
  <c r="R125" i="15"/>
  <c r="R121" i="15"/>
  <c r="R117" i="15"/>
  <c r="R113" i="15"/>
  <c r="R109" i="15"/>
  <c r="R251" i="15"/>
  <c r="R229" i="15"/>
  <c r="R228" i="15"/>
  <c r="R217" i="15"/>
  <c r="R216" i="15"/>
  <c r="R200" i="15"/>
  <c r="R176" i="15"/>
  <c r="X12" i="15"/>
  <c r="Z12" i="15" s="1"/>
  <c r="R250" i="15"/>
  <c r="R247" i="15"/>
  <c r="R240" i="15"/>
  <c r="R239" i="15"/>
  <c r="R223" i="15"/>
  <c r="R212" i="15"/>
  <c r="R211" i="15"/>
  <c r="R191" i="15"/>
  <c r="R183" i="15"/>
  <c r="R172" i="15"/>
  <c r="R171" i="15"/>
  <c r="R167" i="15"/>
  <c r="R163" i="15"/>
  <c r="R249" i="15"/>
  <c r="R234" i="15"/>
  <c r="R230" i="15"/>
  <c r="R218" i="15"/>
  <c r="R154" i="15"/>
  <c r="R150" i="15"/>
  <c r="R146" i="15"/>
  <c r="R142" i="15"/>
  <c r="R138" i="15"/>
  <c r="R134" i="15"/>
  <c r="R130" i="15"/>
  <c r="R126" i="15"/>
  <c r="R122" i="15"/>
  <c r="R118" i="15"/>
  <c r="R114" i="15"/>
  <c r="R110" i="15"/>
  <c r="R242" i="15"/>
  <c r="R241" i="15"/>
  <c r="R213" i="15"/>
  <c r="R202" i="15"/>
  <c r="R201" i="15"/>
  <c r="R177" i="15"/>
  <c r="R173" i="15"/>
  <c r="R106" i="15"/>
  <c r="R224" i="15"/>
  <c r="R193" i="15"/>
  <c r="R192" i="15"/>
  <c r="R185" i="15"/>
  <c r="R184" i="15"/>
  <c r="R168" i="15"/>
  <c r="R164" i="15"/>
  <c r="R257" i="15"/>
  <c r="R214" i="15"/>
  <c r="R195" i="15"/>
  <c r="R194" i="15"/>
  <c r="R187" i="15"/>
  <c r="R186" i="15"/>
  <c r="R178" i="15"/>
  <c r="R174" i="15"/>
  <c r="R139" i="15"/>
  <c r="R131" i="15"/>
  <c r="R123" i="15"/>
  <c r="R115" i="15"/>
  <c r="R219" i="15"/>
  <c r="R151" i="15"/>
  <c r="R107" i="15"/>
  <c r="R143" i="15"/>
  <c r="R231" i="15"/>
  <c r="R135" i="15"/>
  <c r="R258" i="15"/>
  <c r="R243" i="15"/>
  <c r="R203" i="15"/>
  <c r="R127" i="15"/>
  <c r="R119" i="15"/>
  <c r="R155" i="15"/>
  <c r="R235" i="15"/>
  <c r="R204" i="15"/>
  <c r="R147" i="15"/>
  <c r="R111" i="15"/>
  <c r="R298" i="3"/>
  <c r="R292" i="3"/>
  <c r="R291" i="3"/>
  <c r="R279" i="3"/>
  <c r="R275" i="3"/>
  <c r="R264" i="3"/>
  <c r="R263" i="3"/>
  <c r="R240" i="3"/>
  <c r="R239" i="3"/>
  <c r="R224" i="3"/>
  <c r="R223" i="3"/>
  <c r="R215" i="3"/>
  <c r="R211" i="3"/>
  <c r="R297" i="3"/>
  <c r="R258" i="3"/>
  <c r="R251" i="3"/>
  <c r="R250" i="3"/>
  <c r="R231" i="3"/>
  <c r="R230" i="3"/>
  <c r="R206" i="3"/>
  <c r="R202" i="3"/>
  <c r="R267" i="3"/>
  <c r="R296" i="3"/>
  <c r="R293" i="3"/>
  <c r="R286" i="3"/>
  <c r="R285" i="3"/>
  <c r="R270" i="3"/>
  <c r="R269" i="3"/>
  <c r="R265" i="3"/>
  <c r="R241" i="3"/>
  <c r="R225" i="3"/>
  <c r="R198" i="3"/>
  <c r="R193" i="3"/>
  <c r="R189" i="3"/>
  <c r="R185" i="3"/>
  <c r="R181" i="3"/>
  <c r="R177" i="3"/>
  <c r="R173" i="3"/>
  <c r="R169" i="3"/>
  <c r="R165" i="3"/>
  <c r="R161" i="3"/>
  <c r="R157" i="3"/>
  <c r="R153" i="3"/>
  <c r="R149" i="3"/>
  <c r="R145" i="3"/>
  <c r="R141" i="3"/>
  <c r="R137" i="3"/>
  <c r="R307" i="3"/>
  <c r="R295" i="3"/>
  <c r="R280" i="3"/>
  <c r="R276" i="3"/>
  <c r="R253" i="3"/>
  <c r="R252" i="3"/>
  <c r="R233" i="3"/>
  <c r="R232" i="3"/>
  <c r="R217" i="3"/>
  <c r="R216" i="3"/>
  <c r="R212" i="3"/>
  <c r="R197" i="3"/>
  <c r="R195" i="3"/>
  <c r="X12" i="3"/>
  <c r="R306" i="3"/>
  <c r="R288" i="3"/>
  <c r="R287" i="3"/>
  <c r="R271" i="3"/>
  <c r="R260" i="3"/>
  <c r="R259" i="3"/>
  <c r="R207" i="3"/>
  <c r="R203" i="3"/>
  <c r="R199" i="3"/>
  <c r="P195" i="3"/>
  <c r="R305" i="3"/>
  <c r="R266" i="3"/>
  <c r="R255" i="3"/>
  <c r="R254" i="3"/>
  <c r="R243" i="3"/>
  <c r="R242" i="3"/>
  <c r="R235" i="3"/>
  <c r="R234" i="3"/>
  <c r="R226" i="3"/>
  <c r="R219" i="3"/>
  <c r="R218" i="3"/>
  <c r="R190" i="3"/>
  <c r="R186" i="3"/>
  <c r="R182" i="3"/>
  <c r="R178" i="3"/>
  <c r="R174" i="3"/>
  <c r="R170" i="3"/>
  <c r="R166" i="3"/>
  <c r="R162" i="3"/>
  <c r="R158" i="3"/>
  <c r="R154" i="3"/>
  <c r="R150" i="3"/>
  <c r="R146" i="3"/>
  <c r="R142" i="3"/>
  <c r="R138" i="3"/>
  <c r="R302" i="3"/>
  <c r="R311" i="3"/>
  <c r="R304" i="3"/>
  <c r="R289" i="3"/>
  <c r="R281" i="3"/>
  <c r="R277" i="3"/>
  <c r="R261" i="3"/>
  <c r="R213" i="3"/>
  <c r="R134" i="3"/>
  <c r="R316" i="3"/>
  <c r="R315" i="3"/>
  <c r="R303" i="3"/>
  <c r="R273" i="3"/>
  <c r="R272" i="3"/>
  <c r="R256" i="3"/>
  <c r="R245" i="3"/>
  <c r="R244" i="3"/>
  <c r="R237" i="3"/>
  <c r="R236" i="3"/>
  <c r="R220" i="3"/>
  <c r="R209" i="3"/>
  <c r="R208" i="3"/>
  <c r="R204" i="3"/>
  <c r="R200" i="3"/>
  <c r="R301" i="3"/>
  <c r="R290" i="3"/>
  <c r="R283" i="3"/>
  <c r="R282" i="3"/>
  <c r="R278" i="3"/>
  <c r="R274" i="3"/>
  <c r="R262" i="3"/>
  <c r="R247" i="3"/>
  <c r="R246" i="3"/>
  <c r="R238" i="3"/>
  <c r="R214" i="3"/>
  <c r="R210" i="3"/>
  <c r="R299" i="3"/>
  <c r="R284" i="3"/>
  <c r="R268" i="3"/>
  <c r="R249" i="3"/>
  <c r="R248" i="3"/>
  <c r="R192" i="3"/>
  <c r="R188" i="3"/>
  <c r="R184" i="3"/>
  <c r="R180" i="3"/>
  <c r="R176" i="3"/>
  <c r="R172" i="3"/>
  <c r="R168" i="3"/>
  <c r="R164" i="3"/>
  <c r="R160" i="3"/>
  <c r="R156" i="3"/>
  <c r="R152" i="3"/>
  <c r="R148" i="3"/>
  <c r="R144" i="3"/>
  <c r="R140" i="3"/>
  <c r="R136" i="3"/>
  <c r="R257" i="3"/>
  <c r="R151" i="3"/>
  <c r="R139" i="3"/>
  <c r="R229" i="3"/>
  <c r="R227" i="3"/>
  <c r="R205" i="3"/>
  <c r="R183" i="3"/>
  <c r="R143" i="3"/>
  <c r="R191" i="3"/>
  <c r="R159" i="3"/>
  <c r="R300" i="3"/>
  <c r="R222" i="3"/>
  <c r="R163" i="3"/>
  <c r="R175" i="3"/>
  <c r="R228" i="3"/>
  <c r="R155" i="3"/>
  <c r="R187" i="3"/>
  <c r="R147" i="3"/>
  <c r="R135" i="3"/>
  <c r="R201" i="3"/>
  <c r="R167" i="3"/>
  <c r="R221" i="3"/>
  <c r="R179" i="3"/>
  <c r="R171" i="3"/>
  <c r="H27" i="50"/>
  <c r="N18" i="50"/>
  <c r="T27" i="52"/>
  <c r="Z18" i="52"/>
  <c r="H27" i="52"/>
  <c r="N18" i="52"/>
  <c r="X18" i="43"/>
  <c r="P27" i="43"/>
  <c r="H27" i="41"/>
  <c r="N18" i="41"/>
  <c r="H27" i="26"/>
  <c r="N18" i="26"/>
  <c r="H27" i="25"/>
  <c r="N18" i="25"/>
  <c r="L18" i="25"/>
  <c r="D27" i="25"/>
  <c r="H27" i="28"/>
  <c r="N18" i="28"/>
  <c r="X18" i="19"/>
  <c r="P27" i="19"/>
  <c r="H27" i="17"/>
  <c r="N18" i="17"/>
  <c r="L18" i="13"/>
  <c r="D27" i="13"/>
  <c r="T27" i="13"/>
  <c r="Z18" i="13"/>
  <c r="H27" i="10"/>
  <c r="N18" i="10"/>
  <c r="D27" i="7"/>
  <c r="L18" i="7"/>
  <c r="D104" i="76"/>
  <c r="H63" i="109"/>
  <c r="J17" i="109"/>
  <c r="N17" i="109"/>
  <c r="V85" i="107"/>
  <c r="V61" i="107"/>
  <c r="V49" i="107"/>
  <c r="V33" i="107"/>
  <c r="V29" i="107"/>
  <c r="V25" i="107"/>
  <c r="V72" i="107"/>
  <c r="V68" i="107"/>
  <c r="V60" i="107"/>
  <c r="V48" i="107"/>
  <c r="V63" i="107"/>
  <c r="V51" i="107"/>
  <c r="V39" i="107"/>
  <c r="V35" i="107"/>
  <c r="V74" i="107"/>
  <c r="V62" i="107"/>
  <c r="V50" i="107"/>
  <c r="V73" i="107"/>
  <c r="V69" i="107"/>
  <c r="V53" i="107"/>
  <c r="V41" i="107"/>
  <c r="V17" i="107"/>
  <c r="V76" i="107"/>
  <c r="V64" i="107"/>
  <c r="V52" i="107"/>
  <c r="V40" i="107"/>
  <c r="V36" i="107"/>
  <c r="Z12" i="107"/>
  <c r="V75" i="107"/>
  <c r="V55" i="107"/>
  <c r="V43" i="107"/>
  <c r="V31" i="107"/>
  <c r="V27" i="107"/>
  <c r="V78" i="107"/>
  <c r="V70" i="107"/>
  <c r="V54" i="107"/>
  <c r="V42" i="107"/>
  <c r="V77" i="107"/>
  <c r="V65" i="107"/>
  <c r="V57" i="107"/>
  <c r="V45" i="107"/>
  <c r="V37" i="107"/>
  <c r="V56" i="107"/>
  <c r="V44" i="107"/>
  <c r="V81" i="107"/>
  <c r="V66" i="107"/>
  <c r="V58" i="107"/>
  <c r="V46" i="107"/>
  <c r="V38" i="107"/>
  <c r="V34" i="107"/>
  <c r="T21" i="107"/>
  <c r="V67" i="107"/>
  <c r="V19" i="107"/>
  <c r="V24" i="107"/>
  <c r="V47" i="107"/>
  <c r="V28" i="107"/>
  <c r="V26" i="107"/>
  <c r="V32" i="107"/>
  <c r="V30" i="107"/>
  <c r="V59" i="107"/>
  <c r="V79" i="107"/>
  <c r="V18" i="107"/>
  <c r="V23" i="107"/>
  <c r="V71" i="107"/>
  <c r="H46" i="102"/>
  <c r="N16" i="102"/>
  <c r="P48" i="104"/>
  <c r="J72" i="97"/>
  <c r="J54" i="97"/>
  <c r="J46" i="97"/>
  <c r="J73" i="97"/>
  <c r="J61" i="97"/>
  <c r="J75" i="97"/>
  <c r="J47" i="97"/>
  <c r="J77" i="97"/>
  <c r="J69" i="97"/>
  <c r="J63" i="97"/>
  <c r="J57" i="97"/>
  <c r="J49" i="97"/>
  <c r="J39" i="97"/>
  <c r="J55" i="97"/>
  <c r="J74" i="97"/>
  <c r="J62" i="97"/>
  <c r="J59" i="97"/>
  <c r="J43" i="97"/>
  <c r="J30" i="97"/>
  <c r="J26" i="97"/>
  <c r="J16" i="97"/>
  <c r="J68" i="97"/>
  <c r="J52" i="97"/>
  <c r="J38" i="97"/>
  <c r="J35" i="97"/>
  <c r="J48" i="97"/>
  <c r="N12" i="97"/>
  <c r="J71" i="97"/>
  <c r="J66" i="97"/>
  <c r="J56" i="97"/>
  <c r="J53" i="97"/>
  <c r="J44" i="97"/>
  <c r="J31" i="97"/>
  <c r="J27" i="97"/>
  <c r="J60" i="97"/>
  <c r="J45" i="97"/>
  <c r="J32" i="97"/>
  <c r="J18" i="97"/>
  <c r="J36" i="97"/>
  <c r="J33" i="97"/>
  <c r="J28" i="97"/>
  <c r="J24" i="97"/>
  <c r="J22" i="97"/>
  <c r="J64" i="97"/>
  <c r="J50" i="97"/>
  <c r="J82" i="97"/>
  <c r="J67" i="97"/>
  <c r="J40" i="97"/>
  <c r="J78" i="97"/>
  <c r="J65" i="97"/>
  <c r="J34" i="97"/>
  <c r="J17" i="97"/>
  <c r="J70" i="97"/>
  <c r="J58" i="97"/>
  <c r="J41" i="97"/>
  <c r="J25" i="97"/>
  <c r="J51" i="97"/>
  <c r="J29" i="97"/>
  <c r="J23" i="97"/>
  <c r="J37" i="97"/>
  <c r="J42" i="97"/>
  <c r="H20" i="97"/>
  <c r="J20" i="97" s="1"/>
  <c r="D78" i="94"/>
  <c r="H74" i="92"/>
  <c r="J51" i="79"/>
  <c r="J43" i="79"/>
  <c r="J35" i="79"/>
  <c r="J53" i="79"/>
  <c r="J45" i="79"/>
  <c r="J17" i="79"/>
  <c r="J70" i="79"/>
  <c r="J46" i="79"/>
  <c r="J36" i="79"/>
  <c r="N12" i="79"/>
  <c r="J59" i="79"/>
  <c r="J47" i="79"/>
  <c r="J31" i="79"/>
  <c r="J27" i="79"/>
  <c r="L12" i="79"/>
  <c r="J54" i="79"/>
  <c r="J32" i="79"/>
  <c r="J18" i="79"/>
  <c r="J37" i="79"/>
  <c r="J33" i="79"/>
  <c r="J23" i="79"/>
  <c r="J60" i="79"/>
  <c r="J48" i="79"/>
  <c r="J38" i="79"/>
  <c r="J28" i="79"/>
  <c r="J24" i="79"/>
  <c r="J22" i="79"/>
  <c r="J20" i="79"/>
  <c r="J62" i="79"/>
  <c r="J56" i="79"/>
  <c r="J40" i="79"/>
  <c r="J34" i="79"/>
  <c r="J64" i="79"/>
  <c r="J50" i="79"/>
  <c r="J42" i="79"/>
  <c r="J61" i="79"/>
  <c r="J26" i="79"/>
  <c r="J63" i="79"/>
  <c r="J49" i="79"/>
  <c r="J66" i="79"/>
  <c r="J30" i="79"/>
  <c r="H20" i="79"/>
  <c r="J57" i="79"/>
  <c r="J55" i="79"/>
  <c r="J41" i="79"/>
  <c r="J39" i="79"/>
  <c r="J16" i="79"/>
  <c r="J52" i="79"/>
  <c r="J44" i="79"/>
  <c r="J25" i="79"/>
  <c r="J29" i="79"/>
  <c r="J58" i="79"/>
  <c r="V32" i="85"/>
  <c r="V21" i="85"/>
  <c r="V20" i="85"/>
  <c r="V18" i="85"/>
  <c r="V16" i="85"/>
  <c r="V23" i="85"/>
  <c r="T18" i="85"/>
  <c r="V22" i="85"/>
  <c r="V25" i="85"/>
  <c r="V24" i="85"/>
  <c r="Z12" i="85"/>
  <c r="V28" i="85"/>
  <c r="V26" i="85"/>
  <c r="V15" i="85"/>
  <c r="R21" i="82"/>
  <c r="R70" i="79"/>
  <c r="R36" i="79"/>
  <c r="X12" i="79"/>
  <c r="Z12" i="79" s="1"/>
  <c r="R54" i="79"/>
  <c r="R23" i="79"/>
  <c r="R18" i="79"/>
  <c r="R38" i="79"/>
  <c r="R37" i="79"/>
  <c r="R33" i="79"/>
  <c r="R22" i="79"/>
  <c r="R61" i="79"/>
  <c r="R60" i="79"/>
  <c r="R48" i="79"/>
  <c r="R28" i="79"/>
  <c r="R24" i="79"/>
  <c r="P20" i="79"/>
  <c r="R20" i="79" s="1"/>
  <c r="R56" i="79"/>
  <c r="R55" i="79"/>
  <c r="R40" i="79"/>
  <c r="R39" i="79"/>
  <c r="R63" i="79"/>
  <c r="R62" i="79"/>
  <c r="R34" i="79"/>
  <c r="R57" i="79"/>
  <c r="R50" i="79"/>
  <c r="R49" i="79"/>
  <c r="R42" i="79"/>
  <c r="R41" i="79"/>
  <c r="R29" i="79"/>
  <c r="R25" i="79"/>
  <c r="R66" i="79"/>
  <c r="R52" i="79"/>
  <c r="R51" i="79"/>
  <c r="R44" i="79"/>
  <c r="R43" i="79"/>
  <c r="R35" i="79"/>
  <c r="R16" i="79"/>
  <c r="R53" i="79"/>
  <c r="R46" i="79"/>
  <c r="R45" i="79"/>
  <c r="R17" i="79"/>
  <c r="R32" i="79"/>
  <c r="R30" i="79"/>
  <c r="R59" i="79"/>
  <c r="R27" i="79"/>
  <c r="R64" i="79"/>
  <c r="R58" i="79"/>
  <c r="R31" i="79"/>
  <c r="R26" i="79"/>
  <c r="R47" i="79"/>
  <c r="R65" i="78"/>
  <c r="R58" i="78"/>
  <c r="R56" i="78"/>
  <c r="R46" i="78"/>
  <c r="R45" i="78"/>
  <c r="R48" i="78"/>
  <c r="R47" i="78"/>
  <c r="R39" i="78"/>
  <c r="R38" i="78"/>
  <c r="R50" i="78"/>
  <c r="R49" i="78"/>
  <c r="R41" i="78"/>
  <c r="R40" i="78"/>
  <c r="R63" i="78"/>
  <c r="R61" i="78"/>
  <c r="R59" i="78"/>
  <c r="R53" i="78"/>
  <c r="R52" i="78"/>
  <c r="R44" i="78"/>
  <c r="R36" i="78"/>
  <c r="R19" i="78"/>
  <c r="R67" i="78"/>
  <c r="R43" i="78"/>
  <c r="R37" i="78"/>
  <c r="R33" i="78"/>
  <c r="R29" i="78"/>
  <c r="R20" i="78"/>
  <c r="R57" i="78"/>
  <c r="R54" i="78"/>
  <c r="R35" i="78"/>
  <c r="R34" i="78"/>
  <c r="R30" i="78"/>
  <c r="R60" i="78"/>
  <c r="R21" i="78"/>
  <c r="R17" i="78"/>
  <c r="X12" i="78"/>
  <c r="Z12" i="78" s="1"/>
  <c r="R31" i="78"/>
  <c r="R42" i="78"/>
  <c r="R27" i="78"/>
  <c r="R22" i="78"/>
  <c r="R18" i="78"/>
  <c r="R70" i="78"/>
  <c r="R26" i="78"/>
  <c r="R24" i="78"/>
  <c r="R28" i="78"/>
  <c r="R51" i="78"/>
  <c r="R32" i="78"/>
  <c r="P24" i="78"/>
  <c r="Z16" i="58"/>
  <c r="T71" i="58"/>
  <c r="X104" i="63"/>
  <c r="P107" i="63"/>
  <c r="X16" i="59"/>
  <c r="P60" i="59"/>
  <c r="T55" i="61"/>
  <c r="N16" i="55"/>
  <c r="H33" i="55"/>
  <c r="P69" i="57"/>
  <c r="X65" i="57"/>
  <c r="H69" i="57"/>
  <c r="V99" i="39"/>
  <c r="V87" i="39"/>
  <c r="V67" i="39"/>
  <c r="V59" i="39"/>
  <c r="V51" i="39"/>
  <c r="V47" i="39"/>
  <c r="V98" i="39"/>
  <c r="V94" i="39"/>
  <c r="V78" i="39"/>
  <c r="V70" i="39"/>
  <c r="V42" i="39"/>
  <c r="V38" i="39"/>
  <c r="V117" i="39"/>
  <c r="V109" i="39"/>
  <c r="V105" i="39"/>
  <c r="V101" i="39"/>
  <c r="V77" i="39"/>
  <c r="V69" i="39"/>
  <c r="V61" i="39"/>
  <c r="V29" i="39"/>
  <c r="V100" i="39"/>
  <c r="V88" i="39"/>
  <c r="V80" i="39"/>
  <c r="V72" i="39"/>
  <c r="V52" i="39"/>
  <c r="V48" i="39"/>
  <c r="Z12" i="39"/>
  <c r="V125" i="39"/>
  <c r="V119" i="39"/>
  <c r="V111" i="39"/>
  <c r="V95" i="39"/>
  <c r="V79" i="39"/>
  <c r="V71" i="39"/>
  <c r="V43" i="39"/>
  <c r="V39" i="39"/>
  <c r="V124" i="39"/>
  <c r="V118" i="39"/>
  <c r="V110" i="39"/>
  <c r="V106" i="39"/>
  <c r="V102" i="39"/>
  <c r="V90" i="39"/>
  <c r="V82" i="39"/>
  <c r="V62" i="39"/>
  <c r="V54" i="39"/>
  <c r="V30" i="39"/>
  <c r="V123" i="39"/>
  <c r="V113" i="39"/>
  <c r="V89" i="39"/>
  <c r="V81" i="39"/>
  <c r="V73" i="39"/>
  <c r="V53" i="39"/>
  <c r="V49" i="39"/>
  <c r="V122" i="39"/>
  <c r="V120" i="39"/>
  <c r="V112" i="39"/>
  <c r="V96" i="39"/>
  <c r="V84" i="39"/>
  <c r="V64" i="39"/>
  <c r="V56" i="39"/>
  <c r="V44" i="39"/>
  <c r="V40" i="39"/>
  <c r="V36" i="39"/>
  <c r="V129" i="39"/>
  <c r="V115" i="39"/>
  <c r="V107" i="39"/>
  <c r="V103" i="39"/>
  <c r="V91" i="39"/>
  <c r="V83" i="39"/>
  <c r="V75" i="39"/>
  <c r="V63" i="39"/>
  <c r="V55" i="39"/>
  <c r="V35" i="39"/>
  <c r="V31" i="39"/>
  <c r="V114" i="39"/>
  <c r="V86" i="39"/>
  <c r="V74" i="39"/>
  <c r="V66" i="39"/>
  <c r="V58" i="39"/>
  <c r="V50" i="39"/>
  <c r="V46" i="39"/>
  <c r="T33" i="39"/>
  <c r="V33" i="39" s="1"/>
  <c r="V116" i="39"/>
  <c r="V108" i="39"/>
  <c r="V104" i="39"/>
  <c r="V92" i="39"/>
  <c r="V76" i="39"/>
  <c r="V68" i="39"/>
  <c r="V85" i="39"/>
  <c r="V97" i="39"/>
  <c r="V41" i="39"/>
  <c r="V57" i="39"/>
  <c r="V93" i="39"/>
  <c r="V45" i="39"/>
  <c r="V65" i="39"/>
  <c r="V37" i="39"/>
  <c r="V60" i="39"/>
  <c r="J27" i="42"/>
  <c r="V63" i="33"/>
  <c r="V55" i="33"/>
  <c r="V47" i="33"/>
  <c r="V43" i="33"/>
  <c r="V39" i="33"/>
  <c r="V78" i="33"/>
  <c r="V74" i="33"/>
  <c r="V66" i="33"/>
  <c r="V54" i="33"/>
  <c r="V38" i="33"/>
  <c r="V34" i="33"/>
  <c r="V30" i="33"/>
  <c r="V65" i="33"/>
  <c r="V57" i="33"/>
  <c r="V49" i="33"/>
  <c r="T36" i="33"/>
  <c r="V80" i="33"/>
  <c r="V68" i="33"/>
  <c r="V56" i="33"/>
  <c r="V44" i="33"/>
  <c r="V40" i="33"/>
  <c r="V93" i="33"/>
  <c r="V79" i="33"/>
  <c r="V75" i="33"/>
  <c r="V67" i="33"/>
  <c r="V59" i="33"/>
  <c r="V31" i="33"/>
  <c r="V92" i="33"/>
  <c r="V82" i="33"/>
  <c r="V58" i="33"/>
  <c r="V50" i="33"/>
  <c r="V91" i="33"/>
  <c r="V81" i="33"/>
  <c r="V69" i="33"/>
  <c r="V61" i="33"/>
  <c r="V45" i="33"/>
  <c r="V41" i="33"/>
  <c r="V90" i="33"/>
  <c r="V84" i="33"/>
  <c r="V76" i="33"/>
  <c r="V60" i="33"/>
  <c r="V32" i="33"/>
  <c r="V97" i="33"/>
  <c r="V89" i="33"/>
  <c r="V83" i="33"/>
  <c r="V71" i="33"/>
  <c r="V51" i="33"/>
  <c r="V88" i="33"/>
  <c r="V70" i="33"/>
  <c r="V62" i="33"/>
  <c r="V46" i="33"/>
  <c r="V42" i="33"/>
  <c r="V72" i="33"/>
  <c r="V64" i="33"/>
  <c r="V52" i="33"/>
  <c r="V48" i="33"/>
  <c r="Z12" i="33"/>
  <c r="V29" i="33"/>
  <c r="V87" i="33"/>
  <c r="V77" i="33"/>
  <c r="V85" i="33"/>
  <c r="V73" i="33"/>
  <c r="V53" i="33"/>
  <c r="V33" i="33"/>
  <c r="R96" i="27"/>
  <c r="R68" i="27"/>
  <c r="R64" i="27"/>
  <c r="R104" i="27"/>
  <c r="R103" i="27"/>
  <c r="R88" i="27"/>
  <c r="R87" i="27"/>
  <c r="R55" i="27"/>
  <c r="R51" i="27"/>
  <c r="R47" i="27"/>
  <c r="R43" i="27"/>
  <c r="R79" i="27"/>
  <c r="R78" i="27"/>
  <c r="R74" i="27"/>
  <c r="R105" i="27"/>
  <c r="R98" i="27"/>
  <c r="R97" i="27"/>
  <c r="R89" i="27"/>
  <c r="R69" i="27"/>
  <c r="R65" i="27"/>
  <c r="R81" i="27"/>
  <c r="R80" i="27"/>
  <c r="R56" i="27"/>
  <c r="R52" i="27"/>
  <c r="R48" i="27"/>
  <c r="R44" i="27"/>
  <c r="R100" i="27"/>
  <c r="R99" i="27"/>
  <c r="R75" i="27"/>
  <c r="R107" i="27"/>
  <c r="R106" i="27"/>
  <c r="R91" i="27"/>
  <c r="R90" i="27"/>
  <c r="R82" i="27"/>
  <c r="R70" i="27"/>
  <c r="R66" i="27"/>
  <c r="R101" i="27"/>
  <c r="R62" i="27"/>
  <c r="R57" i="27"/>
  <c r="R53" i="27"/>
  <c r="R49" i="27"/>
  <c r="R45" i="27"/>
  <c r="R115" i="27"/>
  <c r="R109" i="27"/>
  <c r="R108" i="27"/>
  <c r="R93" i="27"/>
  <c r="R92" i="27"/>
  <c r="R76" i="27"/>
  <c r="R61" i="27"/>
  <c r="R59" i="27"/>
  <c r="X12" i="27"/>
  <c r="Z12" i="27" s="1"/>
  <c r="R114" i="27"/>
  <c r="R84" i="27"/>
  <c r="R83" i="27"/>
  <c r="R72" i="27"/>
  <c r="R71" i="27"/>
  <c r="R67" i="27"/>
  <c r="R63" i="27"/>
  <c r="P59" i="27"/>
  <c r="R102" i="27"/>
  <c r="R112" i="27"/>
  <c r="R85" i="27"/>
  <c r="R54" i="27"/>
  <c r="R110" i="27"/>
  <c r="R95" i="27"/>
  <c r="R42" i="27"/>
  <c r="R86" i="27"/>
  <c r="R73" i="27"/>
  <c r="R46" i="27"/>
  <c r="R113" i="27"/>
  <c r="R119" i="27"/>
  <c r="R50" i="27"/>
  <c r="R94" i="27"/>
  <c r="R77" i="27"/>
  <c r="T104" i="21"/>
  <c r="N257" i="12"/>
  <c r="T260" i="15"/>
  <c r="Z16" i="6"/>
  <c r="T22" i="6"/>
  <c r="Z257" i="12"/>
  <c r="T27" i="50"/>
  <c r="Z18" i="50"/>
  <c r="X18" i="44"/>
  <c r="P27" i="44"/>
  <c r="H27" i="43"/>
  <c r="N18" i="43"/>
  <c r="T27" i="37"/>
  <c r="Z18" i="37"/>
  <c r="T27" i="41"/>
  <c r="Z18" i="41"/>
  <c r="T27" i="32"/>
  <c r="Z18" i="32"/>
  <c r="H27" i="32"/>
  <c r="N18" i="32"/>
  <c r="P27" i="34"/>
  <c r="X18" i="34"/>
  <c r="T27" i="28"/>
  <c r="Z18" i="28"/>
  <c r="L18" i="37"/>
  <c r="D27" i="37"/>
  <c r="X18" i="22"/>
  <c r="P27" i="22"/>
  <c r="T27" i="19"/>
  <c r="Z18" i="19"/>
  <c r="L18" i="4"/>
  <c r="D27" i="4"/>
  <c r="H27" i="7"/>
  <c r="N18" i="7"/>
  <c r="D27" i="10"/>
  <c r="L18" i="10"/>
  <c r="J33" i="104"/>
  <c r="J37" i="104"/>
  <c r="J27" i="104"/>
  <c r="J17" i="104"/>
  <c r="J46" i="104"/>
  <c r="J38" i="104"/>
  <c r="J28" i="104"/>
  <c r="J18" i="104"/>
  <c r="J39" i="104"/>
  <c r="J29" i="104"/>
  <c r="J50" i="104"/>
  <c r="J40" i="104"/>
  <c r="J32" i="104"/>
  <c r="H21" i="104"/>
  <c r="J24" i="104"/>
  <c r="J41" i="104"/>
  <c r="J19" i="104"/>
  <c r="J36" i="104"/>
  <c r="J30" i="104"/>
  <c r="J25" i="104"/>
  <c r="J44" i="104"/>
  <c r="J31" i="104"/>
  <c r="J42" i="104"/>
  <c r="J34" i="104"/>
  <c r="J21" i="104"/>
  <c r="J26" i="104"/>
  <c r="J43" i="104"/>
  <c r="J23" i="104"/>
  <c r="J35" i="104"/>
  <c r="H70" i="56"/>
  <c r="N16" i="56"/>
  <c r="H27" i="44"/>
  <c r="N18" i="44"/>
  <c r="N74" i="101"/>
  <c r="Z74" i="101"/>
  <c r="X74" i="101"/>
  <c r="V74" i="101"/>
  <c r="D43" i="99"/>
  <c r="H43" i="98"/>
  <c r="N18" i="98"/>
  <c r="R66" i="93"/>
  <c r="R64" i="93"/>
  <c r="R61" i="93"/>
  <c r="R49" i="93"/>
  <c r="R33" i="93"/>
  <c r="R22" i="93"/>
  <c r="R20" i="93"/>
  <c r="R68" i="93"/>
  <c r="R51" i="93"/>
  <c r="R50" i="93"/>
  <c r="R43" i="93"/>
  <c r="R42" i="93"/>
  <c r="R34" i="93"/>
  <c r="R70" i="93"/>
  <c r="R57" i="93"/>
  <c r="R29" i="93"/>
  <c r="R25" i="93"/>
  <c r="R73" i="93"/>
  <c r="R52" i="93"/>
  <c r="R45" i="93"/>
  <c r="R44" i="93"/>
  <c r="R35" i="93"/>
  <c r="R16" i="93"/>
  <c r="R58" i="93"/>
  <c r="R47" i="93"/>
  <c r="R46" i="93"/>
  <c r="R39" i="93"/>
  <c r="R38" i="93"/>
  <c r="R23" i="93"/>
  <c r="R18" i="93"/>
  <c r="R48" i="93"/>
  <c r="R32" i="93"/>
  <c r="R27" i="93"/>
  <c r="R59" i="93"/>
  <c r="R55" i="93"/>
  <c r="R37" i="93"/>
  <c r="R30" i="93"/>
  <c r="R28" i="93"/>
  <c r="R60" i="93"/>
  <c r="R53" i="93"/>
  <c r="R40" i="93"/>
  <c r="R26" i="93"/>
  <c r="R63" i="93"/>
  <c r="R24" i="93"/>
  <c r="R17" i="93"/>
  <c r="P20" i="93"/>
  <c r="X12" i="93"/>
  <c r="Z12" i="93" s="1"/>
  <c r="R56" i="93"/>
  <c r="R41" i="93"/>
  <c r="R54" i="93"/>
  <c r="R36" i="93"/>
  <c r="R31" i="93"/>
  <c r="T66" i="93"/>
  <c r="X85" i="91"/>
  <c r="Z85" i="91" s="1"/>
  <c r="F63" i="88"/>
  <c r="F62" i="88"/>
  <c r="F51" i="88"/>
  <c r="F50" i="88"/>
  <c r="F58" i="88"/>
  <c r="F71" i="88"/>
  <c r="F53" i="88"/>
  <c r="F65" i="88"/>
  <c r="F61" i="88"/>
  <c r="F49" i="88"/>
  <c r="F41" i="88"/>
  <c r="F40" i="88"/>
  <c r="F29" i="88"/>
  <c r="F25" i="88"/>
  <c r="F56" i="88"/>
  <c r="F59" i="88"/>
  <c r="F43" i="88"/>
  <c r="F42" i="88"/>
  <c r="F35" i="88"/>
  <c r="F30" i="88"/>
  <c r="F26" i="88"/>
  <c r="F67" i="88"/>
  <c r="F57" i="88"/>
  <c r="F45" i="88"/>
  <c r="F44" i="88"/>
  <c r="F17" i="88"/>
  <c r="F16" i="88"/>
  <c r="F73" i="88"/>
  <c r="F36" i="88"/>
  <c r="L12" i="88"/>
  <c r="N12" i="88" s="1"/>
  <c r="F47" i="88"/>
  <c r="F46" i="88"/>
  <c r="F31" i="88"/>
  <c r="F27" i="88"/>
  <c r="F69" i="88"/>
  <c r="F54" i="88"/>
  <c r="F18" i="88"/>
  <c r="F60" i="88"/>
  <c r="F37" i="88"/>
  <c r="F33" i="88"/>
  <c r="F32" i="88"/>
  <c r="F76" i="88"/>
  <c r="F64" i="88"/>
  <c r="F48" i="88"/>
  <c r="F28" i="88"/>
  <c r="F24" i="88"/>
  <c r="F23" i="88"/>
  <c r="F39" i="88"/>
  <c r="F22" i="88"/>
  <c r="F34" i="88"/>
  <c r="F20" i="88"/>
  <c r="D20" i="88"/>
  <c r="F38" i="88"/>
  <c r="F52" i="88"/>
  <c r="F55" i="88"/>
  <c r="R18" i="85"/>
  <c r="J20" i="87"/>
  <c r="V56" i="78"/>
  <c r="V54" i="78"/>
  <c r="V46" i="78"/>
  <c r="V48" i="78"/>
  <c r="V47" i="78"/>
  <c r="V50" i="78"/>
  <c r="V49" i="78"/>
  <c r="V41" i="78"/>
  <c r="V40" i="78"/>
  <c r="V61" i="78"/>
  <c r="V51" i="78"/>
  <c r="V43" i="78"/>
  <c r="V59" i="78"/>
  <c r="V65" i="78"/>
  <c r="V57" i="78"/>
  <c r="V37" i="78"/>
  <c r="V33" i="78"/>
  <c r="V29" i="78"/>
  <c r="V20" i="78"/>
  <c r="V45" i="78"/>
  <c r="V35" i="78"/>
  <c r="V60" i="78"/>
  <c r="V34" i="78"/>
  <c r="V30" i="78"/>
  <c r="V38" i="78"/>
  <c r="V21" i="78"/>
  <c r="V17" i="78"/>
  <c r="V52" i="78"/>
  <c r="V39" i="78"/>
  <c r="V36" i="78"/>
  <c r="V31" i="78"/>
  <c r="V27" i="78"/>
  <c r="V58" i="78"/>
  <c r="V42" i="78"/>
  <c r="V26" i="78"/>
  <c r="V24" i="78"/>
  <c r="V22" i="78"/>
  <c r="V18" i="78"/>
  <c r="V53" i="78"/>
  <c r="V44" i="78"/>
  <c r="T24" i="78"/>
  <c r="V32" i="78"/>
  <c r="V28" i="78"/>
  <c r="V19" i="78"/>
  <c r="F54" i="76"/>
  <c r="N16" i="63"/>
  <c r="H100" i="63"/>
  <c r="D80" i="73"/>
  <c r="L51" i="73"/>
  <c r="N51" i="73" s="1"/>
  <c r="Z16" i="54"/>
  <c r="T22" i="54"/>
  <c r="X16" i="57"/>
  <c r="L157" i="30"/>
  <c r="N157" i="30" s="1"/>
  <c r="P161" i="30"/>
  <c r="X36" i="33"/>
  <c r="P95" i="33"/>
  <c r="J157" i="30"/>
  <c r="D26" i="6"/>
  <c r="X18" i="47"/>
  <c r="P27" i="47"/>
  <c r="H27" i="46"/>
  <c r="N18" i="46"/>
  <c r="L18" i="46"/>
  <c r="D27" i="46"/>
  <c r="L18" i="31"/>
  <c r="D27" i="31"/>
  <c r="L18" i="28"/>
  <c r="D27" i="28"/>
  <c r="T27" i="22"/>
  <c r="Z18" i="22"/>
  <c r="H64" i="59"/>
  <c r="T27" i="110"/>
  <c r="Z18" i="110"/>
  <c r="T27" i="26"/>
  <c r="Z18" i="26"/>
  <c r="T67" i="109"/>
  <c r="X16" i="102"/>
  <c r="P46" i="102"/>
  <c r="L19" i="100"/>
  <c r="D59" i="100"/>
  <c r="D87" i="95"/>
  <c r="L20" i="95"/>
  <c r="H74" i="94"/>
  <c r="L74" i="94" s="1"/>
  <c r="N20" i="94"/>
  <c r="H89" i="91"/>
  <c r="N16" i="91"/>
  <c r="P86" i="87"/>
  <c r="H27" i="82"/>
  <c r="X20" i="83"/>
  <c r="P80" i="83"/>
  <c r="J67" i="80"/>
  <c r="J59" i="80"/>
  <c r="J45" i="80"/>
  <c r="J35" i="80"/>
  <c r="J71" i="80"/>
  <c r="J47" i="80"/>
  <c r="J17" i="80"/>
  <c r="J60" i="80"/>
  <c r="J48" i="80"/>
  <c r="J36" i="80"/>
  <c r="J55" i="80"/>
  <c r="J49" i="80"/>
  <c r="J37" i="80"/>
  <c r="J31" i="80"/>
  <c r="J27" i="80"/>
  <c r="J56" i="80"/>
  <c r="J50" i="80"/>
  <c r="J38" i="80"/>
  <c r="J32" i="80"/>
  <c r="J18" i="80"/>
  <c r="J61" i="80"/>
  <c r="J57" i="80"/>
  <c r="J39" i="80"/>
  <c r="J33" i="80"/>
  <c r="J23" i="80"/>
  <c r="J62" i="80"/>
  <c r="J40" i="80"/>
  <c r="J28" i="80"/>
  <c r="J24" i="80"/>
  <c r="J22" i="80"/>
  <c r="J20" i="80"/>
  <c r="J64" i="80"/>
  <c r="J58" i="80"/>
  <c r="J52" i="80"/>
  <c r="J42" i="80"/>
  <c r="J34" i="80"/>
  <c r="J44" i="80"/>
  <c r="J65" i="80"/>
  <c r="J63" i="80"/>
  <c r="J46" i="80"/>
  <c r="J54" i="80"/>
  <c r="J26" i="80"/>
  <c r="J30" i="80"/>
  <c r="H20" i="80"/>
  <c r="J16" i="80"/>
  <c r="J53" i="80"/>
  <c r="J51" i="80"/>
  <c r="J43" i="80"/>
  <c r="J25" i="80"/>
  <c r="J29" i="80"/>
  <c r="J41" i="80"/>
  <c r="D69" i="80"/>
  <c r="L20" i="80"/>
  <c r="P75" i="75"/>
  <c r="Z99" i="76"/>
  <c r="V105" i="68"/>
  <c r="V97" i="68"/>
  <c r="V89" i="68"/>
  <c r="V61" i="68"/>
  <c r="V104" i="68"/>
  <c r="V88" i="68"/>
  <c r="V80" i="68"/>
  <c r="V99" i="68"/>
  <c r="V91" i="68"/>
  <c r="V108" i="68"/>
  <c r="V106" i="68"/>
  <c r="V98" i="68"/>
  <c r="V90" i="68"/>
  <c r="V82" i="68"/>
  <c r="V93" i="68"/>
  <c r="V81" i="68"/>
  <c r="V77" i="68"/>
  <c r="V100" i="68"/>
  <c r="V92" i="68"/>
  <c r="V84" i="68"/>
  <c r="V76" i="68"/>
  <c r="V72" i="68"/>
  <c r="V68" i="68"/>
  <c r="V83" i="68"/>
  <c r="V67" i="68"/>
  <c r="V63" i="68"/>
  <c r="V59" i="68"/>
  <c r="V55" i="68"/>
  <c r="V51" i="68"/>
  <c r="V47" i="68"/>
  <c r="V112" i="68"/>
  <c r="V94" i="68"/>
  <c r="V86" i="68"/>
  <c r="V78" i="68"/>
  <c r="V101" i="68"/>
  <c r="V96" i="68"/>
  <c r="V102" i="68"/>
  <c r="V74" i="68"/>
  <c r="V70" i="68"/>
  <c r="V71" i="68"/>
  <c r="V50" i="68"/>
  <c r="V45" i="68"/>
  <c r="V73" i="68"/>
  <c r="V58" i="68"/>
  <c r="V53" i="68"/>
  <c r="V48" i="68"/>
  <c r="V75" i="68"/>
  <c r="T65" i="68"/>
  <c r="V56" i="68"/>
  <c r="V46" i="68"/>
  <c r="V79" i="68"/>
  <c r="V85" i="68"/>
  <c r="V54" i="68"/>
  <c r="V49" i="68"/>
  <c r="V44" i="68"/>
  <c r="V95" i="68"/>
  <c r="V62" i="68"/>
  <c r="V87" i="68"/>
  <c r="V69" i="68"/>
  <c r="V57" i="68"/>
  <c r="V52" i="68"/>
  <c r="V103" i="68"/>
  <c r="V60" i="68"/>
  <c r="L16" i="54"/>
  <c r="D22" i="54"/>
  <c r="T93" i="45"/>
  <c r="X23" i="45"/>
  <c r="Z23" i="45" s="1"/>
  <c r="P93" i="45"/>
  <c r="Z113" i="42"/>
  <c r="D118" i="42"/>
  <c r="L27" i="42"/>
  <c r="N27" i="42" s="1"/>
  <c r="D124" i="24"/>
  <c r="L74" i="24"/>
  <c r="H161" i="30"/>
  <c r="F78" i="21"/>
  <c r="F50" i="21"/>
  <c r="F49" i="21"/>
  <c r="F42" i="21"/>
  <c r="F100" i="21"/>
  <c r="F98" i="21"/>
  <c r="F89" i="21"/>
  <c r="F85" i="21"/>
  <c r="F61" i="21"/>
  <c r="F60" i="21"/>
  <c r="F37" i="21"/>
  <c r="F33" i="21"/>
  <c r="F102" i="21"/>
  <c r="F72" i="21"/>
  <c r="F52" i="21"/>
  <c r="F51" i="21"/>
  <c r="F24" i="21"/>
  <c r="F79" i="21"/>
  <c r="F63" i="21"/>
  <c r="F62" i="21"/>
  <c r="F43" i="21"/>
  <c r="F39" i="21"/>
  <c r="F38" i="21"/>
  <c r="F90" i="21"/>
  <c r="F86" i="21"/>
  <c r="F34" i="21"/>
  <c r="F30" i="21"/>
  <c r="F29" i="21"/>
  <c r="F107" i="21"/>
  <c r="F104" i="21"/>
  <c r="F73" i="21"/>
  <c r="F65" i="21"/>
  <c r="F64" i="21"/>
  <c r="F53" i="21"/>
  <c r="F28" i="21"/>
  <c r="F26" i="21"/>
  <c r="F92" i="21"/>
  <c r="F91" i="21"/>
  <c r="F80" i="21"/>
  <c r="F44" i="21"/>
  <c r="F40" i="21"/>
  <c r="D26" i="21"/>
  <c r="L12" i="21"/>
  <c r="N12" i="21" s="1"/>
  <c r="F87" i="21"/>
  <c r="F75" i="21"/>
  <c r="F74" i="21"/>
  <c r="F67" i="21"/>
  <c r="F66" i="21"/>
  <c r="F55" i="21"/>
  <c r="F54" i="21"/>
  <c r="F35" i="21"/>
  <c r="F31" i="21"/>
  <c r="F94" i="21"/>
  <c r="F93" i="21"/>
  <c r="F82" i="21"/>
  <c r="F81" i="21"/>
  <c r="F46" i="21"/>
  <c r="F45" i="21"/>
  <c r="F77" i="21"/>
  <c r="F76" i="21"/>
  <c r="F69" i="21"/>
  <c r="F68" i="21"/>
  <c r="F57" i="21"/>
  <c r="F56" i="21"/>
  <c r="F41" i="21"/>
  <c r="F71" i="21"/>
  <c r="F70" i="21"/>
  <c r="F59" i="21"/>
  <c r="F58" i="21"/>
  <c r="F23" i="21"/>
  <c r="F22" i="21"/>
  <c r="F88" i="21"/>
  <c r="F95" i="21"/>
  <c r="F83" i="21"/>
  <c r="F48" i="21"/>
  <c r="F32" i="21"/>
  <c r="F96" i="21"/>
  <c r="F84" i="21"/>
  <c r="F47" i="21"/>
  <c r="F36" i="21"/>
  <c r="J89" i="21"/>
  <c r="J85" i="21"/>
  <c r="J61" i="21"/>
  <c r="J51" i="21"/>
  <c r="J37" i="21"/>
  <c r="J33" i="21"/>
  <c r="J102" i="21"/>
  <c r="J72" i="21"/>
  <c r="J62" i="21"/>
  <c r="J52" i="21"/>
  <c r="J38" i="21"/>
  <c r="J24" i="21"/>
  <c r="J79" i="21"/>
  <c r="J63" i="21"/>
  <c r="J43" i="21"/>
  <c r="J39" i="21"/>
  <c r="J29" i="21"/>
  <c r="J90" i="21"/>
  <c r="J86" i="21"/>
  <c r="J64" i="21"/>
  <c r="J34" i="21"/>
  <c r="J30" i="21"/>
  <c r="J28" i="21"/>
  <c r="J91" i="21"/>
  <c r="J73" i="21"/>
  <c r="J65" i="21"/>
  <c r="J53" i="21"/>
  <c r="H26" i="21"/>
  <c r="J92" i="21"/>
  <c r="J80" i="21"/>
  <c r="J74" i="21"/>
  <c r="J66" i="21"/>
  <c r="J54" i="21"/>
  <c r="J44" i="21"/>
  <c r="J40" i="21"/>
  <c r="J93" i="21"/>
  <c r="J87" i="21"/>
  <c r="J81" i="21"/>
  <c r="J75" i="21"/>
  <c r="J67" i="21"/>
  <c r="J55" i="21"/>
  <c r="J45" i="21"/>
  <c r="J35" i="21"/>
  <c r="J31" i="21"/>
  <c r="J94" i="21"/>
  <c r="J82" i="21"/>
  <c r="J76" i="21"/>
  <c r="J68" i="21"/>
  <c r="J56" i="21"/>
  <c r="J46" i="21"/>
  <c r="J95" i="21"/>
  <c r="J83" i="21"/>
  <c r="J77" i="21"/>
  <c r="J69" i="21"/>
  <c r="J57" i="21"/>
  <c r="J47" i="21"/>
  <c r="J41" i="21"/>
  <c r="J96" i="21"/>
  <c r="J88" i="21"/>
  <c r="J84" i="21"/>
  <c r="J70" i="21"/>
  <c r="J58" i="21"/>
  <c r="J48" i="21"/>
  <c r="J36" i="21"/>
  <c r="J32" i="21"/>
  <c r="J22" i="21"/>
  <c r="J98" i="21"/>
  <c r="J78" i="21"/>
  <c r="J60" i="21"/>
  <c r="J50" i="21"/>
  <c r="J42" i="21"/>
  <c r="J23" i="21"/>
  <c r="J71" i="21"/>
  <c r="J59" i="21"/>
  <c r="J49" i="21"/>
  <c r="H27" i="110"/>
  <c r="N18" i="110"/>
  <c r="L18" i="110"/>
  <c r="D27" i="110"/>
  <c r="P27" i="110"/>
  <c r="X18" i="110"/>
  <c r="H27" i="49"/>
  <c r="N18" i="49"/>
  <c r="X18" i="53"/>
  <c r="P27" i="53"/>
  <c r="L18" i="44"/>
  <c r="D27" i="44"/>
  <c r="H27" i="40"/>
  <c r="N18" i="40"/>
  <c r="P27" i="49"/>
  <c r="X18" i="49"/>
  <c r="H27" i="34"/>
  <c r="N18" i="34"/>
  <c r="L18" i="32"/>
  <c r="D27" i="32"/>
  <c r="L18" i="26"/>
  <c r="D27" i="26"/>
  <c r="T27" i="20"/>
  <c r="Z18" i="20"/>
  <c r="P27" i="23"/>
  <c r="X18" i="23"/>
  <c r="L18" i="17"/>
  <c r="D27" i="17"/>
  <c r="T27" i="16"/>
  <c r="Z18" i="16"/>
  <c r="X18" i="7"/>
  <c r="P27" i="7"/>
  <c r="V62" i="92"/>
  <c r="V58" i="92"/>
  <c r="V42" i="92"/>
  <c r="V59" i="92"/>
  <c r="V43" i="92"/>
  <c r="V35" i="92"/>
  <c r="V31" i="92"/>
  <c r="V68" i="92"/>
  <c r="V66" i="92"/>
  <c r="V54" i="92"/>
  <c r="V46" i="92"/>
  <c r="V30" i="92"/>
  <c r="V26" i="92"/>
  <c r="V22" i="92"/>
  <c r="V45" i="92"/>
  <c r="V21" i="92"/>
  <c r="V17" i="92"/>
  <c r="V60" i="92"/>
  <c r="V56" i="92"/>
  <c r="V48" i="92"/>
  <c r="V63" i="92"/>
  <c r="V51" i="92"/>
  <c r="V39" i="92"/>
  <c r="V50" i="92"/>
  <c r="V27" i="92"/>
  <c r="V64" i="92"/>
  <c r="V52" i="92"/>
  <c r="V47" i="92"/>
  <c r="V72" i="92"/>
  <c r="V57" i="92"/>
  <c r="V25" i="92"/>
  <c r="V33" i="92"/>
  <c r="V65" i="92"/>
  <c r="V55" i="92"/>
  <c r="V36" i="92"/>
  <c r="T19" i="92"/>
  <c r="V28" i="92"/>
  <c r="V34" i="92"/>
  <c r="V40" i="92"/>
  <c r="V23" i="92"/>
  <c r="V38" i="92"/>
  <c r="V32" i="92"/>
  <c r="V53" i="92"/>
  <c r="V49" i="92"/>
  <c r="V44" i="92"/>
  <c r="V61" i="92"/>
  <c r="V16" i="92"/>
  <c r="V29" i="92"/>
  <c r="V24" i="92"/>
  <c r="V41" i="92"/>
  <c r="V37" i="92"/>
  <c r="N99" i="51"/>
  <c r="T118" i="42"/>
  <c r="T95" i="9"/>
  <c r="R90" i="105"/>
  <c r="R69" i="105"/>
  <c r="R68" i="105"/>
  <c r="R81" i="105"/>
  <c r="R80" i="105"/>
  <c r="R64" i="105"/>
  <c r="R57" i="105"/>
  <c r="R56" i="105"/>
  <c r="R45" i="105"/>
  <c r="R75" i="105"/>
  <c r="R71" i="105"/>
  <c r="R83" i="105"/>
  <c r="R82" i="105"/>
  <c r="R59" i="105"/>
  <c r="R58" i="105"/>
  <c r="R77" i="105"/>
  <c r="R73" i="105"/>
  <c r="R61" i="105"/>
  <c r="R66" i="105"/>
  <c r="R54" i="105"/>
  <c r="R76" i="105"/>
  <c r="R74" i="105"/>
  <c r="R50" i="105"/>
  <c r="R39" i="105"/>
  <c r="R35" i="105"/>
  <c r="R72" i="105"/>
  <c r="R67" i="105"/>
  <c r="R51" i="105"/>
  <c r="R46" i="105"/>
  <c r="R30" i="105"/>
  <c r="R26" i="105"/>
  <c r="R86" i="105"/>
  <c r="R79" i="105"/>
  <c r="R70" i="105"/>
  <c r="R47" i="105"/>
  <c r="R55" i="105"/>
  <c r="R41" i="105"/>
  <c r="R40" i="105"/>
  <c r="R36" i="105"/>
  <c r="R17" i="105"/>
  <c r="X12" i="105"/>
  <c r="R62" i="105"/>
  <c r="R52" i="105"/>
  <c r="R31" i="105"/>
  <c r="R27" i="105"/>
  <c r="R18" i="105"/>
  <c r="R65" i="105"/>
  <c r="R60" i="105"/>
  <c r="R48" i="105"/>
  <c r="R42" i="105"/>
  <c r="R37" i="105"/>
  <c r="R53" i="105"/>
  <c r="R49" i="105"/>
  <c r="R43" i="105"/>
  <c r="R32" i="105"/>
  <c r="R28" i="105"/>
  <c r="R63" i="105"/>
  <c r="R84" i="105"/>
  <c r="R78" i="105"/>
  <c r="R44" i="105"/>
  <c r="R34" i="105"/>
  <c r="R33" i="105"/>
  <c r="R29" i="105"/>
  <c r="R25" i="105"/>
  <c r="P21" i="105"/>
  <c r="R24" i="105"/>
  <c r="R21" i="105"/>
  <c r="R19" i="105"/>
  <c r="R23" i="105"/>
  <c r="R38" i="105"/>
  <c r="P43" i="98"/>
  <c r="X18" i="98"/>
  <c r="H87" i="95"/>
  <c r="N20" i="95"/>
  <c r="F98" i="84"/>
  <c r="F70" i="84"/>
  <c r="F105" i="84"/>
  <c r="F93" i="84"/>
  <c r="F92" i="84"/>
  <c r="F81" i="84"/>
  <c r="F80" i="84"/>
  <c r="F65" i="84"/>
  <c r="F61" i="84"/>
  <c r="F100" i="84"/>
  <c r="F99" i="84"/>
  <c r="F52" i="84"/>
  <c r="F48" i="84"/>
  <c r="F44" i="84"/>
  <c r="F40" i="84"/>
  <c r="F107" i="84"/>
  <c r="F106" i="84"/>
  <c r="F83" i="84"/>
  <c r="F82" i="84"/>
  <c r="F71" i="84"/>
  <c r="F67" i="84"/>
  <c r="F66" i="84"/>
  <c r="F102" i="84"/>
  <c r="F101" i="84"/>
  <c r="F94" i="84"/>
  <c r="F62" i="84"/>
  <c r="F58" i="84"/>
  <c r="F57" i="84"/>
  <c r="F109" i="84"/>
  <c r="F108" i="84"/>
  <c r="F85" i="84"/>
  <c r="F84" i="84"/>
  <c r="F73" i="84"/>
  <c r="F72" i="84"/>
  <c r="F56" i="84"/>
  <c r="F49" i="84"/>
  <c r="F45" i="84"/>
  <c r="F41" i="84"/>
  <c r="F96" i="84"/>
  <c r="F95" i="84"/>
  <c r="F68" i="84"/>
  <c r="D54" i="84"/>
  <c r="F54" i="84" s="1"/>
  <c r="F111" i="84"/>
  <c r="F110" i="84"/>
  <c r="F103" i="84"/>
  <c r="F87" i="84"/>
  <c r="F86" i="84"/>
  <c r="F75" i="84"/>
  <c r="F74" i="84"/>
  <c r="F63" i="84"/>
  <c r="F59" i="84"/>
  <c r="F50" i="84"/>
  <c r="F46" i="84"/>
  <c r="F42" i="84"/>
  <c r="F90" i="84"/>
  <c r="F69" i="84"/>
  <c r="F88" i="84"/>
  <c r="F60" i="84"/>
  <c r="F39" i="84"/>
  <c r="F113" i="84"/>
  <c r="F64" i="84"/>
  <c r="F97" i="84"/>
  <c r="F91" i="84"/>
  <c r="F78" i="84"/>
  <c r="F76" i="84"/>
  <c r="F43" i="84"/>
  <c r="F89" i="84"/>
  <c r="F77" i="84"/>
  <c r="F47" i="84"/>
  <c r="F117" i="84"/>
  <c r="F38" i="84"/>
  <c r="L12" i="84"/>
  <c r="N12" i="84" s="1"/>
  <c r="F104" i="84"/>
  <c r="F79" i="84"/>
  <c r="F51" i="84"/>
  <c r="J76" i="83"/>
  <c r="J82" i="83"/>
  <c r="J67" i="83"/>
  <c r="J51" i="83"/>
  <c r="J41" i="83"/>
  <c r="J29" i="83"/>
  <c r="J25" i="83"/>
  <c r="J78" i="83"/>
  <c r="J73" i="83"/>
  <c r="J61" i="83"/>
  <c r="J53" i="83"/>
  <c r="J43" i="83"/>
  <c r="J35" i="83"/>
  <c r="J74" i="83"/>
  <c r="J62" i="83"/>
  <c r="J54" i="83"/>
  <c r="J44" i="83"/>
  <c r="J30" i="83"/>
  <c r="J26" i="83"/>
  <c r="J16" i="83"/>
  <c r="J69" i="83"/>
  <c r="J55" i="83"/>
  <c r="J45" i="83"/>
  <c r="J17" i="83"/>
  <c r="J56" i="83"/>
  <c r="J36" i="83"/>
  <c r="N12" i="83"/>
  <c r="J75" i="83"/>
  <c r="J63" i="83"/>
  <c r="J57" i="83"/>
  <c r="J31" i="83"/>
  <c r="J27" i="83"/>
  <c r="J70" i="83"/>
  <c r="J58" i="83"/>
  <c r="J46" i="83"/>
  <c r="J32" i="83"/>
  <c r="J18" i="83"/>
  <c r="J64" i="83"/>
  <c r="J48" i="83"/>
  <c r="J38" i="83"/>
  <c r="J28" i="83"/>
  <c r="J24" i="83"/>
  <c r="J22" i="83"/>
  <c r="J66" i="83"/>
  <c r="J50" i="83"/>
  <c r="J40" i="83"/>
  <c r="J34" i="83"/>
  <c r="J72" i="83"/>
  <c r="J59" i="83"/>
  <c r="J49" i="83"/>
  <c r="J47" i="83"/>
  <c r="J37" i="83"/>
  <c r="J39" i="83"/>
  <c r="J65" i="83"/>
  <c r="J71" i="83"/>
  <c r="J42" i="83"/>
  <c r="J60" i="83"/>
  <c r="J52" i="83"/>
  <c r="J33" i="83"/>
  <c r="J23" i="83"/>
  <c r="H20" i="83"/>
  <c r="J20" i="83" s="1"/>
  <c r="J68" i="83"/>
  <c r="J21" i="82"/>
  <c r="H63" i="78"/>
  <c r="N24" i="78"/>
  <c r="H132" i="74"/>
  <c r="J77" i="74"/>
  <c r="V54" i="76"/>
  <c r="H75" i="75"/>
  <c r="J72" i="75"/>
  <c r="Z16" i="67"/>
  <c r="T58" i="67"/>
  <c r="H116" i="70"/>
  <c r="V55" i="72"/>
  <c r="V47" i="72"/>
  <c r="V62" i="72"/>
  <c r="V46" i="72"/>
  <c r="V38" i="72"/>
  <c r="V57" i="72"/>
  <c r="V49" i="72"/>
  <c r="V33" i="72"/>
  <c r="V29" i="72"/>
  <c r="V74" i="72"/>
  <c r="V56" i="72"/>
  <c r="V48" i="72"/>
  <c r="V63" i="72"/>
  <c r="V59" i="72"/>
  <c r="V51" i="72"/>
  <c r="V39" i="72"/>
  <c r="V35" i="72"/>
  <c r="V58" i="72"/>
  <c r="V50" i="72"/>
  <c r="V34" i="72"/>
  <c r="V30" i="72"/>
  <c r="V26" i="72"/>
  <c r="V65" i="72"/>
  <c r="V53" i="72"/>
  <c r="V41" i="72"/>
  <c r="V25" i="72"/>
  <c r="V21" i="72"/>
  <c r="V64" i="72"/>
  <c r="V60" i="72"/>
  <c r="V52" i="72"/>
  <c r="V40" i="72"/>
  <c r="V36" i="72"/>
  <c r="V67" i="72"/>
  <c r="V43" i="72"/>
  <c r="V31" i="72"/>
  <c r="V27" i="72"/>
  <c r="V66" i="72"/>
  <c r="V54" i="72"/>
  <c r="V42" i="72"/>
  <c r="V70" i="72"/>
  <c r="V68" i="72"/>
  <c r="V44" i="72"/>
  <c r="V32" i="72"/>
  <c r="V28" i="72"/>
  <c r="V19" i="72"/>
  <c r="V37" i="72"/>
  <c r="V61" i="72"/>
  <c r="T23" i="72"/>
  <c r="V23" i="72" s="1"/>
  <c r="Z12" i="72"/>
  <c r="V20" i="72"/>
  <c r="V45" i="72"/>
  <c r="X12" i="70"/>
  <c r="Z12" i="70" s="1"/>
  <c r="T68" i="69"/>
  <c r="X16" i="58"/>
  <c r="P71" i="58"/>
  <c r="Z16" i="59"/>
  <c r="T60" i="59"/>
  <c r="N16" i="58"/>
  <c r="H71" i="58"/>
  <c r="N16" i="54"/>
  <c r="H22" i="54"/>
  <c r="P127" i="39"/>
  <c r="X33" i="39"/>
  <c r="N36" i="33"/>
  <c r="H95" i="33"/>
  <c r="Z157" i="30"/>
  <c r="N274" i="18"/>
  <c r="D268" i="12"/>
  <c r="T124" i="24"/>
  <c r="V249" i="12"/>
  <c r="V221" i="12"/>
  <c r="V213" i="12"/>
  <c r="V201" i="12"/>
  <c r="V193" i="12"/>
  <c r="V185" i="12"/>
  <c r="V165" i="12"/>
  <c r="V161" i="12"/>
  <c r="V157" i="12"/>
  <c r="V153" i="12"/>
  <c r="V149" i="12"/>
  <c r="V145" i="12"/>
  <c r="V141" i="12"/>
  <c r="V137" i="12"/>
  <c r="V133" i="12"/>
  <c r="V129" i="12"/>
  <c r="V266" i="12"/>
  <c r="V232" i="12"/>
  <c r="V228" i="12"/>
  <c r="V212" i="12"/>
  <c r="V204" i="12"/>
  <c r="V184" i="12"/>
  <c r="V180" i="12"/>
  <c r="T163" i="12"/>
  <c r="V163" i="12" s="1"/>
  <c r="V265" i="12"/>
  <c r="V251" i="12"/>
  <c r="V243" i="12"/>
  <c r="V239" i="12"/>
  <c r="V227" i="12"/>
  <c r="V215" i="12"/>
  <c r="V203" i="12"/>
  <c r="V195" i="12"/>
  <c r="V187" i="12"/>
  <c r="V175" i="12"/>
  <c r="V171" i="12"/>
  <c r="V167" i="12"/>
  <c r="V264" i="12"/>
  <c r="V234" i="12"/>
  <c r="V263" i="12"/>
  <c r="V245" i="12"/>
  <c r="V233" i="12"/>
  <c r="V229" i="12"/>
  <c r="V217" i="12"/>
  <c r="V205" i="12"/>
  <c r="V181" i="12"/>
  <c r="V177" i="12"/>
  <c r="V270" i="12"/>
  <c r="V262" i="12"/>
  <c r="V252" i="12"/>
  <c r="V244" i="12"/>
  <c r="V240" i="12"/>
  <c r="V224" i="12"/>
  <c r="V216" i="12"/>
  <c r="V196" i="12"/>
  <c r="V188" i="12"/>
  <c r="V176" i="12"/>
  <c r="V172" i="12"/>
  <c r="V168" i="12"/>
  <c r="V261" i="12"/>
  <c r="V235" i="12"/>
  <c r="V223" i="12"/>
  <c r="V219" i="12"/>
  <c r="V207" i="12"/>
  <c r="V159" i="12"/>
  <c r="V155" i="12"/>
  <c r="V151" i="12"/>
  <c r="V147" i="12"/>
  <c r="V143" i="12"/>
  <c r="V139" i="12"/>
  <c r="V135" i="12"/>
  <c r="V131" i="12"/>
  <c r="V127" i="12"/>
  <c r="V123" i="12"/>
  <c r="V119" i="12"/>
  <c r="V115" i="12"/>
  <c r="V260" i="12"/>
  <c r="V254" i="12"/>
  <c r="V246" i="12"/>
  <c r="V230" i="12"/>
  <c r="V218" i="12"/>
  <c r="V206" i="12"/>
  <c r="V198" i="12"/>
  <c r="V190" i="12"/>
  <c r="V182" i="12"/>
  <c r="V178" i="12"/>
  <c r="V259" i="12"/>
  <c r="V253" i="12"/>
  <c r="V241" i="12"/>
  <c r="V237" i="12"/>
  <c r="V225" i="12"/>
  <c r="V209" i="12"/>
  <c r="V197" i="12"/>
  <c r="V189" i="12"/>
  <c r="V173" i="12"/>
  <c r="V169" i="12"/>
  <c r="V258" i="12"/>
  <c r="V248" i="12"/>
  <c r="V236" i="12"/>
  <c r="V220" i="12"/>
  <c r="V208" i="12"/>
  <c r="V200" i="12"/>
  <c r="V192" i="12"/>
  <c r="V250" i="12"/>
  <c r="V242" i="12"/>
  <c r="V238" i="12"/>
  <c r="V226" i="12"/>
  <c r="V210" i="12"/>
  <c r="V202" i="12"/>
  <c r="V174" i="12"/>
  <c r="V170" i="12"/>
  <c r="V166" i="12"/>
  <c r="V247" i="12"/>
  <c r="V194" i="12"/>
  <c r="V154" i="12"/>
  <c r="V144" i="12"/>
  <c r="V112" i="12"/>
  <c r="V222" i="12"/>
  <c r="V118" i="12"/>
  <c r="V114" i="12"/>
  <c r="V110" i="12"/>
  <c r="V191" i="12"/>
  <c r="V156" i="12"/>
  <c r="V146" i="12"/>
  <c r="V134" i="12"/>
  <c r="V120" i="12"/>
  <c r="V116" i="12"/>
  <c r="V122" i="12"/>
  <c r="V140" i="12"/>
  <c r="V179" i="12"/>
  <c r="V148" i="12"/>
  <c r="V136" i="12"/>
  <c r="V124" i="12"/>
  <c r="Z12" i="12"/>
  <c r="V257" i="12"/>
  <c r="V199" i="12"/>
  <c r="V158" i="12"/>
  <c r="V126" i="12"/>
  <c r="V109" i="12"/>
  <c r="V121" i="12"/>
  <c r="V231" i="12"/>
  <c r="V128" i="12"/>
  <c r="V113" i="12"/>
  <c r="V255" i="12"/>
  <c r="V160" i="12"/>
  <c r="V150" i="12"/>
  <c r="V138" i="12"/>
  <c r="V117" i="12"/>
  <c r="V111" i="12"/>
  <c r="V214" i="12"/>
  <c r="V186" i="12"/>
  <c r="V152" i="12"/>
  <c r="V130" i="12"/>
  <c r="V211" i="12"/>
  <c r="V183" i="12"/>
  <c r="V132" i="12"/>
  <c r="V125" i="12"/>
  <c r="V142" i="12"/>
  <c r="X295" i="3"/>
  <c r="Z295" i="3" s="1"/>
  <c r="H22" i="6"/>
  <c r="L22" i="6" s="1"/>
  <c r="N16" i="6"/>
  <c r="L18" i="111"/>
  <c r="D27" i="111"/>
  <c r="H27" i="112"/>
  <c r="N18" i="112"/>
  <c r="L18" i="49"/>
  <c r="D27" i="49"/>
  <c r="H27" i="53"/>
  <c r="N18" i="53"/>
  <c r="D27" i="53"/>
  <c r="L18" i="53"/>
  <c r="X18" i="50"/>
  <c r="P27" i="50"/>
  <c r="T27" i="49"/>
  <c r="Z18" i="49"/>
  <c r="D27" i="43"/>
  <c r="L18" i="43"/>
  <c r="X18" i="38"/>
  <c r="P27" i="38"/>
  <c r="L18" i="38"/>
  <c r="D27" i="38"/>
  <c r="X18" i="20"/>
  <c r="P27" i="20"/>
  <c r="T27" i="14"/>
  <c r="Z18" i="14"/>
  <c r="X18" i="13"/>
  <c r="P27" i="13"/>
  <c r="P27" i="11"/>
  <c r="X18" i="11"/>
  <c r="X18" i="10"/>
  <c r="P27" i="10"/>
  <c r="D27" i="11"/>
  <c r="L18" i="11"/>
  <c r="L18" i="5"/>
  <c r="D27" i="5"/>
  <c r="N99" i="76"/>
  <c r="D127" i="39"/>
  <c r="L33" i="39"/>
  <c r="F134" i="30"/>
  <c r="F133" i="30"/>
  <c r="F153" i="30"/>
  <c r="F145" i="30"/>
  <c r="F141" i="30"/>
  <c r="F140" i="30"/>
  <c r="F155" i="30"/>
  <c r="F154" i="30"/>
  <c r="F135" i="30"/>
  <c r="F159" i="30"/>
  <c r="F146" i="30"/>
  <c r="F142" i="30"/>
  <c r="F163" i="30"/>
  <c r="F158" i="30"/>
  <c r="F157" i="30"/>
  <c r="F148" i="30"/>
  <c r="F147" i="30"/>
  <c r="F136" i="30"/>
  <c r="F143" i="30"/>
  <c r="F150" i="30"/>
  <c r="F149" i="30"/>
  <c r="F138" i="30"/>
  <c r="F137" i="30"/>
  <c r="F151" i="30"/>
  <c r="F132" i="30"/>
  <c r="F126" i="30"/>
  <c r="F125" i="30"/>
  <c r="F106" i="30"/>
  <c r="F105" i="30"/>
  <c r="F94" i="30"/>
  <c r="F90" i="30"/>
  <c r="F81" i="30"/>
  <c r="F77" i="30"/>
  <c r="F73" i="30"/>
  <c r="F69" i="30"/>
  <c r="F65" i="30"/>
  <c r="F61" i="30"/>
  <c r="F57" i="30"/>
  <c r="F128" i="30"/>
  <c r="F127" i="30"/>
  <c r="F116" i="30"/>
  <c r="F108" i="30"/>
  <c r="F107" i="30"/>
  <c r="F100" i="30"/>
  <c r="L12" i="30"/>
  <c r="N12" i="30" s="1"/>
  <c r="F139" i="30"/>
  <c r="F95" i="30"/>
  <c r="F91" i="30"/>
  <c r="F118" i="30"/>
  <c r="F117" i="30"/>
  <c r="F110" i="30"/>
  <c r="F109" i="30"/>
  <c r="F82" i="30"/>
  <c r="F78" i="30"/>
  <c r="F74" i="30"/>
  <c r="F70" i="30"/>
  <c r="F66" i="30"/>
  <c r="F62" i="30"/>
  <c r="F58" i="30"/>
  <c r="F129" i="30"/>
  <c r="F101" i="30"/>
  <c r="F97" i="30"/>
  <c r="F96" i="30"/>
  <c r="F152" i="30"/>
  <c r="F120" i="30"/>
  <c r="F119" i="30"/>
  <c r="F92" i="30"/>
  <c r="F88" i="30"/>
  <c r="F87" i="30"/>
  <c r="F131" i="30"/>
  <c r="F130" i="30"/>
  <c r="F111" i="30"/>
  <c r="F86" i="30"/>
  <c r="F84" i="30"/>
  <c r="F79" i="30"/>
  <c r="F75" i="30"/>
  <c r="F71" i="30"/>
  <c r="F67" i="30"/>
  <c r="F63" i="30"/>
  <c r="F59" i="30"/>
  <c r="F122" i="30"/>
  <c r="F121" i="30"/>
  <c r="F102" i="30"/>
  <c r="F98" i="30"/>
  <c r="D84" i="30"/>
  <c r="F113" i="30"/>
  <c r="F112" i="30"/>
  <c r="F93" i="30"/>
  <c r="F89" i="30"/>
  <c r="F115" i="30"/>
  <c r="F114" i="30"/>
  <c r="F99" i="30"/>
  <c r="F60" i="30"/>
  <c r="F80" i="30"/>
  <c r="F144" i="30"/>
  <c r="F123" i="30"/>
  <c r="F72" i="30"/>
  <c r="F64" i="30"/>
  <c r="F55" i="30"/>
  <c r="F124" i="30"/>
  <c r="F103" i="30"/>
  <c r="F76" i="30"/>
  <c r="F56" i="30"/>
  <c r="F68" i="30"/>
  <c r="F104" i="30"/>
  <c r="T27" i="11"/>
  <c r="Z18" i="11"/>
  <c r="J77" i="107"/>
  <c r="J65" i="107"/>
  <c r="J55" i="107"/>
  <c r="J43" i="107"/>
  <c r="J37" i="107"/>
  <c r="J78" i="107"/>
  <c r="J56" i="107"/>
  <c r="J44" i="107"/>
  <c r="J32" i="107"/>
  <c r="J28" i="107"/>
  <c r="J79" i="107"/>
  <c r="J71" i="107"/>
  <c r="J57" i="107"/>
  <c r="J45" i="107"/>
  <c r="J66" i="107"/>
  <c r="J58" i="107"/>
  <c r="J46" i="107"/>
  <c r="J81" i="107"/>
  <c r="J67" i="107"/>
  <c r="J59" i="107"/>
  <c r="J47" i="107"/>
  <c r="J33" i="107"/>
  <c r="J29" i="107"/>
  <c r="J25" i="107"/>
  <c r="J23" i="107"/>
  <c r="J21" i="107"/>
  <c r="J72" i="107"/>
  <c r="J68" i="107"/>
  <c r="J60" i="107"/>
  <c r="J48" i="107"/>
  <c r="J34" i="107"/>
  <c r="H21" i="107"/>
  <c r="J61" i="107"/>
  <c r="J49" i="107"/>
  <c r="J39" i="107"/>
  <c r="J35" i="107"/>
  <c r="J62" i="107"/>
  <c r="J50" i="107"/>
  <c r="J85" i="107"/>
  <c r="J73" i="107"/>
  <c r="J69" i="107"/>
  <c r="J63" i="107"/>
  <c r="J51" i="107"/>
  <c r="J74" i="107"/>
  <c r="J64" i="107"/>
  <c r="J52" i="107"/>
  <c r="J40" i="107"/>
  <c r="J36" i="107"/>
  <c r="J76" i="107"/>
  <c r="J70" i="107"/>
  <c r="J54" i="107"/>
  <c r="J42" i="107"/>
  <c r="J18" i="107"/>
  <c r="J27" i="107"/>
  <c r="J31" i="107"/>
  <c r="J41" i="107"/>
  <c r="J19" i="107"/>
  <c r="J17" i="107"/>
  <c r="J75" i="107"/>
  <c r="N12" i="107"/>
  <c r="J26" i="107"/>
  <c r="J24" i="107"/>
  <c r="J30" i="107"/>
  <c r="J53" i="107"/>
  <c r="J38" i="107"/>
  <c r="F21" i="105"/>
  <c r="V39" i="104"/>
  <c r="V27" i="104"/>
  <c r="V31" i="104"/>
  <c r="V23" i="104"/>
  <c r="V21" i="104"/>
  <c r="V19" i="104"/>
  <c r="V30" i="104"/>
  <c r="T21" i="104"/>
  <c r="V41" i="104"/>
  <c r="V33" i="104"/>
  <c r="V25" i="104"/>
  <c r="V46" i="104"/>
  <c r="V44" i="104"/>
  <c r="V36" i="104"/>
  <c r="V28" i="104"/>
  <c r="Z12" i="104"/>
  <c r="V17" i="104"/>
  <c r="V37" i="104"/>
  <c r="V42" i="104"/>
  <c r="V34" i="104"/>
  <c r="V40" i="104"/>
  <c r="V35" i="104"/>
  <c r="V26" i="104"/>
  <c r="V18" i="104"/>
  <c r="V43" i="104"/>
  <c r="V29" i="104"/>
  <c r="V38" i="104"/>
  <c r="V32" i="104"/>
  <c r="V24" i="104"/>
  <c r="V50" i="104"/>
  <c r="D46" i="102"/>
  <c r="L16" i="102"/>
  <c r="P43" i="99"/>
  <c r="X17" i="99"/>
  <c r="Z17" i="99" s="1"/>
  <c r="T77" i="101"/>
  <c r="H43" i="99"/>
  <c r="N17" i="99"/>
  <c r="P80" i="97"/>
  <c r="X20" i="97"/>
  <c r="Z20" i="97" s="1"/>
  <c r="T94" i="95"/>
  <c r="H66" i="93"/>
  <c r="L66" i="93" s="1"/>
  <c r="T69" i="88"/>
  <c r="H34" i="85"/>
  <c r="L63" i="78"/>
  <c r="D67" i="78"/>
  <c r="X16" i="67"/>
  <c r="P58" i="67"/>
  <c r="J94" i="76"/>
  <c r="J86" i="76"/>
  <c r="J76" i="76"/>
  <c r="J95" i="76"/>
  <c r="J87" i="76"/>
  <c r="J77" i="76"/>
  <c r="J102" i="76"/>
  <c r="J96" i="76"/>
  <c r="J88" i="76"/>
  <c r="J78" i="76"/>
  <c r="J70" i="76"/>
  <c r="J101" i="76"/>
  <c r="J97" i="76"/>
  <c r="J89" i="76"/>
  <c r="J79" i="76"/>
  <c r="J106" i="76"/>
  <c r="J100" i="76"/>
  <c r="J80" i="76"/>
  <c r="J99" i="76"/>
  <c r="J90" i="76"/>
  <c r="J66" i="76"/>
  <c r="J62" i="76"/>
  <c r="J81" i="76"/>
  <c r="J67" i="76"/>
  <c r="J82" i="76"/>
  <c r="J72" i="76"/>
  <c r="J68" i="76"/>
  <c r="J91" i="76"/>
  <c r="J83" i="76"/>
  <c r="J73" i="76"/>
  <c r="J63" i="76"/>
  <c r="J92" i="76"/>
  <c r="J84" i="76"/>
  <c r="J74" i="76"/>
  <c r="J60" i="76"/>
  <c r="J51" i="76"/>
  <c r="J47" i="76"/>
  <c r="J43" i="76"/>
  <c r="J61" i="76"/>
  <c r="J39" i="76"/>
  <c r="J52" i="76"/>
  <c r="J48" i="76"/>
  <c r="J44" i="76"/>
  <c r="J40" i="76"/>
  <c r="J93" i="76"/>
  <c r="J64" i="76"/>
  <c r="J57" i="76"/>
  <c r="J58" i="76"/>
  <c r="J56" i="76"/>
  <c r="J54" i="76"/>
  <c r="H54" i="76"/>
  <c r="J49" i="76"/>
  <c r="J45" i="76"/>
  <c r="J41" i="76"/>
  <c r="N12" i="76"/>
  <c r="J85" i="76"/>
  <c r="J75" i="76"/>
  <c r="J71" i="76"/>
  <c r="J59" i="76"/>
  <c r="J65" i="76"/>
  <c r="J50" i="76"/>
  <c r="J42" i="76"/>
  <c r="J46" i="76"/>
  <c r="J69" i="76"/>
  <c r="L16" i="67"/>
  <c r="D58" i="67"/>
  <c r="L58" i="70"/>
  <c r="N58" i="70" s="1"/>
  <c r="D116" i="70"/>
  <c r="L16" i="57"/>
  <c r="D65" i="57"/>
  <c r="P70" i="56"/>
  <c r="X16" i="56"/>
  <c r="R102" i="51"/>
  <c r="R96" i="51"/>
  <c r="R95" i="51"/>
  <c r="R88" i="51"/>
  <c r="R87" i="51"/>
  <c r="R51" i="51"/>
  <c r="R47" i="51"/>
  <c r="R43" i="51"/>
  <c r="R101" i="51"/>
  <c r="R79" i="51"/>
  <c r="R78" i="51"/>
  <c r="R70" i="51"/>
  <c r="R39" i="51"/>
  <c r="R100" i="51"/>
  <c r="R97" i="51"/>
  <c r="R89" i="51"/>
  <c r="R65" i="51"/>
  <c r="R61" i="51"/>
  <c r="R106" i="51"/>
  <c r="R99" i="51"/>
  <c r="R80" i="51"/>
  <c r="R57" i="51"/>
  <c r="R52" i="51"/>
  <c r="R48" i="51"/>
  <c r="R44" i="51"/>
  <c r="R40" i="51"/>
  <c r="R71" i="51"/>
  <c r="R56" i="51"/>
  <c r="R90" i="51"/>
  <c r="R67" i="51"/>
  <c r="R66" i="51"/>
  <c r="R62" i="51"/>
  <c r="R58" i="51"/>
  <c r="P54" i="51"/>
  <c r="R54" i="51" s="1"/>
  <c r="R82" i="51"/>
  <c r="R81" i="51"/>
  <c r="R49" i="51"/>
  <c r="R45" i="51"/>
  <c r="R41" i="51"/>
  <c r="R73" i="51"/>
  <c r="R72" i="51"/>
  <c r="R68" i="51"/>
  <c r="X12" i="51"/>
  <c r="Z12" i="51" s="1"/>
  <c r="R92" i="51"/>
  <c r="R91" i="51"/>
  <c r="R84" i="51"/>
  <c r="R83" i="51"/>
  <c r="R63" i="51"/>
  <c r="R59" i="51"/>
  <c r="R75" i="51"/>
  <c r="R74" i="51"/>
  <c r="R50" i="51"/>
  <c r="R46" i="51"/>
  <c r="R42" i="51"/>
  <c r="R77" i="51"/>
  <c r="R76" i="51"/>
  <c r="R64" i="51"/>
  <c r="R60" i="51"/>
  <c r="R93" i="51"/>
  <c r="R69" i="51"/>
  <c r="R85" i="51"/>
  <c r="R94" i="51"/>
  <c r="R86" i="51"/>
  <c r="D63" i="48"/>
  <c r="L17" i="48"/>
  <c r="N17" i="48" s="1"/>
  <c r="V27" i="42"/>
  <c r="F27" i="42"/>
  <c r="J94" i="36"/>
  <c r="J82" i="36"/>
  <c r="J72" i="36"/>
  <c r="J89" i="36"/>
  <c r="J73" i="36"/>
  <c r="J112" i="36"/>
  <c r="J104" i="36"/>
  <c r="J100" i="36"/>
  <c r="J74" i="36"/>
  <c r="J64" i="36"/>
  <c r="J95" i="36"/>
  <c r="J83" i="36"/>
  <c r="J75" i="36"/>
  <c r="J65" i="36"/>
  <c r="J96" i="36"/>
  <c r="J90" i="36"/>
  <c r="J84" i="36"/>
  <c r="J76" i="36"/>
  <c r="J113" i="36"/>
  <c r="J105" i="36"/>
  <c r="J101" i="36"/>
  <c r="J97" i="36"/>
  <c r="J85" i="36"/>
  <c r="J77" i="36"/>
  <c r="J67" i="36"/>
  <c r="J120" i="36"/>
  <c r="J114" i="36"/>
  <c r="J106" i="36"/>
  <c r="J78" i="36"/>
  <c r="J119" i="36"/>
  <c r="J115" i="36"/>
  <c r="J107" i="36"/>
  <c r="J91" i="36"/>
  <c r="J79" i="36"/>
  <c r="J124" i="36"/>
  <c r="J118" i="36"/>
  <c r="J108" i="36"/>
  <c r="J102" i="36"/>
  <c r="J98" i="36"/>
  <c r="J86" i="36"/>
  <c r="J80" i="36"/>
  <c r="J117" i="36"/>
  <c r="J109" i="36"/>
  <c r="J87" i="36"/>
  <c r="J81" i="36"/>
  <c r="J49" i="36"/>
  <c r="J39" i="36"/>
  <c r="J35" i="36"/>
  <c r="J58" i="36"/>
  <c r="J50" i="36"/>
  <c r="J26" i="36"/>
  <c r="J103" i="36"/>
  <c r="J93" i="36"/>
  <c r="J71" i="36"/>
  <c r="J59" i="36"/>
  <c r="J51" i="36"/>
  <c r="J45" i="36"/>
  <c r="J31" i="36"/>
  <c r="J60" i="36"/>
  <c r="J52" i="36"/>
  <c r="J40" i="36"/>
  <c r="J36" i="36"/>
  <c r="J32" i="36"/>
  <c r="J30" i="36"/>
  <c r="J28" i="36"/>
  <c r="J69" i="36"/>
  <c r="J61" i="36"/>
  <c r="J53" i="36"/>
  <c r="J41" i="36"/>
  <c r="H28" i="36"/>
  <c r="L28" i="36" s="1"/>
  <c r="J66" i="36"/>
  <c r="J62" i="36"/>
  <c r="J54" i="36"/>
  <c r="J46" i="36"/>
  <c r="J42" i="36"/>
  <c r="J111" i="36"/>
  <c r="J88" i="36"/>
  <c r="J63" i="36"/>
  <c r="J55" i="36"/>
  <c r="J37" i="36"/>
  <c r="J33" i="36"/>
  <c r="J99" i="36"/>
  <c r="J56" i="36"/>
  <c r="J70" i="36"/>
  <c r="J47" i="36"/>
  <c r="J43" i="36"/>
  <c r="J92" i="36"/>
  <c r="J38" i="36"/>
  <c r="J34" i="36"/>
  <c r="J24" i="36"/>
  <c r="J110" i="36"/>
  <c r="J48" i="36"/>
  <c r="J44" i="36"/>
  <c r="N12" i="36"/>
  <c r="J68" i="36"/>
  <c r="J57" i="36"/>
  <c r="J25" i="36"/>
  <c r="L12" i="36"/>
  <c r="R117" i="36"/>
  <c r="D287" i="18"/>
  <c r="L183" i="18"/>
  <c r="V100" i="21"/>
  <c r="Z183" i="18"/>
  <c r="T287" i="18"/>
  <c r="L18" i="50"/>
  <c r="D27" i="50"/>
  <c r="L18" i="40"/>
  <c r="D27" i="40"/>
  <c r="X18" i="28"/>
  <c r="P27" i="28"/>
  <c r="L18" i="29"/>
  <c r="D27" i="29"/>
  <c r="T27" i="29"/>
  <c r="Z18" i="29"/>
  <c r="H27" i="19"/>
  <c r="N18" i="19"/>
  <c r="X18" i="16"/>
  <c r="P27" i="16"/>
  <c r="X18" i="8"/>
  <c r="P27" i="8"/>
  <c r="T27" i="8"/>
  <c r="Z18" i="8"/>
  <c r="R78" i="103"/>
  <c r="R77" i="103"/>
  <c r="R72" i="103"/>
  <c r="R68" i="103"/>
  <c r="R74" i="103"/>
  <c r="R70" i="103"/>
  <c r="R59" i="103"/>
  <c r="R81" i="103"/>
  <c r="R60" i="103"/>
  <c r="R71" i="103"/>
  <c r="R53" i="103"/>
  <c r="R52" i="103"/>
  <c r="R41" i="103"/>
  <c r="R40" i="103"/>
  <c r="R36" i="103"/>
  <c r="R17" i="103"/>
  <c r="X12" i="103"/>
  <c r="Z12" i="103" s="1"/>
  <c r="R65" i="103"/>
  <c r="R31" i="103"/>
  <c r="R27" i="103"/>
  <c r="R83" i="103"/>
  <c r="R61" i="103"/>
  <c r="R55" i="103"/>
  <c r="R54" i="103"/>
  <c r="R43" i="103"/>
  <c r="R42" i="103"/>
  <c r="R18" i="103"/>
  <c r="R69" i="103"/>
  <c r="R37" i="103"/>
  <c r="R57" i="103"/>
  <c r="R56" i="103"/>
  <c r="R45" i="103"/>
  <c r="R44" i="103"/>
  <c r="R32" i="103"/>
  <c r="R28" i="103"/>
  <c r="R66" i="103"/>
  <c r="R24" i="103"/>
  <c r="R19" i="103"/>
  <c r="R79" i="103"/>
  <c r="R67" i="103"/>
  <c r="R62" i="103"/>
  <c r="R58" i="103"/>
  <c r="R47" i="103"/>
  <c r="R46" i="103"/>
  <c r="R38" i="103"/>
  <c r="R23" i="103"/>
  <c r="R21" i="103"/>
  <c r="R80" i="103"/>
  <c r="R75" i="103"/>
  <c r="R63" i="103"/>
  <c r="R34" i="103"/>
  <c r="R33" i="103"/>
  <c r="R29" i="103"/>
  <c r="R25" i="103"/>
  <c r="P21" i="103"/>
  <c r="R49" i="103"/>
  <c r="R87" i="103"/>
  <c r="R26" i="103"/>
  <c r="R39" i="103"/>
  <c r="R48" i="103"/>
  <c r="R30" i="103"/>
  <c r="R50" i="103"/>
  <c r="R76" i="103"/>
  <c r="R64" i="103"/>
  <c r="R51" i="103"/>
  <c r="R73" i="103"/>
  <c r="R35" i="103"/>
  <c r="R66" i="100"/>
  <c r="R63" i="100"/>
  <c r="R50" i="100"/>
  <c r="R42" i="100"/>
  <c r="R41" i="100"/>
  <c r="R30" i="100"/>
  <c r="R29" i="100"/>
  <c r="R51" i="100"/>
  <c r="R43" i="100"/>
  <c r="R26" i="100"/>
  <c r="R15" i="100"/>
  <c r="R34" i="100"/>
  <c r="R33" i="100"/>
  <c r="R36" i="100"/>
  <c r="R35" i="100"/>
  <c r="R27" i="100"/>
  <c r="R57" i="100"/>
  <c r="X12" i="100"/>
  <c r="Z12" i="100" s="1"/>
  <c r="R46" i="100"/>
  <c r="R37" i="100"/>
  <c r="R31" i="100"/>
  <c r="R23" i="100"/>
  <c r="R54" i="100"/>
  <c r="R61" i="100"/>
  <c r="R19" i="100"/>
  <c r="R49" i="100"/>
  <c r="R38" i="100"/>
  <c r="R32" i="100"/>
  <c r="P19" i="100"/>
  <c r="R16" i="100"/>
  <c r="R47" i="100"/>
  <c r="R24" i="100"/>
  <c r="R59" i="100"/>
  <c r="R44" i="100"/>
  <c r="R21" i="100"/>
  <c r="R52" i="100"/>
  <c r="R25" i="100"/>
  <c r="R56" i="100"/>
  <c r="R45" i="100"/>
  <c r="R39" i="100"/>
  <c r="R22" i="100"/>
  <c r="R53" i="100"/>
  <c r="R28" i="100"/>
  <c r="R17" i="100"/>
  <c r="R40" i="100"/>
  <c r="R48" i="100"/>
  <c r="V119" i="74"/>
  <c r="V115" i="74"/>
  <c r="V107" i="74"/>
  <c r="V99" i="74"/>
  <c r="V87" i="74"/>
  <c r="V83" i="74"/>
  <c r="V122" i="74"/>
  <c r="V74" i="74"/>
  <c r="V70" i="74"/>
  <c r="V66" i="74"/>
  <c r="V62" i="74"/>
  <c r="V58" i="74"/>
  <c r="V54" i="74"/>
  <c r="V121" i="74"/>
  <c r="V109" i="74"/>
  <c r="V101" i="74"/>
  <c r="V93" i="74"/>
  <c r="V89" i="74"/>
  <c r="V124" i="74"/>
  <c r="V116" i="74"/>
  <c r="V100" i="74"/>
  <c r="V88" i="74"/>
  <c r="V84" i="74"/>
  <c r="V80" i="74"/>
  <c r="V123" i="74"/>
  <c r="V111" i="74"/>
  <c r="V103" i="74"/>
  <c r="V79" i="74"/>
  <c r="V77" i="74"/>
  <c r="V75" i="74"/>
  <c r="V71" i="74"/>
  <c r="V67" i="74"/>
  <c r="V63" i="74"/>
  <c r="V59" i="74"/>
  <c r="V55" i="74"/>
  <c r="V110" i="74"/>
  <c r="V102" i="74"/>
  <c r="V94" i="74"/>
  <c r="V90" i="74"/>
  <c r="T77" i="74"/>
  <c r="V125" i="74"/>
  <c r="V117" i="74"/>
  <c r="V85" i="74"/>
  <c r="V81" i="74"/>
  <c r="V130" i="74"/>
  <c r="V112" i="74"/>
  <c r="V104" i="74"/>
  <c r="V96" i="74"/>
  <c r="V72" i="74"/>
  <c r="V68" i="74"/>
  <c r="V64" i="74"/>
  <c r="V60" i="74"/>
  <c r="V56" i="74"/>
  <c r="V52" i="74"/>
  <c r="V129" i="74"/>
  <c r="V95" i="74"/>
  <c r="V91" i="74"/>
  <c r="V128" i="74"/>
  <c r="V126" i="74"/>
  <c r="V118" i="74"/>
  <c r="V114" i="74"/>
  <c r="V106" i="74"/>
  <c r="V98" i="74"/>
  <c r="V86" i="74"/>
  <c r="V82" i="74"/>
  <c r="V134" i="74"/>
  <c r="V120" i="74"/>
  <c r="V108" i="74"/>
  <c r="V92" i="74"/>
  <c r="V105" i="74"/>
  <c r="V97" i="74"/>
  <c r="V73" i="74"/>
  <c r="V65" i="74"/>
  <c r="V61" i="74"/>
  <c r="V69" i="74"/>
  <c r="V53" i="74"/>
  <c r="V113" i="74"/>
  <c r="V57" i="74"/>
  <c r="F87" i="103"/>
  <c r="F60" i="103"/>
  <c r="F59" i="103"/>
  <c r="F62" i="103"/>
  <c r="F70" i="103"/>
  <c r="F67" i="103"/>
  <c r="F33" i="103"/>
  <c r="F29" i="103"/>
  <c r="F25" i="103"/>
  <c r="F24" i="103"/>
  <c r="F63" i="103"/>
  <c r="F48" i="103"/>
  <c r="F47" i="103"/>
  <c r="F23" i="103"/>
  <c r="F21" i="103"/>
  <c r="F80" i="103"/>
  <c r="F73" i="103"/>
  <c r="F68" i="103"/>
  <c r="F39" i="103"/>
  <c r="F35" i="103"/>
  <c r="F34" i="103"/>
  <c r="D21" i="103"/>
  <c r="F81" i="103"/>
  <c r="F76" i="103"/>
  <c r="F64" i="103"/>
  <c r="F50" i="103"/>
  <c r="F49" i="103"/>
  <c r="F30" i="103"/>
  <c r="F26" i="103"/>
  <c r="F71" i="103"/>
  <c r="F52" i="103"/>
  <c r="F51" i="103"/>
  <c r="F40" i="103"/>
  <c r="F36" i="103"/>
  <c r="L12" i="103"/>
  <c r="F77" i="103"/>
  <c r="F65" i="103"/>
  <c r="F31" i="103"/>
  <c r="F27" i="103"/>
  <c r="F89" i="103"/>
  <c r="F74" i="103"/>
  <c r="F69" i="103"/>
  <c r="F61" i="103"/>
  <c r="F54" i="103"/>
  <c r="F53" i="103"/>
  <c r="F42" i="103"/>
  <c r="F41" i="103"/>
  <c r="F18" i="103"/>
  <c r="F17" i="103"/>
  <c r="F83" i="103"/>
  <c r="F37" i="103"/>
  <c r="F72" i="103"/>
  <c r="F56" i="103"/>
  <c r="F55" i="103"/>
  <c r="F75" i="103"/>
  <c r="F57" i="103"/>
  <c r="F45" i="103"/>
  <c r="F79" i="103"/>
  <c r="F43" i="103"/>
  <c r="F85" i="103"/>
  <c r="F28" i="103"/>
  <c r="F32" i="103"/>
  <c r="F19" i="103"/>
  <c r="F46" i="103"/>
  <c r="F58" i="103"/>
  <c r="F44" i="103"/>
  <c r="F92" i="103"/>
  <c r="F66" i="103"/>
  <c r="F38" i="103"/>
  <c r="F78" i="103"/>
  <c r="V79" i="105"/>
  <c r="V63" i="105"/>
  <c r="V83" i="105"/>
  <c r="V75" i="105"/>
  <c r="V71" i="105"/>
  <c r="V59" i="105"/>
  <c r="V47" i="105"/>
  <c r="V82" i="105"/>
  <c r="V58" i="105"/>
  <c r="V46" i="105"/>
  <c r="V65" i="105"/>
  <c r="V90" i="105"/>
  <c r="V68" i="105"/>
  <c r="V52" i="105"/>
  <c r="V76" i="105"/>
  <c r="V74" i="105"/>
  <c r="V67" i="105"/>
  <c r="V51" i="105"/>
  <c r="V50" i="105"/>
  <c r="V39" i="105"/>
  <c r="V35" i="105"/>
  <c r="V86" i="105"/>
  <c r="V72" i="105"/>
  <c r="V30" i="105"/>
  <c r="V26" i="105"/>
  <c r="V70" i="105"/>
  <c r="V64" i="105"/>
  <c r="V55" i="105"/>
  <c r="V41" i="105"/>
  <c r="V40" i="105"/>
  <c r="V36" i="105"/>
  <c r="V62" i="105"/>
  <c r="V31" i="105"/>
  <c r="V27" i="105"/>
  <c r="V77" i="105"/>
  <c r="V18" i="105"/>
  <c r="V60" i="105"/>
  <c r="V53" i="105"/>
  <c r="V49" i="105"/>
  <c r="V48" i="105"/>
  <c r="V43" i="105"/>
  <c r="V42" i="105"/>
  <c r="V37" i="105"/>
  <c r="V73" i="105"/>
  <c r="V56" i="105"/>
  <c r="V32" i="105"/>
  <c r="V28" i="105"/>
  <c r="V24" i="105"/>
  <c r="V80" i="105"/>
  <c r="V57" i="105"/>
  <c r="V81" i="105"/>
  <c r="V69" i="105"/>
  <c r="V38" i="105"/>
  <c r="V66" i="105"/>
  <c r="V61" i="105"/>
  <c r="V54" i="105"/>
  <c r="T21" i="105"/>
  <c r="V84" i="105"/>
  <c r="V34" i="105"/>
  <c r="V17" i="105"/>
  <c r="V44" i="105"/>
  <c r="V29" i="105"/>
  <c r="V19" i="105"/>
  <c r="V23" i="105"/>
  <c r="Z12" i="105"/>
  <c r="V78" i="105"/>
  <c r="V45" i="105"/>
  <c r="V25" i="105"/>
  <c r="V33" i="105"/>
  <c r="V21" i="105"/>
  <c r="R20" i="94"/>
  <c r="P89" i="91"/>
  <c r="X16" i="91"/>
  <c r="D70" i="93"/>
  <c r="L12" i="80"/>
  <c r="N12" i="80" s="1"/>
  <c r="F99" i="76"/>
  <c r="N20" i="69"/>
  <c r="H64" i="69"/>
  <c r="X20" i="69"/>
  <c r="Z20" i="69" s="1"/>
  <c r="P64" i="69"/>
  <c r="Z95" i="63"/>
  <c r="L16" i="58"/>
  <c r="D71" i="58"/>
  <c r="P37" i="55"/>
  <c r="L87" i="33"/>
  <c r="N87" i="33" s="1"/>
  <c r="F87" i="33"/>
  <c r="T126" i="36"/>
  <c r="V163" i="30"/>
  <c r="V149" i="30"/>
  <c r="V137" i="30"/>
  <c r="V148" i="30"/>
  <c r="V136" i="30"/>
  <c r="V151" i="30"/>
  <c r="V143" i="30"/>
  <c r="V150" i="30"/>
  <c r="V138" i="30"/>
  <c r="V152" i="30"/>
  <c r="V144" i="30"/>
  <c r="V140" i="30"/>
  <c r="V139" i="30"/>
  <c r="V154" i="30"/>
  <c r="V159" i="30"/>
  <c r="V153" i="30"/>
  <c r="V145" i="30"/>
  <c r="V141" i="30"/>
  <c r="V158" i="30"/>
  <c r="V146" i="30"/>
  <c r="V157" i="30"/>
  <c r="V135" i="30"/>
  <c r="V129" i="30"/>
  <c r="V121" i="30"/>
  <c r="V101" i="30"/>
  <c r="V97" i="30"/>
  <c r="T84" i="30"/>
  <c r="X84" i="30" s="1"/>
  <c r="V120" i="30"/>
  <c r="V112" i="30"/>
  <c r="V92" i="30"/>
  <c r="V88" i="30"/>
  <c r="V123" i="30"/>
  <c r="V111" i="30"/>
  <c r="V103" i="30"/>
  <c r="V79" i="30"/>
  <c r="V75" i="30"/>
  <c r="V71" i="30"/>
  <c r="V67" i="30"/>
  <c r="V63" i="30"/>
  <c r="V59" i="30"/>
  <c r="V55" i="30"/>
  <c r="V155" i="30"/>
  <c r="V131" i="30"/>
  <c r="V122" i="30"/>
  <c r="V114" i="30"/>
  <c r="V102" i="30"/>
  <c r="V98" i="30"/>
  <c r="V125" i="30"/>
  <c r="V113" i="30"/>
  <c r="V105" i="30"/>
  <c r="V93" i="30"/>
  <c r="V89" i="30"/>
  <c r="V147" i="30"/>
  <c r="V124" i="30"/>
  <c r="V104" i="30"/>
  <c r="V80" i="30"/>
  <c r="V76" i="30"/>
  <c r="V72" i="30"/>
  <c r="V68" i="30"/>
  <c r="V64" i="30"/>
  <c r="V60" i="30"/>
  <c r="V56" i="30"/>
  <c r="V142" i="30"/>
  <c r="V134" i="30"/>
  <c r="V127" i="30"/>
  <c r="V115" i="30"/>
  <c r="V107" i="30"/>
  <c r="V99" i="30"/>
  <c r="V126" i="30"/>
  <c r="V106" i="30"/>
  <c r="V94" i="30"/>
  <c r="V90" i="30"/>
  <c r="V132" i="30"/>
  <c r="V117" i="30"/>
  <c r="V109" i="30"/>
  <c r="V81" i="30"/>
  <c r="V77" i="30"/>
  <c r="V73" i="30"/>
  <c r="V69" i="30"/>
  <c r="V65" i="30"/>
  <c r="V61" i="30"/>
  <c r="V57" i="30"/>
  <c r="V128" i="30"/>
  <c r="V116" i="30"/>
  <c r="V108" i="30"/>
  <c r="V100" i="30"/>
  <c r="V96" i="30"/>
  <c r="V133" i="30"/>
  <c r="V130" i="30"/>
  <c r="V118" i="30"/>
  <c r="V110" i="30"/>
  <c r="V86" i="30"/>
  <c r="V82" i="30"/>
  <c r="V78" i="30"/>
  <c r="V74" i="30"/>
  <c r="V70" i="30"/>
  <c r="V66" i="30"/>
  <c r="V62" i="30"/>
  <c r="V58" i="30"/>
  <c r="V87" i="30"/>
  <c r="V119" i="30"/>
  <c r="V95" i="30"/>
  <c r="X12" i="30"/>
  <c r="Z12" i="30" s="1"/>
  <c r="V91" i="30"/>
  <c r="H124" i="24"/>
  <c r="N74" i="24"/>
  <c r="J74" i="24"/>
  <c r="F158" i="15"/>
  <c r="H27" i="38"/>
  <c r="N18" i="38"/>
  <c r="T27" i="31"/>
  <c r="Z18" i="31"/>
  <c r="X18" i="31"/>
  <c r="P27" i="31"/>
  <c r="H27" i="37"/>
  <c r="N18" i="37"/>
  <c r="H27" i="29"/>
  <c r="N18" i="29"/>
  <c r="H27" i="22"/>
  <c r="N18" i="22"/>
  <c r="H27" i="20"/>
  <c r="N18" i="20"/>
  <c r="Z18" i="17"/>
  <c r="T27" i="17"/>
  <c r="X18" i="14"/>
  <c r="P27" i="14"/>
  <c r="H27" i="13"/>
  <c r="N18" i="13"/>
  <c r="T27" i="10"/>
  <c r="Z18" i="10"/>
  <c r="L18" i="8"/>
  <c r="D27" i="8"/>
  <c r="P27" i="5"/>
  <c r="X18" i="5"/>
  <c r="F32" i="104"/>
  <c r="F31" i="104"/>
  <c r="F44" i="104"/>
  <c r="F43" i="104"/>
  <c r="F36" i="104"/>
  <c r="F35" i="104"/>
  <c r="L12" i="104"/>
  <c r="N12" i="104" s="1"/>
  <c r="F27" i="104"/>
  <c r="F38" i="104"/>
  <c r="F37" i="104"/>
  <c r="F18" i="104"/>
  <c r="F17" i="104"/>
  <c r="F48" i="104"/>
  <c r="F46" i="104"/>
  <c r="F55" i="104"/>
  <c r="F52" i="104"/>
  <c r="F41" i="104"/>
  <c r="F25" i="104"/>
  <c r="F24" i="104"/>
  <c r="F50" i="104"/>
  <c r="F23" i="104"/>
  <c r="F19" i="104"/>
  <c r="F39" i="104"/>
  <c r="F33" i="104"/>
  <c r="F30" i="104"/>
  <c r="F28" i="104"/>
  <c r="F42" i="104"/>
  <c r="F40" i="104"/>
  <c r="F34" i="104"/>
  <c r="F21" i="104"/>
  <c r="F29" i="104"/>
  <c r="F26" i="104"/>
  <c r="D21" i="104"/>
  <c r="P69" i="88"/>
  <c r="X20" i="88"/>
  <c r="Z20" i="88" s="1"/>
  <c r="F91" i="51"/>
  <c r="F83" i="51"/>
  <c r="F82" i="51"/>
  <c r="F63" i="51"/>
  <c r="F59" i="51"/>
  <c r="F74" i="51"/>
  <c r="F73" i="51"/>
  <c r="F50" i="51"/>
  <c r="F46" i="51"/>
  <c r="F42" i="51"/>
  <c r="F93" i="51"/>
  <c r="F92" i="51"/>
  <c r="F85" i="51"/>
  <c r="F84" i="51"/>
  <c r="F69" i="51"/>
  <c r="F76" i="51"/>
  <c r="F75" i="51"/>
  <c r="F64" i="51"/>
  <c r="F60" i="51"/>
  <c r="F95" i="51"/>
  <c r="F94" i="51"/>
  <c r="F87" i="51"/>
  <c r="F86" i="51"/>
  <c r="F51" i="51"/>
  <c r="F47" i="51"/>
  <c r="F43" i="51"/>
  <c r="F78" i="51"/>
  <c r="F77" i="51"/>
  <c r="F70" i="51"/>
  <c r="F102" i="51"/>
  <c r="F97" i="51"/>
  <c r="F96" i="51"/>
  <c r="F89" i="51"/>
  <c r="F88" i="51"/>
  <c r="F65" i="51"/>
  <c r="F61" i="51"/>
  <c r="F106" i="51"/>
  <c r="F101" i="51"/>
  <c r="F80" i="51"/>
  <c r="F79" i="51"/>
  <c r="F52" i="51"/>
  <c r="F48" i="51"/>
  <c r="F44" i="51"/>
  <c r="F40" i="51"/>
  <c r="F39" i="51"/>
  <c r="F100" i="51"/>
  <c r="F71" i="51"/>
  <c r="F99" i="51"/>
  <c r="F90" i="51"/>
  <c r="F66" i="51"/>
  <c r="F62" i="51"/>
  <c r="F58" i="51"/>
  <c r="F57" i="51"/>
  <c r="F72" i="51"/>
  <c r="F68" i="51"/>
  <c r="F67" i="51"/>
  <c r="D54" i="51"/>
  <c r="L12" i="51"/>
  <c r="N12" i="51" s="1"/>
  <c r="F56" i="51"/>
  <c r="F54" i="51"/>
  <c r="F41" i="51"/>
  <c r="F49" i="51"/>
  <c r="F81" i="51"/>
  <c r="F45" i="51"/>
  <c r="D35" i="108"/>
  <c r="L16" i="108"/>
  <c r="P35" i="108"/>
  <c r="X16" i="108"/>
  <c r="H92" i="105"/>
  <c r="N20" i="101"/>
  <c r="H77" i="101"/>
  <c r="L77" i="101" s="1"/>
  <c r="D70" i="92"/>
  <c r="L19" i="92"/>
  <c r="N19" i="92" s="1"/>
  <c r="F20" i="95"/>
  <c r="X12" i="92"/>
  <c r="Z12" i="92" s="1"/>
  <c r="L20" i="93"/>
  <c r="N20" i="93" s="1"/>
  <c r="J105" i="84"/>
  <c r="J99" i="84"/>
  <c r="J93" i="84"/>
  <c r="J81" i="84"/>
  <c r="J65" i="84"/>
  <c r="J61" i="84"/>
  <c r="J106" i="84"/>
  <c r="J100" i="84"/>
  <c r="J82" i="84"/>
  <c r="J66" i="84"/>
  <c r="J52" i="84"/>
  <c r="J48" i="84"/>
  <c r="J44" i="84"/>
  <c r="J40" i="84"/>
  <c r="J107" i="84"/>
  <c r="J101" i="84"/>
  <c r="J83" i="84"/>
  <c r="J71" i="84"/>
  <c r="J67" i="84"/>
  <c r="J57" i="84"/>
  <c r="J108" i="84"/>
  <c r="J102" i="84"/>
  <c r="J94" i="84"/>
  <c r="J84" i="84"/>
  <c r="J72" i="84"/>
  <c r="J62" i="84"/>
  <c r="J58" i="84"/>
  <c r="J56" i="84"/>
  <c r="J109" i="84"/>
  <c r="J95" i="84"/>
  <c r="J85" i="84"/>
  <c r="J73" i="84"/>
  <c r="H54" i="84"/>
  <c r="J49" i="84"/>
  <c r="J45" i="84"/>
  <c r="J41" i="84"/>
  <c r="J110" i="84"/>
  <c r="J96" i="84"/>
  <c r="J86" i="84"/>
  <c r="J74" i="84"/>
  <c r="J68" i="84"/>
  <c r="J111" i="84"/>
  <c r="J103" i="84"/>
  <c r="J87" i="84"/>
  <c r="J75" i="84"/>
  <c r="J63" i="84"/>
  <c r="J59" i="84"/>
  <c r="J88" i="84"/>
  <c r="J76" i="84"/>
  <c r="J50" i="84"/>
  <c r="J46" i="84"/>
  <c r="J42" i="84"/>
  <c r="J113" i="84"/>
  <c r="J97" i="84"/>
  <c r="J89" i="84"/>
  <c r="J77" i="84"/>
  <c r="J69" i="84"/>
  <c r="J104" i="84"/>
  <c r="J51" i="84"/>
  <c r="J80" i="84"/>
  <c r="J78" i="84"/>
  <c r="J64" i="84"/>
  <c r="J91" i="84"/>
  <c r="J43" i="84"/>
  <c r="J38" i="84"/>
  <c r="J117" i="84"/>
  <c r="J70" i="84"/>
  <c r="J79" i="84"/>
  <c r="J92" i="84"/>
  <c r="J39" i="84"/>
  <c r="J47" i="84"/>
  <c r="J98" i="84"/>
  <c r="J60" i="84"/>
  <c r="J90" i="84"/>
  <c r="H69" i="88"/>
  <c r="Z20" i="87"/>
  <c r="T82" i="87"/>
  <c r="X82" i="87" s="1"/>
  <c r="F19" i="82"/>
  <c r="F25" i="82"/>
  <c r="F23" i="82"/>
  <c r="F21" i="82"/>
  <c r="F29" i="82"/>
  <c r="D21" i="82"/>
  <c r="L12" i="82"/>
  <c r="N12" i="82" s="1"/>
  <c r="F18" i="82"/>
  <c r="F17" i="82"/>
  <c r="D89" i="91"/>
  <c r="L16" i="91"/>
  <c r="D80" i="83"/>
  <c r="L20" i="83"/>
  <c r="T80" i="83"/>
  <c r="Z20" i="83"/>
  <c r="T69" i="80"/>
  <c r="V20" i="80"/>
  <c r="X12" i="74"/>
  <c r="Z12" i="74" s="1"/>
  <c r="R28" i="75"/>
  <c r="R100" i="76"/>
  <c r="R97" i="76"/>
  <c r="R89" i="76"/>
  <c r="R106" i="76"/>
  <c r="R99" i="76"/>
  <c r="R80" i="76"/>
  <c r="R71" i="76"/>
  <c r="R90" i="76"/>
  <c r="R82" i="76"/>
  <c r="R81" i="76"/>
  <c r="R73" i="76"/>
  <c r="R72" i="76"/>
  <c r="R92" i="76"/>
  <c r="R91" i="76"/>
  <c r="R84" i="76"/>
  <c r="R83" i="76"/>
  <c r="R63" i="76"/>
  <c r="R75" i="76"/>
  <c r="R74" i="76"/>
  <c r="R94" i="76"/>
  <c r="R93" i="76"/>
  <c r="R86" i="76"/>
  <c r="R85" i="76"/>
  <c r="R69" i="76"/>
  <c r="R77" i="76"/>
  <c r="R76" i="76"/>
  <c r="R64" i="76"/>
  <c r="R102" i="76"/>
  <c r="R96" i="76"/>
  <c r="R95" i="76"/>
  <c r="R88" i="76"/>
  <c r="R87" i="76"/>
  <c r="R79" i="76"/>
  <c r="R61" i="76"/>
  <c r="R70" i="76"/>
  <c r="R57" i="76"/>
  <c r="R52" i="76"/>
  <c r="R48" i="76"/>
  <c r="R44" i="76"/>
  <c r="R40" i="76"/>
  <c r="R68" i="76"/>
  <c r="R56" i="76"/>
  <c r="R54" i="76"/>
  <c r="R58" i="76"/>
  <c r="P54" i="76"/>
  <c r="R66" i="76"/>
  <c r="R62" i="76"/>
  <c r="R49" i="76"/>
  <c r="R45" i="76"/>
  <c r="R41" i="76"/>
  <c r="R101" i="76"/>
  <c r="X12" i="76"/>
  <c r="Z12" i="76" s="1"/>
  <c r="R78" i="76"/>
  <c r="R59" i="76"/>
  <c r="R50" i="76"/>
  <c r="R46" i="76"/>
  <c r="R42" i="76"/>
  <c r="R67" i="76"/>
  <c r="R65" i="76"/>
  <c r="R60" i="76"/>
  <c r="R39" i="76"/>
  <c r="R47" i="76"/>
  <c r="R51" i="76"/>
  <c r="R43" i="76"/>
  <c r="F112" i="68"/>
  <c r="F94" i="68"/>
  <c r="F93" i="68"/>
  <c r="F78" i="68"/>
  <c r="F77" i="68"/>
  <c r="F101" i="68"/>
  <c r="F85" i="68"/>
  <c r="F84" i="68"/>
  <c r="F117" i="68"/>
  <c r="F114" i="68"/>
  <c r="F95" i="68"/>
  <c r="F87" i="68"/>
  <c r="F86" i="68"/>
  <c r="F79" i="68"/>
  <c r="F102" i="68"/>
  <c r="F74" i="68"/>
  <c r="F70" i="68"/>
  <c r="F97" i="68"/>
  <c r="F96" i="68"/>
  <c r="F61" i="68"/>
  <c r="F57" i="68"/>
  <c r="F53" i="68"/>
  <c r="F49" i="68"/>
  <c r="F45" i="68"/>
  <c r="F44" i="68"/>
  <c r="F104" i="68"/>
  <c r="F103" i="68"/>
  <c r="F88" i="68"/>
  <c r="F80" i="68"/>
  <c r="F75" i="68"/>
  <c r="F71" i="68"/>
  <c r="F106" i="68"/>
  <c r="F105" i="68"/>
  <c r="F98" i="68"/>
  <c r="F90" i="68"/>
  <c r="F89" i="68"/>
  <c r="F81" i="68"/>
  <c r="F110" i="68"/>
  <c r="F108" i="68"/>
  <c r="F83" i="68"/>
  <c r="F82" i="68"/>
  <c r="F63" i="68"/>
  <c r="F59" i="68"/>
  <c r="F55" i="68"/>
  <c r="F51" i="68"/>
  <c r="F47" i="68"/>
  <c r="F69" i="68"/>
  <c r="F62" i="68"/>
  <c r="F99" i="68"/>
  <c r="F76" i="68"/>
  <c r="F52" i="68"/>
  <c r="F67" i="68"/>
  <c r="F60" i="68"/>
  <c r="F92" i="68"/>
  <c r="F50" i="68"/>
  <c r="F73" i="68"/>
  <c r="F58" i="68"/>
  <c r="F100" i="68"/>
  <c r="F68" i="68"/>
  <c r="F48" i="68"/>
  <c r="L12" i="68"/>
  <c r="N12" i="68" s="1"/>
  <c r="F56" i="68"/>
  <c r="F46" i="68"/>
  <c r="F72" i="68"/>
  <c r="F65" i="68"/>
  <c r="F91" i="68"/>
  <c r="D65" i="68"/>
  <c r="F54" i="68"/>
  <c r="X111" i="70"/>
  <c r="Z111" i="70" s="1"/>
  <c r="L16" i="61"/>
  <c r="D48" i="61"/>
  <c r="N95" i="63"/>
  <c r="L95" i="63"/>
  <c r="D70" i="56"/>
  <c r="L16" i="56"/>
  <c r="T54" i="60"/>
  <c r="T74" i="56"/>
  <c r="H104" i="51"/>
  <c r="R23" i="45"/>
  <c r="F89" i="45"/>
  <c r="F88" i="45"/>
  <c r="F81" i="45"/>
  <c r="F77" i="45"/>
  <c r="F65" i="45"/>
  <c r="F64" i="45"/>
  <c r="F53" i="45"/>
  <c r="F52" i="45"/>
  <c r="F33" i="45"/>
  <c r="F29" i="45"/>
  <c r="F20" i="45"/>
  <c r="F19" i="45"/>
  <c r="F71" i="45"/>
  <c r="F55" i="45"/>
  <c r="F54" i="45"/>
  <c r="F43" i="45"/>
  <c r="F39" i="45"/>
  <c r="F91" i="45"/>
  <c r="F82" i="45"/>
  <c r="F78" i="45"/>
  <c r="F66" i="45"/>
  <c r="F34" i="45"/>
  <c r="F30" i="45"/>
  <c r="F95" i="45"/>
  <c r="F73" i="45"/>
  <c r="F72" i="45"/>
  <c r="F57" i="45"/>
  <c r="F56" i="45"/>
  <c r="F45" i="45"/>
  <c r="F44" i="45"/>
  <c r="F21" i="45"/>
  <c r="F40" i="45"/>
  <c r="L12" i="45"/>
  <c r="N12" i="45" s="1"/>
  <c r="F83" i="45"/>
  <c r="F79" i="45"/>
  <c r="F75" i="45"/>
  <c r="F74" i="45"/>
  <c r="F67" i="45"/>
  <c r="F59" i="45"/>
  <c r="F58" i="45"/>
  <c r="F47" i="45"/>
  <c r="F46" i="45"/>
  <c r="F35" i="45"/>
  <c r="F31" i="45"/>
  <c r="F27" i="45"/>
  <c r="F26" i="45"/>
  <c r="F25" i="45"/>
  <c r="F85" i="45"/>
  <c r="F84" i="45"/>
  <c r="F69" i="45"/>
  <c r="F68" i="45"/>
  <c r="F61" i="45"/>
  <c r="F60" i="45"/>
  <c r="F49" i="45"/>
  <c r="F48" i="45"/>
  <c r="F41" i="45"/>
  <c r="F37" i="45"/>
  <c r="F36" i="45"/>
  <c r="D23" i="45"/>
  <c r="F80" i="45"/>
  <c r="F76" i="45"/>
  <c r="F32" i="45"/>
  <c r="F28" i="45"/>
  <c r="F70" i="45"/>
  <c r="F42" i="45"/>
  <c r="F38" i="45"/>
  <c r="F51" i="45"/>
  <c r="F63" i="45"/>
  <c r="F87" i="45"/>
  <c r="F50" i="45"/>
  <c r="F62" i="45"/>
  <c r="F86" i="45"/>
  <c r="F36" i="33"/>
  <c r="J84" i="30"/>
  <c r="F108" i="27"/>
  <c r="F107" i="27"/>
  <c r="F92" i="27"/>
  <c r="F91" i="27"/>
  <c r="F76" i="27"/>
  <c r="L12" i="27"/>
  <c r="F83" i="27"/>
  <c r="F71" i="27"/>
  <c r="F67" i="27"/>
  <c r="F63" i="27"/>
  <c r="F62" i="27"/>
  <c r="F115" i="27"/>
  <c r="F110" i="27"/>
  <c r="F109" i="27"/>
  <c r="F102" i="27"/>
  <c r="F94" i="27"/>
  <c r="F93" i="27"/>
  <c r="F61" i="27"/>
  <c r="F59" i="27"/>
  <c r="F54" i="27"/>
  <c r="F50" i="27"/>
  <c r="F46" i="27"/>
  <c r="F119" i="27"/>
  <c r="F114" i="27"/>
  <c r="F85" i="27"/>
  <c r="F84" i="27"/>
  <c r="F77" i="27"/>
  <c r="F73" i="27"/>
  <c r="F72" i="27"/>
  <c r="D59" i="27"/>
  <c r="F113" i="27"/>
  <c r="F96" i="27"/>
  <c r="F95" i="27"/>
  <c r="F68" i="27"/>
  <c r="F64" i="27"/>
  <c r="F112" i="27"/>
  <c r="F103" i="27"/>
  <c r="F87" i="27"/>
  <c r="F86" i="27"/>
  <c r="F55" i="27"/>
  <c r="F51" i="27"/>
  <c r="F47" i="27"/>
  <c r="F43" i="27"/>
  <c r="F42" i="27"/>
  <c r="F78" i="27"/>
  <c r="F74" i="27"/>
  <c r="F105" i="27"/>
  <c r="F104" i="27"/>
  <c r="F97" i="27"/>
  <c r="F89" i="27"/>
  <c r="F88" i="27"/>
  <c r="F69" i="27"/>
  <c r="F65" i="27"/>
  <c r="F80" i="27"/>
  <c r="F79" i="27"/>
  <c r="F56" i="27"/>
  <c r="F52" i="27"/>
  <c r="F48" i="27"/>
  <c r="F44" i="27"/>
  <c r="F99" i="27"/>
  <c r="F98" i="27"/>
  <c r="F75" i="27"/>
  <c r="F90" i="27"/>
  <c r="F81" i="27"/>
  <c r="F100" i="27"/>
  <c r="F57" i="27"/>
  <c r="F66" i="27"/>
  <c r="F45" i="27"/>
  <c r="F106" i="27"/>
  <c r="F49" i="27"/>
  <c r="F82" i="27"/>
  <c r="F101" i="27"/>
  <c r="F70" i="27"/>
  <c r="F53" i="27"/>
  <c r="N249" i="15"/>
  <c r="L195" i="3"/>
  <c r="D309" i="3"/>
  <c r="J261" i="12"/>
  <c r="J253" i="12"/>
  <c r="J241" i="12"/>
  <c r="J225" i="12"/>
  <c r="J219" i="12"/>
  <c r="J207" i="12"/>
  <c r="J197" i="12"/>
  <c r="J189" i="12"/>
  <c r="J173" i="12"/>
  <c r="J169" i="12"/>
  <c r="J260" i="12"/>
  <c r="J254" i="12"/>
  <c r="J236" i="12"/>
  <c r="J220" i="12"/>
  <c r="J208" i="12"/>
  <c r="J198" i="12"/>
  <c r="J190" i="12"/>
  <c r="J160" i="12"/>
  <c r="J156" i="12"/>
  <c r="J152" i="12"/>
  <c r="J148" i="12"/>
  <c r="J144" i="12"/>
  <c r="J140" i="12"/>
  <c r="J136" i="12"/>
  <c r="J132" i="12"/>
  <c r="J259" i="12"/>
  <c r="J255" i="12"/>
  <c r="J247" i="12"/>
  <c r="J237" i="12"/>
  <c r="J231" i="12"/>
  <c r="J209" i="12"/>
  <c r="J199" i="12"/>
  <c r="J191" i="12"/>
  <c r="J183" i="12"/>
  <c r="J179" i="12"/>
  <c r="J258" i="12"/>
  <c r="J248" i="12"/>
  <c r="J242" i="12"/>
  <c r="J238" i="12"/>
  <c r="J226" i="12"/>
  <c r="J257" i="12"/>
  <c r="J249" i="12"/>
  <c r="J221" i="12"/>
  <c r="J211" i="12"/>
  <c r="J201" i="12"/>
  <c r="J193" i="12"/>
  <c r="J161" i="12"/>
  <c r="J157" i="12"/>
  <c r="J153" i="12"/>
  <c r="J149" i="12"/>
  <c r="J145" i="12"/>
  <c r="J141" i="12"/>
  <c r="J137" i="12"/>
  <c r="J133" i="12"/>
  <c r="J129" i="12"/>
  <c r="J125" i="12"/>
  <c r="J121" i="12"/>
  <c r="J117" i="12"/>
  <c r="J113" i="12"/>
  <c r="J250" i="12"/>
  <c r="J232" i="12"/>
  <c r="J212" i="12"/>
  <c r="J202" i="12"/>
  <c r="J184" i="12"/>
  <c r="J180" i="12"/>
  <c r="J166" i="12"/>
  <c r="N12" i="12"/>
  <c r="J251" i="12"/>
  <c r="J243" i="12"/>
  <c r="J239" i="12"/>
  <c r="J227" i="12"/>
  <c r="J213" i="12"/>
  <c r="J203" i="12"/>
  <c r="J185" i="12"/>
  <c r="J175" i="12"/>
  <c r="J171" i="12"/>
  <c r="J167" i="12"/>
  <c r="J165" i="12"/>
  <c r="J266" i="12"/>
  <c r="J228" i="12"/>
  <c r="J222" i="12"/>
  <c r="J214" i="12"/>
  <c r="J204" i="12"/>
  <c r="J194" i="12"/>
  <c r="J186" i="12"/>
  <c r="H163" i="12"/>
  <c r="J163" i="12" s="1"/>
  <c r="J158" i="12"/>
  <c r="J154" i="12"/>
  <c r="J150" i="12"/>
  <c r="J146" i="12"/>
  <c r="J142" i="12"/>
  <c r="J138" i="12"/>
  <c r="J134" i="12"/>
  <c r="J130" i="12"/>
  <c r="J126" i="12"/>
  <c r="J122" i="12"/>
  <c r="J118" i="12"/>
  <c r="J114" i="12"/>
  <c r="J110" i="12"/>
  <c r="J265" i="12"/>
  <c r="J233" i="12"/>
  <c r="J229" i="12"/>
  <c r="J215" i="12"/>
  <c r="J205" i="12"/>
  <c r="J195" i="12"/>
  <c r="J187" i="12"/>
  <c r="J181" i="12"/>
  <c r="J270" i="12"/>
  <c r="J264" i="12"/>
  <c r="J252" i="12"/>
  <c r="J244" i="12"/>
  <c r="J240" i="12"/>
  <c r="J234" i="12"/>
  <c r="J216" i="12"/>
  <c r="J196" i="12"/>
  <c r="J188" i="12"/>
  <c r="J176" i="12"/>
  <c r="J172" i="12"/>
  <c r="J168" i="12"/>
  <c r="J262" i="12"/>
  <c r="J246" i="12"/>
  <c r="J230" i="12"/>
  <c r="J224" i="12"/>
  <c r="J218" i="12"/>
  <c r="J206" i="12"/>
  <c r="J182" i="12"/>
  <c r="J178" i="12"/>
  <c r="J200" i="12"/>
  <c r="J159" i="12"/>
  <c r="J127" i="12"/>
  <c r="J155" i="12"/>
  <c r="J235" i="12"/>
  <c r="J217" i="12"/>
  <c r="J151" i="12"/>
  <c r="J139" i="12"/>
  <c r="J177" i="12"/>
  <c r="J112" i="12"/>
  <c r="J109" i="12"/>
  <c r="J170" i="12"/>
  <c r="J131" i="12"/>
  <c r="J120" i="12"/>
  <c r="J116" i="12"/>
  <c r="J263" i="12"/>
  <c r="J143" i="12"/>
  <c r="J124" i="12"/>
  <c r="J223" i="12"/>
  <c r="J210" i="12"/>
  <c r="J192" i="12"/>
  <c r="J174" i="12"/>
  <c r="J128" i="12"/>
  <c r="J119" i="12"/>
  <c r="J115" i="12"/>
  <c r="J111" i="12"/>
  <c r="J245" i="12"/>
  <c r="J123" i="12"/>
  <c r="J135" i="12"/>
  <c r="J147" i="12"/>
  <c r="D27" i="52"/>
  <c r="L18" i="52"/>
  <c r="Z18" i="47"/>
  <c r="T27" i="47"/>
  <c r="T27" i="44"/>
  <c r="Z18" i="44"/>
  <c r="L18" i="34"/>
  <c r="D27" i="34"/>
  <c r="Z18" i="23"/>
  <c r="T27" i="23"/>
  <c r="H27" i="16"/>
  <c r="N18" i="16"/>
  <c r="H27" i="5"/>
  <c r="N18" i="5"/>
  <c r="T27" i="43"/>
  <c r="Z18" i="43"/>
  <c r="F63" i="109"/>
  <c r="D67" i="109"/>
  <c r="L63" i="109"/>
  <c r="H35" i="108"/>
  <c r="N16" i="108"/>
  <c r="D83" i="107"/>
  <c r="L21" i="107"/>
  <c r="J75" i="103"/>
  <c r="J71" i="103"/>
  <c r="J81" i="103"/>
  <c r="J73" i="103"/>
  <c r="J69" i="103"/>
  <c r="J63" i="103"/>
  <c r="J80" i="103"/>
  <c r="J59" i="103"/>
  <c r="J48" i="103"/>
  <c r="J34" i="103"/>
  <c r="H21" i="103"/>
  <c r="J76" i="103"/>
  <c r="J68" i="103"/>
  <c r="J49" i="103"/>
  <c r="J39" i="103"/>
  <c r="J35" i="103"/>
  <c r="J87" i="103"/>
  <c r="J64" i="103"/>
  <c r="J50" i="103"/>
  <c r="J30" i="103"/>
  <c r="J26" i="103"/>
  <c r="J60" i="103"/>
  <c r="J51" i="103"/>
  <c r="J52" i="103"/>
  <c r="J40" i="103"/>
  <c r="J36" i="103"/>
  <c r="N12" i="103"/>
  <c r="J77" i="103"/>
  <c r="J65" i="103"/>
  <c r="J53" i="103"/>
  <c r="J41" i="103"/>
  <c r="J31" i="103"/>
  <c r="J27" i="103"/>
  <c r="J17" i="103"/>
  <c r="J83" i="103"/>
  <c r="J74" i="103"/>
  <c r="J61" i="103"/>
  <c r="J54" i="103"/>
  <c r="J42" i="103"/>
  <c r="J18" i="103"/>
  <c r="J55" i="103"/>
  <c r="J43" i="103"/>
  <c r="J37" i="103"/>
  <c r="J78" i="103"/>
  <c r="J72" i="103"/>
  <c r="J56" i="103"/>
  <c r="J44" i="103"/>
  <c r="J32" i="103"/>
  <c r="J28" i="103"/>
  <c r="J66" i="103"/>
  <c r="J57" i="103"/>
  <c r="J47" i="103"/>
  <c r="J45" i="103"/>
  <c r="J33" i="103"/>
  <c r="J24" i="103"/>
  <c r="J79" i="103"/>
  <c r="J70" i="103"/>
  <c r="J67" i="103"/>
  <c r="J21" i="103"/>
  <c r="J19" i="103"/>
  <c r="J46" i="103"/>
  <c r="J25" i="103"/>
  <c r="J58" i="103"/>
  <c r="J38" i="103"/>
  <c r="J23" i="103"/>
  <c r="J29" i="103"/>
  <c r="J62" i="103"/>
  <c r="V19" i="100"/>
  <c r="P77" i="101"/>
  <c r="X20" i="101"/>
  <c r="Z20" i="101" s="1"/>
  <c r="J59" i="100"/>
  <c r="J57" i="100"/>
  <c r="J47" i="100"/>
  <c r="J37" i="100"/>
  <c r="J17" i="100"/>
  <c r="J56" i="100"/>
  <c r="J48" i="100"/>
  <c r="J38" i="100"/>
  <c r="J28" i="100"/>
  <c r="J22" i="100"/>
  <c r="N12" i="100"/>
  <c r="J61" i="100"/>
  <c r="J49" i="100"/>
  <c r="J50" i="100"/>
  <c r="J40" i="100"/>
  <c r="J66" i="100"/>
  <c r="J63" i="100"/>
  <c r="J41" i="100"/>
  <c r="J29" i="100"/>
  <c r="J42" i="100"/>
  <c r="J30" i="100"/>
  <c r="J24" i="100"/>
  <c r="J32" i="100"/>
  <c r="J26" i="100"/>
  <c r="J39" i="100"/>
  <c r="J45" i="100"/>
  <c r="J53" i="100"/>
  <c r="J34" i="100"/>
  <c r="J15" i="100"/>
  <c r="L12" i="100"/>
  <c r="J46" i="100"/>
  <c r="J31" i="100"/>
  <c r="J23" i="100"/>
  <c r="J54" i="100"/>
  <c r="J51" i="100"/>
  <c r="J43" i="100"/>
  <c r="J19" i="100"/>
  <c r="J35" i="100"/>
  <c r="H19" i="100"/>
  <c r="J16" i="100"/>
  <c r="J27" i="100"/>
  <c r="J36" i="100"/>
  <c r="J21" i="100"/>
  <c r="J52" i="100"/>
  <c r="J33" i="100"/>
  <c r="J44" i="100"/>
  <c r="J25" i="100"/>
  <c r="T43" i="98"/>
  <c r="Z18" i="98"/>
  <c r="P87" i="95"/>
  <c r="X20" i="95"/>
  <c r="Z20" i="95" s="1"/>
  <c r="J20" i="95"/>
  <c r="V52" i="94"/>
  <c r="V44" i="94"/>
  <c r="V28" i="94"/>
  <c r="V24" i="94"/>
  <c r="V67" i="94"/>
  <c r="V55" i="94"/>
  <c r="V43" i="94"/>
  <c r="V66" i="94"/>
  <c r="V62" i="94"/>
  <c r="V54" i="94"/>
  <c r="V46" i="94"/>
  <c r="V34" i="94"/>
  <c r="V69" i="94"/>
  <c r="V57" i="94"/>
  <c r="V45" i="94"/>
  <c r="V29" i="94"/>
  <c r="V25" i="94"/>
  <c r="V68" i="94"/>
  <c r="V56" i="94"/>
  <c r="V48" i="94"/>
  <c r="V36" i="94"/>
  <c r="V16" i="94"/>
  <c r="V63" i="94"/>
  <c r="V59" i="94"/>
  <c r="V47" i="94"/>
  <c r="V35" i="94"/>
  <c r="V31" i="94"/>
  <c r="V72" i="94"/>
  <c r="V70" i="94"/>
  <c r="V58" i="94"/>
  <c r="V50" i="94"/>
  <c r="V38" i="94"/>
  <c r="V30" i="94"/>
  <c r="V26" i="94"/>
  <c r="V49" i="94"/>
  <c r="V37" i="94"/>
  <c r="V64" i="94"/>
  <c r="V60" i="94"/>
  <c r="V40" i="94"/>
  <c r="V32" i="94"/>
  <c r="V65" i="94"/>
  <c r="V61" i="94"/>
  <c r="V53" i="94"/>
  <c r="V41" i="94"/>
  <c r="V33" i="94"/>
  <c r="V39" i="94"/>
  <c r="V20" i="94"/>
  <c r="Z12" i="94"/>
  <c r="T20" i="94"/>
  <c r="V51" i="94"/>
  <c r="V42" i="94"/>
  <c r="V22" i="94"/>
  <c r="V27" i="94"/>
  <c r="V18" i="94"/>
  <c r="V76" i="94"/>
  <c r="V17" i="94"/>
  <c r="V23" i="94"/>
  <c r="T89" i="91"/>
  <c r="Z16" i="91"/>
  <c r="J20" i="93"/>
  <c r="R102" i="84"/>
  <c r="R95" i="84"/>
  <c r="R94" i="84"/>
  <c r="R62" i="84"/>
  <c r="R58" i="84"/>
  <c r="P54" i="84"/>
  <c r="R110" i="84"/>
  <c r="R109" i="84"/>
  <c r="R86" i="84"/>
  <c r="R85" i="84"/>
  <c r="R74" i="84"/>
  <c r="R73" i="84"/>
  <c r="R49" i="84"/>
  <c r="R45" i="84"/>
  <c r="R41" i="84"/>
  <c r="R96" i="84"/>
  <c r="R68" i="84"/>
  <c r="X12" i="84"/>
  <c r="R111" i="84"/>
  <c r="R103" i="84"/>
  <c r="R88" i="84"/>
  <c r="R87" i="84"/>
  <c r="R76" i="84"/>
  <c r="R75" i="84"/>
  <c r="R63" i="84"/>
  <c r="R59" i="84"/>
  <c r="R113" i="84"/>
  <c r="R50" i="84"/>
  <c r="R46" i="84"/>
  <c r="R42" i="84"/>
  <c r="R97" i="84"/>
  <c r="R90" i="84"/>
  <c r="R89" i="84"/>
  <c r="R78" i="84"/>
  <c r="R77" i="84"/>
  <c r="R69" i="84"/>
  <c r="R38" i="84"/>
  <c r="R104" i="84"/>
  <c r="R64" i="84"/>
  <c r="R60" i="84"/>
  <c r="R117" i="84"/>
  <c r="R92" i="84"/>
  <c r="R91" i="84"/>
  <c r="R80" i="84"/>
  <c r="R79" i="84"/>
  <c r="R51" i="84"/>
  <c r="R47" i="84"/>
  <c r="R43" i="84"/>
  <c r="R39" i="84"/>
  <c r="R99" i="84"/>
  <c r="R98" i="84"/>
  <c r="R70" i="84"/>
  <c r="R71" i="84"/>
  <c r="R93" i="84"/>
  <c r="R54" i="84"/>
  <c r="R101" i="84"/>
  <c r="R72" i="84"/>
  <c r="R48" i="84"/>
  <c r="R105" i="84"/>
  <c r="R107" i="84"/>
  <c r="R52" i="84"/>
  <c r="R61" i="84"/>
  <c r="R40" i="84"/>
  <c r="R83" i="84"/>
  <c r="R81" i="84"/>
  <c r="R106" i="84"/>
  <c r="R67" i="84"/>
  <c r="R84" i="84"/>
  <c r="R82" i="84"/>
  <c r="R66" i="84"/>
  <c r="R108" i="84"/>
  <c r="R44" i="84"/>
  <c r="R57" i="84"/>
  <c r="R100" i="84"/>
  <c r="R65" i="84"/>
  <c r="R56" i="84"/>
  <c r="V109" i="84"/>
  <c r="V85" i="84"/>
  <c r="V73" i="84"/>
  <c r="V49" i="84"/>
  <c r="V45" i="84"/>
  <c r="V41" i="84"/>
  <c r="V96" i="84"/>
  <c r="V88" i="84"/>
  <c r="V76" i="84"/>
  <c r="V68" i="84"/>
  <c r="Z12" i="84"/>
  <c r="V113" i="84"/>
  <c r="V111" i="84"/>
  <c r="V103" i="84"/>
  <c r="V87" i="84"/>
  <c r="V75" i="84"/>
  <c r="V63" i="84"/>
  <c r="V59" i="84"/>
  <c r="V90" i="84"/>
  <c r="V78" i="84"/>
  <c r="V50" i="84"/>
  <c r="V46" i="84"/>
  <c r="V42" i="84"/>
  <c r="V38" i="84"/>
  <c r="V97" i="84"/>
  <c r="V89" i="84"/>
  <c r="V77" i="84"/>
  <c r="V69" i="84"/>
  <c r="V104" i="84"/>
  <c r="V92" i="84"/>
  <c r="V80" i="84"/>
  <c r="V64" i="84"/>
  <c r="V60" i="84"/>
  <c r="V117" i="84"/>
  <c r="V99" i="84"/>
  <c r="V91" i="84"/>
  <c r="V79" i="84"/>
  <c r="V51" i="84"/>
  <c r="V47" i="84"/>
  <c r="V43" i="84"/>
  <c r="V39" i="84"/>
  <c r="V106" i="84"/>
  <c r="V98" i="84"/>
  <c r="V82" i="84"/>
  <c r="V70" i="84"/>
  <c r="V66" i="84"/>
  <c r="V105" i="84"/>
  <c r="V101" i="84"/>
  <c r="V93" i="84"/>
  <c r="V81" i="84"/>
  <c r="V65" i="84"/>
  <c r="V61" i="84"/>
  <c r="V57" i="84"/>
  <c r="V62" i="84"/>
  <c r="V54" i="84"/>
  <c r="V74" i="84"/>
  <c r="V48" i="84"/>
  <c r="V107" i="84"/>
  <c r="V52" i="84"/>
  <c r="V40" i="84"/>
  <c r="V83" i="84"/>
  <c r="V56" i="84"/>
  <c r="V100" i="84"/>
  <c r="V94" i="84"/>
  <c r="V84" i="84"/>
  <c r="V58" i="84"/>
  <c r="V44" i="84"/>
  <c r="V71" i="84"/>
  <c r="V108" i="84"/>
  <c r="V110" i="84"/>
  <c r="T54" i="84"/>
  <c r="V95" i="84"/>
  <c r="V86" i="84"/>
  <c r="V102" i="84"/>
  <c r="V72" i="84"/>
  <c r="V67" i="84"/>
  <c r="T68" i="79"/>
  <c r="X77" i="74"/>
  <c r="P132" i="74"/>
  <c r="H80" i="73"/>
  <c r="R76" i="80"/>
  <c r="R73" i="80"/>
  <c r="R60" i="80"/>
  <c r="R49" i="80"/>
  <c r="R48" i="80"/>
  <c r="R37" i="80"/>
  <c r="R36" i="80"/>
  <c r="X12" i="80"/>
  <c r="Z12" i="80" s="1"/>
  <c r="R50" i="80"/>
  <c r="R39" i="80"/>
  <c r="R38" i="80"/>
  <c r="R23" i="80"/>
  <c r="R18" i="80"/>
  <c r="R62" i="80"/>
  <c r="R61" i="80"/>
  <c r="R57" i="80"/>
  <c r="R33" i="80"/>
  <c r="R22" i="80"/>
  <c r="R20" i="80"/>
  <c r="R41" i="80"/>
  <c r="R40" i="80"/>
  <c r="R28" i="80"/>
  <c r="R24" i="80"/>
  <c r="P20" i="80"/>
  <c r="R64" i="80"/>
  <c r="R63" i="80"/>
  <c r="R52" i="80"/>
  <c r="R51" i="80"/>
  <c r="R58" i="80"/>
  <c r="R43" i="80"/>
  <c r="R42" i="80"/>
  <c r="R34" i="80"/>
  <c r="R65" i="80"/>
  <c r="R53" i="80"/>
  <c r="R29" i="80"/>
  <c r="R25" i="80"/>
  <c r="R59" i="80"/>
  <c r="R35" i="80"/>
  <c r="R16" i="80"/>
  <c r="R71" i="80"/>
  <c r="R17" i="80"/>
  <c r="R56" i="80"/>
  <c r="R54" i="80"/>
  <c r="R46" i="80"/>
  <c r="R26" i="80"/>
  <c r="R69" i="80"/>
  <c r="R32" i="80"/>
  <c r="R30" i="80"/>
  <c r="R44" i="80"/>
  <c r="R67" i="80"/>
  <c r="R47" i="80"/>
  <c r="R45" i="80"/>
  <c r="R55" i="80"/>
  <c r="R27" i="80"/>
  <c r="R31" i="80"/>
  <c r="V73" i="75"/>
  <c r="V55" i="75"/>
  <c r="V47" i="75"/>
  <c r="V39" i="75"/>
  <c r="V35" i="75"/>
  <c r="V31" i="75"/>
  <c r="V72" i="75"/>
  <c r="V70" i="75"/>
  <c r="V62" i="75"/>
  <c r="V58" i="75"/>
  <c r="V50" i="75"/>
  <c r="V30" i="75"/>
  <c r="V26" i="75"/>
  <c r="V57" i="75"/>
  <c r="V49" i="75"/>
  <c r="V41" i="75"/>
  <c r="T28" i="75"/>
  <c r="V36" i="75"/>
  <c r="V32" i="75"/>
  <c r="V77" i="75"/>
  <c r="V63" i="75"/>
  <c r="V59" i="75"/>
  <c r="V51" i="75"/>
  <c r="V42" i="75"/>
  <c r="V65" i="75"/>
  <c r="V53" i="75"/>
  <c r="V37" i="75"/>
  <c r="V33" i="75"/>
  <c r="V64" i="75"/>
  <c r="V60" i="75"/>
  <c r="V52" i="75"/>
  <c r="V44" i="75"/>
  <c r="V67" i="75"/>
  <c r="V43" i="75"/>
  <c r="V66" i="75"/>
  <c r="V54" i="75"/>
  <c r="V46" i="75"/>
  <c r="V38" i="75"/>
  <c r="V34" i="75"/>
  <c r="V68" i="75"/>
  <c r="V56" i="75"/>
  <c r="V48" i="75"/>
  <c r="V40" i="75"/>
  <c r="Z12" i="75"/>
  <c r="V61" i="75"/>
  <c r="V69" i="75"/>
  <c r="V45" i="75"/>
  <c r="D132" i="74"/>
  <c r="L77" i="74"/>
  <c r="N77" i="74" s="1"/>
  <c r="L28" i="75"/>
  <c r="N28" i="75" s="1"/>
  <c r="D75" i="75"/>
  <c r="J23" i="72"/>
  <c r="R103" i="68"/>
  <c r="R102" i="68"/>
  <c r="R74" i="68"/>
  <c r="R70" i="68"/>
  <c r="R97" i="68"/>
  <c r="R105" i="68"/>
  <c r="R104" i="68"/>
  <c r="R75" i="68"/>
  <c r="R71" i="68"/>
  <c r="R106" i="68"/>
  <c r="R99" i="68"/>
  <c r="R98" i="68"/>
  <c r="R91" i="68"/>
  <c r="R90" i="68"/>
  <c r="R62" i="68"/>
  <c r="R58" i="68"/>
  <c r="R54" i="68"/>
  <c r="R50" i="68"/>
  <c r="R46" i="68"/>
  <c r="R108" i="68"/>
  <c r="R82" i="68"/>
  <c r="R81" i="68"/>
  <c r="R100" i="68"/>
  <c r="R93" i="68"/>
  <c r="R92" i="68"/>
  <c r="R77" i="68"/>
  <c r="R76" i="68"/>
  <c r="R72" i="68"/>
  <c r="R84" i="68"/>
  <c r="R83" i="68"/>
  <c r="R68" i="68"/>
  <c r="R112" i="68"/>
  <c r="R94" i="68"/>
  <c r="R101" i="68"/>
  <c r="R86" i="68"/>
  <c r="R85" i="68"/>
  <c r="R73" i="68"/>
  <c r="R69" i="68"/>
  <c r="R96" i="68"/>
  <c r="R95" i="68"/>
  <c r="R87" i="68"/>
  <c r="R79" i="68"/>
  <c r="R44" i="68"/>
  <c r="R80" i="68"/>
  <c r="R55" i="68"/>
  <c r="R63" i="68"/>
  <c r="R45" i="68"/>
  <c r="R88" i="68"/>
  <c r="R53" i="68"/>
  <c r="R48" i="68"/>
  <c r="R61" i="68"/>
  <c r="X12" i="68"/>
  <c r="Z12" i="68" s="1"/>
  <c r="R65" i="68"/>
  <c r="R56" i="68"/>
  <c r="R51" i="68"/>
  <c r="P65" i="68"/>
  <c r="R59" i="68"/>
  <c r="R89" i="68"/>
  <c r="R49" i="68"/>
  <c r="R78" i="68"/>
  <c r="R60" i="68"/>
  <c r="R52" i="68"/>
  <c r="R57" i="68"/>
  <c r="R47" i="68"/>
  <c r="R67" i="68"/>
  <c r="Z16" i="55"/>
  <c r="T33" i="55"/>
  <c r="J99" i="51"/>
  <c r="H63" i="48"/>
  <c r="V23" i="45"/>
  <c r="N33" i="39"/>
  <c r="H127" i="39"/>
  <c r="H93" i="45"/>
  <c r="F33" i="39"/>
  <c r="P118" i="42"/>
  <c r="X27" i="42"/>
  <c r="Z27" i="42" s="1"/>
  <c r="J87" i="33"/>
  <c r="J115" i="27"/>
  <c r="J109" i="27"/>
  <c r="J93" i="27"/>
  <c r="J83" i="27"/>
  <c r="J71" i="27"/>
  <c r="J67" i="27"/>
  <c r="J63" i="27"/>
  <c r="J61" i="27"/>
  <c r="J114" i="27"/>
  <c r="J110" i="27"/>
  <c r="J102" i="27"/>
  <c r="J94" i="27"/>
  <c r="J84" i="27"/>
  <c r="J72" i="27"/>
  <c r="H59" i="27"/>
  <c r="J59" i="27" s="1"/>
  <c r="J54" i="27"/>
  <c r="J50" i="27"/>
  <c r="J46" i="27"/>
  <c r="J119" i="27"/>
  <c r="J113" i="27"/>
  <c r="J95" i="27"/>
  <c r="J85" i="27"/>
  <c r="J77" i="27"/>
  <c r="J73" i="27"/>
  <c r="J112" i="27"/>
  <c r="J96" i="27"/>
  <c r="J86" i="27"/>
  <c r="J68" i="27"/>
  <c r="J64" i="27"/>
  <c r="J42" i="27"/>
  <c r="J103" i="27"/>
  <c r="J87" i="27"/>
  <c r="J55" i="27"/>
  <c r="J51" i="27"/>
  <c r="J47" i="27"/>
  <c r="J43" i="27"/>
  <c r="J104" i="27"/>
  <c r="J88" i="27"/>
  <c r="J78" i="27"/>
  <c r="J74" i="27"/>
  <c r="J105" i="27"/>
  <c r="J97" i="27"/>
  <c r="J89" i="27"/>
  <c r="J79" i="27"/>
  <c r="J69" i="27"/>
  <c r="J65" i="27"/>
  <c r="J98" i="27"/>
  <c r="J80" i="27"/>
  <c r="J56" i="27"/>
  <c r="J52" i="27"/>
  <c r="J48" i="27"/>
  <c r="J44" i="27"/>
  <c r="J99" i="27"/>
  <c r="J81" i="27"/>
  <c r="J75" i="27"/>
  <c r="J106" i="27"/>
  <c r="J100" i="27"/>
  <c r="J90" i="27"/>
  <c r="J82" i="27"/>
  <c r="J70" i="27"/>
  <c r="J66" i="27"/>
  <c r="J107" i="27"/>
  <c r="J92" i="27"/>
  <c r="J57" i="27"/>
  <c r="J45" i="27"/>
  <c r="J91" i="27"/>
  <c r="J76" i="27"/>
  <c r="J49" i="27"/>
  <c r="J108" i="27"/>
  <c r="J101" i="27"/>
  <c r="J62" i="27"/>
  <c r="N12" i="27"/>
  <c r="J53" i="27"/>
  <c r="H287" i="18"/>
  <c r="N183" i="18"/>
  <c r="J183" i="18"/>
  <c r="P287" i="18"/>
  <c r="X183" i="18"/>
  <c r="L257" i="12"/>
  <c r="V249" i="15"/>
  <c r="N295" i="3"/>
  <c r="V296" i="3"/>
  <c r="V286" i="3"/>
  <c r="V270" i="3"/>
  <c r="V258" i="3"/>
  <c r="V250" i="3"/>
  <c r="V230" i="3"/>
  <c r="V206" i="3"/>
  <c r="V202" i="3"/>
  <c r="V198" i="3"/>
  <c r="V278" i="3"/>
  <c r="V307" i="3"/>
  <c r="V295" i="3"/>
  <c r="V293" i="3"/>
  <c r="V285" i="3"/>
  <c r="V269" i="3"/>
  <c r="V265" i="3"/>
  <c r="V253" i="3"/>
  <c r="V241" i="3"/>
  <c r="V233" i="3"/>
  <c r="V225" i="3"/>
  <c r="V217" i="3"/>
  <c r="V197" i="3"/>
  <c r="V193" i="3"/>
  <c r="V189" i="3"/>
  <c r="V185" i="3"/>
  <c r="V181" i="3"/>
  <c r="V177" i="3"/>
  <c r="V173" i="3"/>
  <c r="V169" i="3"/>
  <c r="V165" i="3"/>
  <c r="V161" i="3"/>
  <c r="V157" i="3"/>
  <c r="V153" i="3"/>
  <c r="V149" i="3"/>
  <c r="V145" i="3"/>
  <c r="V141" i="3"/>
  <c r="V137" i="3"/>
  <c r="V306" i="3"/>
  <c r="V288" i="3"/>
  <c r="V280" i="3"/>
  <c r="V276" i="3"/>
  <c r="V260" i="3"/>
  <c r="V252" i="3"/>
  <c r="V232" i="3"/>
  <c r="V216" i="3"/>
  <c r="V212" i="3"/>
  <c r="T195" i="3"/>
  <c r="V195" i="3" s="1"/>
  <c r="Z12" i="3"/>
  <c r="V305" i="3"/>
  <c r="V287" i="3"/>
  <c r="V271" i="3"/>
  <c r="V259" i="3"/>
  <c r="V255" i="3"/>
  <c r="V243" i="3"/>
  <c r="V235" i="3"/>
  <c r="V219" i="3"/>
  <c r="V207" i="3"/>
  <c r="V203" i="3"/>
  <c r="V199" i="3"/>
  <c r="V300" i="3"/>
  <c r="V290" i="3"/>
  <c r="V282" i="3"/>
  <c r="V304" i="3"/>
  <c r="V266" i="3"/>
  <c r="V254" i="3"/>
  <c r="V242" i="3"/>
  <c r="V234" i="3"/>
  <c r="V226" i="3"/>
  <c r="V218" i="3"/>
  <c r="V190" i="3"/>
  <c r="V186" i="3"/>
  <c r="V182" i="3"/>
  <c r="V178" i="3"/>
  <c r="V174" i="3"/>
  <c r="V170" i="3"/>
  <c r="V166" i="3"/>
  <c r="V162" i="3"/>
  <c r="V158" i="3"/>
  <c r="V154" i="3"/>
  <c r="V150" i="3"/>
  <c r="V146" i="3"/>
  <c r="V142" i="3"/>
  <c r="V138" i="3"/>
  <c r="V134" i="3"/>
  <c r="V316" i="3"/>
  <c r="V315" i="3"/>
  <c r="V311" i="3"/>
  <c r="V303" i="3"/>
  <c r="V289" i="3"/>
  <c r="V281" i="3"/>
  <c r="V277" i="3"/>
  <c r="V273" i="3"/>
  <c r="V261" i="3"/>
  <c r="V245" i="3"/>
  <c r="V237" i="3"/>
  <c r="V213" i="3"/>
  <c r="V209" i="3"/>
  <c r="V302" i="3"/>
  <c r="V272" i="3"/>
  <c r="V256" i="3"/>
  <c r="V244" i="3"/>
  <c r="V236" i="3"/>
  <c r="V228" i="3"/>
  <c r="V220" i="3"/>
  <c r="V208" i="3"/>
  <c r="V204" i="3"/>
  <c r="V200" i="3"/>
  <c r="V301" i="3"/>
  <c r="V283" i="3"/>
  <c r="V267" i="3"/>
  <c r="V247" i="3"/>
  <c r="V227" i="3"/>
  <c r="V191" i="3"/>
  <c r="V187" i="3"/>
  <c r="V183" i="3"/>
  <c r="V179" i="3"/>
  <c r="V175" i="3"/>
  <c r="V171" i="3"/>
  <c r="V167" i="3"/>
  <c r="V163" i="3"/>
  <c r="V159" i="3"/>
  <c r="V155" i="3"/>
  <c r="V151" i="3"/>
  <c r="V147" i="3"/>
  <c r="V143" i="3"/>
  <c r="V139" i="3"/>
  <c r="V135" i="3"/>
  <c r="V262" i="3"/>
  <c r="V246" i="3"/>
  <c r="V274" i="3"/>
  <c r="V299" i="3"/>
  <c r="V257" i="3"/>
  <c r="V249" i="3"/>
  <c r="V229" i="3"/>
  <c r="V221" i="3"/>
  <c r="V205" i="3"/>
  <c r="V201" i="3"/>
  <c r="V297" i="3"/>
  <c r="V291" i="3"/>
  <c r="V279" i="3"/>
  <c r="V275" i="3"/>
  <c r="V263" i="3"/>
  <c r="V251" i="3"/>
  <c r="V239" i="3"/>
  <c r="V231" i="3"/>
  <c r="V223" i="3"/>
  <c r="V215" i="3"/>
  <c r="V211" i="3"/>
  <c r="V248" i="3"/>
  <c r="V210" i="3"/>
  <c r="V222" i="3"/>
  <c r="V188" i="3"/>
  <c r="V148" i="3"/>
  <c r="V136" i="3"/>
  <c r="V284" i="3"/>
  <c r="V224" i="3"/>
  <c r="V168" i="3"/>
  <c r="V238" i="3"/>
  <c r="V180" i="3"/>
  <c r="V240" i="3"/>
  <c r="V192" i="3"/>
  <c r="V160" i="3"/>
  <c r="V298" i="3"/>
  <c r="V268" i="3"/>
  <c r="V172" i="3"/>
  <c r="V152" i="3"/>
  <c r="V140" i="3"/>
  <c r="V264" i="3"/>
  <c r="V214" i="3"/>
  <c r="V176" i="3"/>
  <c r="V292" i="3"/>
  <c r="V184" i="3"/>
  <c r="V144" i="3"/>
  <c r="V164" i="3"/>
  <c r="V156" i="3"/>
  <c r="T27" i="111"/>
  <c r="Z18" i="111"/>
  <c r="X18" i="52"/>
  <c r="P27" i="52"/>
  <c r="T27" i="46"/>
  <c r="Z18" i="46"/>
  <c r="L18" i="41"/>
  <c r="D27" i="41"/>
  <c r="T27" i="38"/>
  <c r="Z18" i="38"/>
  <c r="L18" i="35"/>
  <c r="D27" i="35"/>
  <c r="Z18" i="40"/>
  <c r="T27" i="40"/>
  <c r="P27" i="35"/>
  <c r="X18" i="35"/>
  <c r="H27" i="23"/>
  <c r="N18" i="23"/>
  <c r="D27" i="19"/>
  <c r="L18" i="19"/>
  <c r="P27" i="26"/>
  <c r="X18" i="26"/>
  <c r="H27" i="8"/>
  <c r="N18" i="8"/>
  <c r="T27" i="5"/>
  <c r="Z18" i="5"/>
  <c r="N27" i="38" l="1"/>
  <c r="H31" i="38"/>
  <c r="Z27" i="5"/>
  <c r="T31" i="5"/>
  <c r="Z27" i="111"/>
  <c r="T31" i="111"/>
  <c r="X65" i="68"/>
  <c r="Z65" i="68" s="1"/>
  <c r="P110" i="68"/>
  <c r="D74" i="56"/>
  <c r="L70" i="56"/>
  <c r="N70" i="56" s="1"/>
  <c r="P104" i="76"/>
  <c r="X54" i="76"/>
  <c r="Z54" i="76" s="1"/>
  <c r="D93" i="91"/>
  <c r="L89" i="91"/>
  <c r="H95" i="105"/>
  <c r="J92" i="105"/>
  <c r="P40" i="55"/>
  <c r="Z21" i="105"/>
  <c r="T88" i="105"/>
  <c r="D85" i="103"/>
  <c r="L21" i="103"/>
  <c r="T291" i="18"/>
  <c r="V287" i="18"/>
  <c r="L65" i="57"/>
  <c r="N65" i="57" s="1"/>
  <c r="D69" i="57"/>
  <c r="T48" i="104"/>
  <c r="X27" i="50"/>
  <c r="P31" i="50"/>
  <c r="X71" i="58"/>
  <c r="P75" i="58"/>
  <c r="H136" i="74"/>
  <c r="J132" i="74"/>
  <c r="P47" i="98"/>
  <c r="X43" i="98"/>
  <c r="R43" i="98"/>
  <c r="P31" i="23"/>
  <c r="X27" i="23"/>
  <c r="N27" i="40"/>
  <c r="H31" i="40"/>
  <c r="N27" i="110"/>
  <c r="H31" i="110"/>
  <c r="P97" i="45"/>
  <c r="X93" i="45"/>
  <c r="R93" i="45"/>
  <c r="D63" i="100"/>
  <c r="X27" i="47"/>
  <c r="P31" i="47"/>
  <c r="N27" i="44"/>
  <c r="H31" i="44"/>
  <c r="D31" i="37"/>
  <c r="L27" i="37"/>
  <c r="T264" i="15"/>
  <c r="V260" i="15"/>
  <c r="T95" i="33"/>
  <c r="X95" i="33" s="1"/>
  <c r="Z36" i="33"/>
  <c r="H31" i="17"/>
  <c r="N27" i="17"/>
  <c r="N27" i="41"/>
  <c r="H31" i="41"/>
  <c r="H31" i="14"/>
  <c r="N27" i="14"/>
  <c r="D37" i="55"/>
  <c r="L33" i="55"/>
  <c r="P34" i="85"/>
  <c r="R30" i="85"/>
  <c r="L88" i="105"/>
  <c r="N88" i="105" s="1"/>
  <c r="D92" i="105"/>
  <c r="F88" i="105"/>
  <c r="Z27" i="35"/>
  <c r="T31" i="35"/>
  <c r="H31" i="111"/>
  <c r="N27" i="111"/>
  <c r="P26" i="6"/>
  <c r="X22" i="6"/>
  <c r="P84" i="73"/>
  <c r="X80" i="73"/>
  <c r="D93" i="45"/>
  <c r="L23" i="45"/>
  <c r="N23" i="45" s="1"/>
  <c r="P31" i="5"/>
  <c r="X27" i="5"/>
  <c r="T110" i="68"/>
  <c r="N27" i="8"/>
  <c r="H31" i="8"/>
  <c r="T74" i="94"/>
  <c r="D313" i="3"/>
  <c r="F309" i="3"/>
  <c r="H115" i="84"/>
  <c r="P73" i="88"/>
  <c r="X69" i="88"/>
  <c r="L27" i="8"/>
  <c r="D31" i="8"/>
  <c r="D67" i="48"/>
  <c r="L63" i="48"/>
  <c r="F63" i="48"/>
  <c r="L116" i="70"/>
  <c r="N116" i="70" s="1"/>
  <c r="D120" i="70"/>
  <c r="F116" i="70"/>
  <c r="P84" i="97"/>
  <c r="X80" i="97"/>
  <c r="Z80" i="97" s="1"/>
  <c r="D31" i="5"/>
  <c r="L27" i="5"/>
  <c r="X27" i="20"/>
  <c r="P31" i="20"/>
  <c r="H99" i="33"/>
  <c r="J95" i="33"/>
  <c r="T62" i="67"/>
  <c r="H67" i="78"/>
  <c r="L67" i="78" s="1"/>
  <c r="N63" i="78"/>
  <c r="J63" i="78"/>
  <c r="T98" i="9"/>
  <c r="Z27" i="20"/>
  <c r="T31" i="20"/>
  <c r="H100" i="21"/>
  <c r="P50" i="102"/>
  <c r="X46" i="102"/>
  <c r="Z46" i="102" s="1"/>
  <c r="L80" i="73"/>
  <c r="D84" i="73"/>
  <c r="H74" i="56"/>
  <c r="T107" i="21"/>
  <c r="V104" i="21"/>
  <c r="P72" i="57"/>
  <c r="H110" i="68"/>
  <c r="N65" i="68"/>
  <c r="P76" i="72"/>
  <c r="H31" i="11"/>
  <c r="N27" i="11"/>
  <c r="N27" i="31"/>
  <c r="H31" i="31"/>
  <c r="T104" i="51"/>
  <c r="T31" i="7"/>
  <c r="Z27" i="7"/>
  <c r="L27" i="34"/>
  <c r="D31" i="34"/>
  <c r="F23" i="45"/>
  <c r="P122" i="42"/>
  <c r="X118" i="42"/>
  <c r="Z118" i="42" s="1"/>
  <c r="R118" i="42"/>
  <c r="F67" i="109"/>
  <c r="D70" i="109"/>
  <c r="D117" i="27"/>
  <c r="L59" i="27"/>
  <c r="N59" i="27" s="1"/>
  <c r="T86" i="87"/>
  <c r="Z82" i="87"/>
  <c r="V82" i="87"/>
  <c r="X35" i="108"/>
  <c r="Z35" i="108" s="1"/>
  <c r="P39" i="108"/>
  <c r="D104" i="51"/>
  <c r="L54" i="51"/>
  <c r="N54" i="51" s="1"/>
  <c r="D48" i="104"/>
  <c r="L21" i="104"/>
  <c r="N27" i="22"/>
  <c r="H31" i="22"/>
  <c r="X19" i="100"/>
  <c r="Z19" i="100" s="1"/>
  <c r="P59" i="100"/>
  <c r="Z27" i="29"/>
  <c r="T31" i="29"/>
  <c r="D70" i="78"/>
  <c r="D161" i="30"/>
  <c r="L84" i="30"/>
  <c r="N84" i="30" s="1"/>
  <c r="L27" i="53"/>
  <c r="D31" i="53"/>
  <c r="T71" i="69"/>
  <c r="V68" i="69"/>
  <c r="L27" i="26"/>
  <c r="D31" i="26"/>
  <c r="X27" i="53"/>
  <c r="P31" i="53"/>
  <c r="T97" i="45"/>
  <c r="Z93" i="45"/>
  <c r="V93" i="45"/>
  <c r="V65" i="68"/>
  <c r="P89" i="87"/>
  <c r="X86" i="87"/>
  <c r="Z27" i="22"/>
  <c r="T31" i="22"/>
  <c r="D31" i="6"/>
  <c r="H104" i="63"/>
  <c r="D69" i="88"/>
  <c r="L20" i="88"/>
  <c r="N20" i="88" s="1"/>
  <c r="H47" i="98"/>
  <c r="J43" i="98"/>
  <c r="L27" i="10"/>
  <c r="D31" i="10"/>
  <c r="T31" i="28"/>
  <c r="Z27" i="28"/>
  <c r="N27" i="43"/>
  <c r="H31" i="43"/>
  <c r="H37" i="55"/>
  <c r="N33" i="55"/>
  <c r="H54" i="60"/>
  <c r="D31" i="14"/>
  <c r="L27" i="14"/>
  <c r="L30" i="85"/>
  <c r="N30" i="85" s="1"/>
  <c r="D34" i="85"/>
  <c r="H95" i="9"/>
  <c r="H260" i="15"/>
  <c r="N158" i="15"/>
  <c r="T63" i="48"/>
  <c r="T39" i="108"/>
  <c r="H39" i="108"/>
  <c r="X27" i="26"/>
  <c r="P31" i="26"/>
  <c r="Z27" i="38"/>
  <c r="T31" i="38"/>
  <c r="P291" i="18"/>
  <c r="X287" i="18"/>
  <c r="Z287" i="18" s="1"/>
  <c r="R287" i="18"/>
  <c r="D79" i="75"/>
  <c r="L75" i="75"/>
  <c r="N75" i="75" s="1"/>
  <c r="F75" i="75"/>
  <c r="T75" i="75"/>
  <c r="T93" i="91"/>
  <c r="T31" i="44"/>
  <c r="Z27" i="44"/>
  <c r="D73" i="93"/>
  <c r="L27" i="29"/>
  <c r="D31" i="29"/>
  <c r="L287" i="18"/>
  <c r="D291" i="18"/>
  <c r="F287" i="18"/>
  <c r="D62" i="67"/>
  <c r="L58" i="67"/>
  <c r="H47" i="99"/>
  <c r="D31" i="38"/>
  <c r="L27" i="38"/>
  <c r="D26" i="54"/>
  <c r="L22" i="54"/>
  <c r="T70" i="109"/>
  <c r="V67" i="109"/>
  <c r="L27" i="28"/>
  <c r="D31" i="28"/>
  <c r="P66" i="93"/>
  <c r="X20" i="93"/>
  <c r="Z20" i="93" s="1"/>
  <c r="D47" i="99"/>
  <c r="L43" i="99"/>
  <c r="N43" i="99" s="1"/>
  <c r="X27" i="44"/>
  <c r="P31" i="44"/>
  <c r="X21" i="104"/>
  <c r="Z21" i="104" s="1"/>
  <c r="D31" i="7"/>
  <c r="L27" i="7"/>
  <c r="N27" i="28"/>
  <c r="H31" i="28"/>
  <c r="N27" i="52"/>
  <c r="H31" i="52"/>
  <c r="P260" i="15"/>
  <c r="X158" i="15"/>
  <c r="Z158" i="15" s="1"/>
  <c r="P126" i="36"/>
  <c r="X122" i="36"/>
  <c r="Z122" i="36" s="1"/>
  <c r="R122" i="36"/>
  <c r="X50" i="60"/>
  <c r="Z50" i="60" s="1"/>
  <c r="P54" i="60"/>
  <c r="N27" i="35"/>
  <c r="H31" i="35"/>
  <c r="P100" i="21"/>
  <c r="X26" i="21"/>
  <c r="Z26" i="21" s="1"/>
  <c r="H122" i="42"/>
  <c r="J118" i="42"/>
  <c r="D54" i="60"/>
  <c r="L50" i="60"/>
  <c r="N50" i="60" s="1"/>
  <c r="P83" i="107"/>
  <c r="X21" i="107"/>
  <c r="P31" i="25"/>
  <c r="X27" i="25"/>
  <c r="X27" i="41"/>
  <c r="P31" i="41"/>
  <c r="T84" i="73"/>
  <c r="Z80" i="73"/>
  <c r="V80" i="73"/>
  <c r="L27" i="35"/>
  <c r="D31" i="35"/>
  <c r="Z59" i="27"/>
  <c r="T117" i="27"/>
  <c r="L27" i="41"/>
  <c r="D31" i="41"/>
  <c r="T115" i="84"/>
  <c r="Z54" i="84"/>
  <c r="Z27" i="47"/>
  <c r="T31" i="47"/>
  <c r="L48" i="61"/>
  <c r="D52" i="61"/>
  <c r="L35" i="108"/>
  <c r="N35" i="108" s="1"/>
  <c r="D39" i="108"/>
  <c r="T31" i="10"/>
  <c r="Z27" i="10"/>
  <c r="N27" i="29"/>
  <c r="H31" i="29"/>
  <c r="H128" i="24"/>
  <c r="J124" i="24"/>
  <c r="H37" i="85"/>
  <c r="J34" i="85"/>
  <c r="T81" i="101"/>
  <c r="V77" i="101"/>
  <c r="D31" i="11"/>
  <c r="L27" i="11"/>
  <c r="N27" i="53"/>
  <c r="H31" i="53"/>
  <c r="X127" i="39"/>
  <c r="P131" i="39"/>
  <c r="R127" i="39"/>
  <c r="H79" i="75"/>
  <c r="J75" i="75"/>
  <c r="H80" i="83"/>
  <c r="L80" i="83" s="1"/>
  <c r="N20" i="83"/>
  <c r="T122" i="42"/>
  <c r="V118" i="42"/>
  <c r="P31" i="7"/>
  <c r="X27" i="7"/>
  <c r="L27" i="32"/>
  <c r="D31" i="32"/>
  <c r="P99" i="33"/>
  <c r="R95" i="33"/>
  <c r="N27" i="7"/>
  <c r="H31" i="7"/>
  <c r="P31" i="34"/>
  <c r="X27" i="34"/>
  <c r="H77" i="92"/>
  <c r="J74" i="92"/>
  <c r="P52" i="104"/>
  <c r="L27" i="25"/>
  <c r="D31" i="25"/>
  <c r="D104" i="63"/>
  <c r="L100" i="63"/>
  <c r="N100" i="63" s="1"/>
  <c r="P268" i="12"/>
  <c r="X163" i="12"/>
  <c r="D64" i="59"/>
  <c r="L60" i="59"/>
  <c r="N60" i="59" s="1"/>
  <c r="P78" i="94"/>
  <c r="R74" i="94"/>
  <c r="X27" i="37"/>
  <c r="P31" i="37"/>
  <c r="N195" i="3"/>
  <c r="H309" i="3"/>
  <c r="L309" i="3" s="1"/>
  <c r="Z58" i="70"/>
  <c r="T116" i="70"/>
  <c r="L27" i="22"/>
  <c r="D31" i="22"/>
  <c r="N27" i="19"/>
  <c r="H31" i="19"/>
  <c r="H26" i="6"/>
  <c r="N22" i="6"/>
  <c r="X27" i="112"/>
  <c r="P31" i="112"/>
  <c r="D31" i="19"/>
  <c r="L27" i="19"/>
  <c r="H97" i="45"/>
  <c r="J93" i="45"/>
  <c r="X20" i="80"/>
  <c r="Z20" i="80" s="1"/>
  <c r="P69" i="80"/>
  <c r="N19" i="100"/>
  <c r="H59" i="100"/>
  <c r="Z27" i="43"/>
  <c r="T31" i="43"/>
  <c r="H108" i="51"/>
  <c r="J104" i="51"/>
  <c r="T73" i="80"/>
  <c r="V69" i="80"/>
  <c r="L21" i="82"/>
  <c r="N21" i="82" s="1"/>
  <c r="D27" i="82"/>
  <c r="H73" i="88"/>
  <c r="J69" i="88"/>
  <c r="D74" i="92"/>
  <c r="L70" i="92"/>
  <c r="N70" i="92" s="1"/>
  <c r="V84" i="30"/>
  <c r="P68" i="69"/>
  <c r="X64" i="69"/>
  <c r="Z64" i="69" s="1"/>
  <c r="Z77" i="74"/>
  <c r="T132" i="74"/>
  <c r="P31" i="28"/>
  <c r="X27" i="28"/>
  <c r="T31" i="11"/>
  <c r="Z27" i="11"/>
  <c r="P31" i="10"/>
  <c r="X27" i="10"/>
  <c r="X27" i="38"/>
  <c r="P31" i="38"/>
  <c r="L27" i="49"/>
  <c r="D31" i="49"/>
  <c r="T268" i="12"/>
  <c r="Z163" i="12"/>
  <c r="H26" i="54"/>
  <c r="N22" i="54"/>
  <c r="X21" i="105"/>
  <c r="P88" i="105"/>
  <c r="N27" i="49"/>
  <c r="H31" i="49"/>
  <c r="H165" i="30"/>
  <c r="J161" i="30"/>
  <c r="N20" i="80"/>
  <c r="H69" i="80"/>
  <c r="L69" i="80" s="1"/>
  <c r="P84" i="83"/>
  <c r="X80" i="83"/>
  <c r="Z80" i="83" s="1"/>
  <c r="L27" i="31"/>
  <c r="D31" i="31"/>
  <c r="D31" i="4"/>
  <c r="L27" i="4"/>
  <c r="V36" i="33"/>
  <c r="H68" i="79"/>
  <c r="L20" i="79"/>
  <c r="N20" i="79" s="1"/>
  <c r="N27" i="10"/>
  <c r="H31" i="10"/>
  <c r="Z27" i="52"/>
  <c r="T31" i="52"/>
  <c r="P124" i="24"/>
  <c r="X74" i="24"/>
  <c r="Z74" i="24" s="1"/>
  <c r="H62" i="67"/>
  <c r="N58" i="67"/>
  <c r="T87" i="97"/>
  <c r="V84" i="97"/>
  <c r="Z27" i="25"/>
  <c r="T31" i="25"/>
  <c r="P31" i="40"/>
  <c r="X27" i="40"/>
  <c r="T108" i="76"/>
  <c r="V104" i="76"/>
  <c r="X20" i="94"/>
  <c r="Z20" i="94" s="1"/>
  <c r="L27" i="20"/>
  <c r="D31" i="20"/>
  <c r="J195" i="3"/>
  <c r="X17" i="48"/>
  <c r="Z17" i="48" s="1"/>
  <c r="V17" i="48"/>
  <c r="Z27" i="37"/>
  <c r="T31" i="37"/>
  <c r="N287" i="18"/>
  <c r="H291" i="18"/>
  <c r="J287" i="18"/>
  <c r="H131" i="39"/>
  <c r="N127" i="39"/>
  <c r="J127" i="39"/>
  <c r="L132" i="74"/>
  <c r="N132" i="74" s="1"/>
  <c r="D136" i="74"/>
  <c r="F132" i="74"/>
  <c r="H84" i="73"/>
  <c r="N80" i="73"/>
  <c r="J80" i="73"/>
  <c r="P91" i="95"/>
  <c r="X87" i="95"/>
  <c r="Z87" i="95" s="1"/>
  <c r="R87" i="95"/>
  <c r="J54" i="84"/>
  <c r="N77" i="101"/>
  <c r="H81" i="101"/>
  <c r="L81" i="101" s="1"/>
  <c r="J77" i="101"/>
  <c r="H31" i="13"/>
  <c r="N27" i="13"/>
  <c r="H31" i="37"/>
  <c r="N27" i="37"/>
  <c r="X89" i="91"/>
  <c r="Z89" i="91" s="1"/>
  <c r="P93" i="91"/>
  <c r="Z27" i="8"/>
  <c r="T31" i="8"/>
  <c r="H104" i="76"/>
  <c r="Z69" i="88"/>
  <c r="T73" i="88"/>
  <c r="V69" i="88"/>
  <c r="H83" i="107"/>
  <c r="N21" i="107"/>
  <c r="J26" i="21"/>
  <c r="P79" i="75"/>
  <c r="X75" i="75"/>
  <c r="R75" i="75"/>
  <c r="H93" i="91"/>
  <c r="N89" i="91"/>
  <c r="T31" i="26"/>
  <c r="Z27" i="26"/>
  <c r="N27" i="32"/>
  <c r="H31" i="32"/>
  <c r="Z27" i="50"/>
  <c r="T31" i="50"/>
  <c r="X59" i="27"/>
  <c r="P117" i="27"/>
  <c r="P64" i="59"/>
  <c r="X60" i="59"/>
  <c r="Z60" i="59" s="1"/>
  <c r="P63" i="78"/>
  <c r="X24" i="78"/>
  <c r="D81" i="94"/>
  <c r="H50" i="102"/>
  <c r="D126" i="36"/>
  <c r="F122" i="36"/>
  <c r="L27" i="16"/>
  <c r="D31" i="16"/>
  <c r="D31" i="47"/>
  <c r="L27" i="47"/>
  <c r="R26" i="21"/>
  <c r="D87" i="97"/>
  <c r="H31" i="47"/>
  <c r="N27" i="47"/>
  <c r="X63" i="48"/>
  <c r="P67" i="48"/>
  <c r="R63" i="48"/>
  <c r="L43" i="98"/>
  <c r="N43" i="98" s="1"/>
  <c r="D47" i="98"/>
  <c r="F43" i="98"/>
  <c r="L82" i="87"/>
  <c r="D86" i="87"/>
  <c r="D75" i="58"/>
  <c r="L71" i="58"/>
  <c r="H120" i="70"/>
  <c r="J116" i="70"/>
  <c r="T70" i="92"/>
  <c r="X70" i="92" s="1"/>
  <c r="X27" i="43"/>
  <c r="P31" i="43"/>
  <c r="Z27" i="112"/>
  <c r="T31" i="112"/>
  <c r="N27" i="23"/>
  <c r="H31" i="23"/>
  <c r="T31" i="46"/>
  <c r="Z27" i="46"/>
  <c r="H117" i="27"/>
  <c r="P136" i="74"/>
  <c r="X132" i="74"/>
  <c r="R132" i="74"/>
  <c r="P115" i="84"/>
  <c r="X54" i="84"/>
  <c r="H31" i="5"/>
  <c r="N27" i="5"/>
  <c r="D31" i="52"/>
  <c r="L27" i="52"/>
  <c r="T77" i="56"/>
  <c r="T84" i="83"/>
  <c r="V80" i="83"/>
  <c r="X27" i="14"/>
  <c r="P31" i="14"/>
  <c r="X27" i="31"/>
  <c r="P31" i="31"/>
  <c r="T129" i="36"/>
  <c r="V126" i="36"/>
  <c r="H68" i="69"/>
  <c r="J64" i="69"/>
  <c r="X21" i="103"/>
  <c r="P85" i="103"/>
  <c r="P31" i="8"/>
  <c r="X27" i="8"/>
  <c r="L27" i="40"/>
  <c r="D31" i="40"/>
  <c r="P104" i="51"/>
  <c r="X54" i="51"/>
  <c r="Z54" i="51" s="1"/>
  <c r="P47" i="99"/>
  <c r="X43" i="99"/>
  <c r="Z43" i="99" s="1"/>
  <c r="D131" i="39"/>
  <c r="L127" i="39"/>
  <c r="F127" i="39"/>
  <c r="H75" i="58"/>
  <c r="N71" i="58"/>
  <c r="T72" i="72"/>
  <c r="Z23" i="72"/>
  <c r="L54" i="84"/>
  <c r="N54" i="84" s="1"/>
  <c r="D115" i="84"/>
  <c r="Z27" i="16"/>
  <c r="T31" i="16"/>
  <c r="N27" i="34"/>
  <c r="H31" i="34"/>
  <c r="X27" i="110"/>
  <c r="P31" i="110"/>
  <c r="D128" i="24"/>
  <c r="L124" i="24"/>
  <c r="N124" i="24" s="1"/>
  <c r="X28" i="75"/>
  <c r="Z28" i="75" s="1"/>
  <c r="L27" i="46"/>
  <c r="D31" i="46"/>
  <c r="P165" i="30"/>
  <c r="X161" i="30"/>
  <c r="R161" i="30"/>
  <c r="X20" i="79"/>
  <c r="Z20" i="79" s="1"/>
  <c r="P68" i="79"/>
  <c r="H67" i="109"/>
  <c r="L67" i="109" s="1"/>
  <c r="N63" i="109"/>
  <c r="J63" i="109"/>
  <c r="Z27" i="13"/>
  <c r="T31" i="13"/>
  <c r="N27" i="25"/>
  <c r="H31" i="25"/>
  <c r="H31" i="50"/>
  <c r="N27" i="50"/>
  <c r="D79" i="72"/>
  <c r="P74" i="92"/>
  <c r="H31" i="4"/>
  <c r="N27" i="4"/>
  <c r="N48" i="61"/>
  <c r="H52" i="61"/>
  <c r="Z27" i="34"/>
  <c r="T31" i="34"/>
  <c r="V34" i="82"/>
  <c r="P63" i="109"/>
  <c r="X17" i="109"/>
  <c r="Z17" i="109" s="1"/>
  <c r="N27" i="20"/>
  <c r="H31" i="20"/>
  <c r="T161" i="30"/>
  <c r="Z84" i="30"/>
  <c r="X27" i="19"/>
  <c r="P31" i="19"/>
  <c r="X27" i="52"/>
  <c r="P31" i="52"/>
  <c r="V28" i="75"/>
  <c r="T47" i="98"/>
  <c r="Z43" i="98"/>
  <c r="V43" i="98"/>
  <c r="N21" i="103"/>
  <c r="H85" i="103"/>
  <c r="P31" i="11"/>
  <c r="X27" i="11"/>
  <c r="L27" i="43"/>
  <c r="D31" i="43"/>
  <c r="N27" i="112"/>
  <c r="H31" i="112"/>
  <c r="T128" i="24"/>
  <c r="V124" i="24"/>
  <c r="D31" i="17"/>
  <c r="L27" i="17"/>
  <c r="L27" i="110"/>
  <c r="D31" i="110"/>
  <c r="H31" i="82"/>
  <c r="J27" i="82"/>
  <c r="H78" i="94"/>
  <c r="L78" i="94" s="1"/>
  <c r="N74" i="94"/>
  <c r="J74" i="94"/>
  <c r="Z27" i="110"/>
  <c r="T31" i="110"/>
  <c r="T70" i="93"/>
  <c r="V66" i="93"/>
  <c r="Z27" i="19"/>
  <c r="T31" i="19"/>
  <c r="T31" i="32"/>
  <c r="Z27" i="32"/>
  <c r="Z22" i="6"/>
  <c r="T26" i="6"/>
  <c r="L54" i="76"/>
  <c r="N54" i="76" s="1"/>
  <c r="D31" i="13"/>
  <c r="L27" i="13"/>
  <c r="X195" i="3"/>
  <c r="P309" i="3"/>
  <c r="D99" i="33"/>
  <c r="L95" i="33"/>
  <c r="N95" i="33" s="1"/>
  <c r="F95" i="33"/>
  <c r="J65" i="68"/>
  <c r="X19" i="92"/>
  <c r="Z19" i="92" s="1"/>
  <c r="X27" i="17"/>
  <c r="P31" i="17"/>
  <c r="D95" i="9"/>
  <c r="L91" i="9"/>
  <c r="N91" i="9" s="1"/>
  <c r="V54" i="51"/>
  <c r="P31" i="82"/>
  <c r="X27" i="82"/>
  <c r="Z27" i="82" s="1"/>
  <c r="R27" i="82"/>
  <c r="P31" i="46"/>
  <c r="X27" i="46"/>
  <c r="P31" i="29"/>
  <c r="X27" i="29"/>
  <c r="D31" i="112"/>
  <c r="L27" i="112"/>
  <c r="N82" i="87"/>
  <c r="H86" i="87"/>
  <c r="J82" i="87"/>
  <c r="Z27" i="14"/>
  <c r="T31" i="14"/>
  <c r="L27" i="44"/>
  <c r="D31" i="44"/>
  <c r="X22" i="54"/>
  <c r="P26" i="54"/>
  <c r="L260" i="15"/>
  <c r="D264" i="15"/>
  <c r="F260" i="15"/>
  <c r="P31" i="32"/>
  <c r="X27" i="32"/>
  <c r="T69" i="57"/>
  <c r="X69" i="57" s="1"/>
  <c r="Z65" i="57"/>
  <c r="X27" i="35"/>
  <c r="P31" i="35"/>
  <c r="H67" i="48"/>
  <c r="N63" i="48"/>
  <c r="J63" i="48"/>
  <c r="T72" i="79"/>
  <c r="V68" i="79"/>
  <c r="X77" i="101"/>
  <c r="Z77" i="101" s="1"/>
  <c r="P81" i="101"/>
  <c r="H31" i="16"/>
  <c r="N27" i="16"/>
  <c r="H268" i="12"/>
  <c r="L268" i="12" s="1"/>
  <c r="T57" i="60"/>
  <c r="D110" i="68"/>
  <c r="L65" i="68"/>
  <c r="D84" i="83"/>
  <c r="T31" i="17"/>
  <c r="Z27" i="17"/>
  <c r="P31" i="16"/>
  <c r="X27" i="16"/>
  <c r="L27" i="50"/>
  <c r="D31" i="50"/>
  <c r="N66" i="93"/>
  <c r="H70" i="93"/>
  <c r="J66" i="93"/>
  <c r="L46" i="102"/>
  <c r="N46" i="102" s="1"/>
  <c r="D50" i="102"/>
  <c r="X27" i="13"/>
  <c r="P31" i="13"/>
  <c r="D31" i="111"/>
  <c r="L27" i="111"/>
  <c r="D272" i="12"/>
  <c r="F268" i="12"/>
  <c r="T64" i="59"/>
  <c r="H91" i="95"/>
  <c r="J87" i="95"/>
  <c r="X27" i="49"/>
  <c r="P31" i="49"/>
  <c r="L118" i="42"/>
  <c r="N118" i="42" s="1"/>
  <c r="D122" i="42"/>
  <c r="F118" i="42"/>
  <c r="D73" i="80"/>
  <c r="P31" i="22"/>
  <c r="X27" i="22"/>
  <c r="T127" i="39"/>
  <c r="Z33" i="39"/>
  <c r="Z18" i="85"/>
  <c r="T30" i="85"/>
  <c r="X30" i="85" s="1"/>
  <c r="H80" i="97"/>
  <c r="N20" i="97"/>
  <c r="L20" i="97"/>
  <c r="T83" i="107"/>
  <c r="Z21" i="107"/>
  <c r="L104" i="76"/>
  <c r="D108" i="76"/>
  <c r="F104" i="76"/>
  <c r="N27" i="26"/>
  <c r="H31" i="26"/>
  <c r="Z21" i="103"/>
  <c r="T85" i="103"/>
  <c r="Z27" i="4"/>
  <c r="T31" i="4"/>
  <c r="Z27" i="53"/>
  <c r="T31" i="53"/>
  <c r="N72" i="72"/>
  <c r="H76" i="72"/>
  <c r="J72" i="72"/>
  <c r="T63" i="100"/>
  <c r="V59" i="100"/>
  <c r="T53" i="102"/>
  <c r="Z104" i="63"/>
  <c r="T107" i="63"/>
  <c r="X107" i="63" s="1"/>
  <c r="T37" i="55"/>
  <c r="X37" i="55" s="1"/>
  <c r="P62" i="67"/>
  <c r="X58" i="67"/>
  <c r="Z58" i="67" s="1"/>
  <c r="Z27" i="40"/>
  <c r="T31" i="40"/>
  <c r="T309" i="3"/>
  <c r="Z195" i="3"/>
  <c r="D87" i="107"/>
  <c r="L83" i="107"/>
  <c r="Z27" i="23"/>
  <c r="T31" i="23"/>
  <c r="T31" i="31"/>
  <c r="Z27" i="31"/>
  <c r="X33" i="55"/>
  <c r="Z33" i="55" s="1"/>
  <c r="H122" i="36"/>
  <c r="L122" i="36" s="1"/>
  <c r="N28" i="36"/>
  <c r="X70" i="56"/>
  <c r="Z70" i="56" s="1"/>
  <c r="P74" i="56"/>
  <c r="V94" i="95"/>
  <c r="Z27" i="49"/>
  <c r="T31" i="49"/>
  <c r="L163" i="12"/>
  <c r="N163" i="12" s="1"/>
  <c r="V19" i="92"/>
  <c r="D100" i="21"/>
  <c r="L26" i="21"/>
  <c r="N26" i="21" s="1"/>
  <c r="L87" i="95"/>
  <c r="N87" i="95" s="1"/>
  <c r="D91" i="95"/>
  <c r="F87" i="95"/>
  <c r="H67" i="59"/>
  <c r="N27" i="46"/>
  <c r="H31" i="46"/>
  <c r="Z22" i="54"/>
  <c r="T26" i="54"/>
  <c r="T63" i="78"/>
  <c r="Z24" i="78"/>
  <c r="H48" i="104"/>
  <c r="N21" i="104"/>
  <c r="Z27" i="41"/>
  <c r="T31" i="41"/>
  <c r="H72" i="57"/>
  <c r="T75" i="58"/>
  <c r="Z71" i="58"/>
  <c r="V21" i="107"/>
  <c r="P120" i="70"/>
  <c r="X116" i="70"/>
  <c r="R116" i="70"/>
  <c r="L27" i="23"/>
  <c r="D31" i="23"/>
  <c r="X27" i="111"/>
  <c r="P31" i="111"/>
  <c r="P95" i="9"/>
  <c r="X91" i="9"/>
  <c r="Z91" i="9" s="1"/>
  <c r="L64" i="69"/>
  <c r="N64" i="69" s="1"/>
  <c r="D68" i="69"/>
  <c r="X27" i="4"/>
  <c r="P31" i="4"/>
  <c r="J158" i="15"/>
  <c r="P52" i="61"/>
  <c r="X48" i="61"/>
  <c r="Z48" i="61" s="1"/>
  <c r="D75" i="79"/>
  <c r="D84" i="101"/>
  <c r="H125" i="42" l="1"/>
  <c r="J122" i="42"/>
  <c r="P98" i="9"/>
  <c r="X98" i="9" s="1"/>
  <c r="X95" i="9"/>
  <c r="Z95" i="9" s="1"/>
  <c r="X74" i="56"/>
  <c r="Z74" i="56" s="1"/>
  <c r="P77" i="56"/>
  <c r="X77" i="56" s="1"/>
  <c r="T313" i="3"/>
  <c r="V309" i="3"/>
  <c r="T66" i="100"/>
  <c r="V63" i="100"/>
  <c r="H73" i="93"/>
  <c r="L73" i="93" s="1"/>
  <c r="J70" i="93"/>
  <c r="D87" i="83"/>
  <c r="H89" i="87"/>
  <c r="J86" i="87"/>
  <c r="L31" i="110"/>
  <c r="D36" i="110"/>
  <c r="P36" i="11"/>
  <c r="X31" i="11"/>
  <c r="P168" i="30"/>
  <c r="R165" i="30"/>
  <c r="Z31" i="16"/>
  <c r="T36" i="16"/>
  <c r="Z36" i="16" s="1"/>
  <c r="L131" i="39"/>
  <c r="D134" i="39"/>
  <c r="F131" i="39"/>
  <c r="Z77" i="56"/>
  <c r="H121" i="27"/>
  <c r="J117" i="27"/>
  <c r="P70" i="48"/>
  <c r="R67" i="48"/>
  <c r="Z31" i="50"/>
  <c r="T36" i="50"/>
  <c r="Z36" i="50" s="1"/>
  <c r="H294" i="18"/>
  <c r="J291" i="18"/>
  <c r="T111" i="76"/>
  <c r="V108" i="76"/>
  <c r="Z31" i="52"/>
  <c r="T36" i="52"/>
  <c r="Z36" i="52" s="1"/>
  <c r="P36" i="10"/>
  <c r="X31" i="10"/>
  <c r="X268" i="12"/>
  <c r="P272" i="12"/>
  <c r="R268" i="12"/>
  <c r="J37" i="85"/>
  <c r="T42" i="108"/>
  <c r="X31" i="53"/>
  <c r="P36" i="53"/>
  <c r="D52" i="104"/>
  <c r="L48" i="104"/>
  <c r="T36" i="7"/>
  <c r="Z36" i="7" s="1"/>
  <c r="Z31" i="7"/>
  <c r="Z31" i="41"/>
  <c r="T36" i="41"/>
  <c r="Z36" i="41" s="1"/>
  <c r="Z31" i="40"/>
  <c r="T36" i="40"/>
  <c r="Z36" i="40" s="1"/>
  <c r="L31" i="46"/>
  <c r="D36" i="46"/>
  <c r="N68" i="69"/>
  <c r="H71" i="69"/>
  <c r="J68" i="69"/>
  <c r="H123" i="70"/>
  <c r="J120" i="70"/>
  <c r="D129" i="36"/>
  <c r="F126" i="36"/>
  <c r="P96" i="91"/>
  <c r="X93" i="91"/>
  <c r="X91" i="95"/>
  <c r="Z91" i="95" s="1"/>
  <c r="P94" i="95"/>
  <c r="R91" i="95"/>
  <c r="P87" i="83"/>
  <c r="X84" i="83"/>
  <c r="H76" i="88"/>
  <c r="J73" i="88"/>
  <c r="H63" i="100"/>
  <c r="L63" i="100" s="1"/>
  <c r="H107" i="63"/>
  <c r="Z31" i="29"/>
  <c r="T36" i="29"/>
  <c r="Z36" i="29" s="1"/>
  <c r="T108" i="51"/>
  <c r="V104" i="51"/>
  <c r="H104" i="21"/>
  <c r="J100" i="21"/>
  <c r="H102" i="33"/>
  <c r="J99" i="33"/>
  <c r="L67" i="48"/>
  <c r="N67" i="48" s="1"/>
  <c r="D70" i="48"/>
  <c r="F67" i="48"/>
  <c r="D318" i="3"/>
  <c r="F313" i="3"/>
  <c r="L93" i="45"/>
  <c r="N93" i="45" s="1"/>
  <c r="D97" i="45"/>
  <c r="F93" i="45"/>
  <c r="P36" i="23"/>
  <c r="X31" i="23"/>
  <c r="T52" i="104"/>
  <c r="V48" i="104"/>
  <c r="D94" i="95"/>
  <c r="L91" i="95"/>
  <c r="N91" i="95" s="1"/>
  <c r="F91" i="95"/>
  <c r="T89" i="103"/>
  <c r="V85" i="103"/>
  <c r="H84" i="97"/>
  <c r="L80" i="97"/>
  <c r="N80" i="97" s="1"/>
  <c r="J80" i="97"/>
  <c r="D275" i="12"/>
  <c r="F272" i="12"/>
  <c r="L31" i="50"/>
  <c r="D36" i="50"/>
  <c r="T75" i="79"/>
  <c r="V72" i="79"/>
  <c r="X31" i="17"/>
  <c r="P36" i="17"/>
  <c r="D36" i="13"/>
  <c r="L31" i="13"/>
  <c r="T165" i="30"/>
  <c r="Z161" i="30"/>
  <c r="V161" i="30"/>
  <c r="H36" i="4"/>
  <c r="N36" i="4" s="1"/>
  <c r="N31" i="4"/>
  <c r="P50" i="99"/>
  <c r="X50" i="99" s="1"/>
  <c r="Z50" i="99" s="1"/>
  <c r="X47" i="99"/>
  <c r="Z47" i="99" s="1"/>
  <c r="T36" i="46"/>
  <c r="Z36" i="46" s="1"/>
  <c r="Z31" i="46"/>
  <c r="H53" i="102"/>
  <c r="N31" i="32"/>
  <c r="H36" i="32"/>
  <c r="N36" i="32" s="1"/>
  <c r="Z31" i="37"/>
  <c r="T36" i="37"/>
  <c r="Z36" i="37" s="1"/>
  <c r="P36" i="40"/>
  <c r="X31" i="40"/>
  <c r="N31" i="10"/>
  <c r="H36" i="10"/>
  <c r="N36" i="10" s="1"/>
  <c r="H73" i="80"/>
  <c r="L73" i="80" s="1"/>
  <c r="N69" i="80"/>
  <c r="J69" i="80"/>
  <c r="T36" i="11"/>
  <c r="Z36" i="11" s="1"/>
  <c r="Z31" i="11"/>
  <c r="H313" i="3"/>
  <c r="N309" i="3"/>
  <c r="J309" i="3"/>
  <c r="P134" i="39"/>
  <c r="R131" i="39"/>
  <c r="D50" i="99"/>
  <c r="L47" i="99"/>
  <c r="L70" i="93"/>
  <c r="N70" i="93" s="1"/>
  <c r="X291" i="18"/>
  <c r="P294" i="18"/>
  <c r="R291" i="18"/>
  <c r="T36" i="28"/>
  <c r="Z36" i="28" s="1"/>
  <c r="Z31" i="28"/>
  <c r="L31" i="26"/>
  <c r="D36" i="26"/>
  <c r="L104" i="51"/>
  <c r="N104" i="51" s="1"/>
  <c r="D108" i="51"/>
  <c r="F104" i="51"/>
  <c r="Z31" i="20"/>
  <c r="T36" i="20"/>
  <c r="Z36" i="20" s="1"/>
  <c r="X31" i="20"/>
  <c r="P36" i="20"/>
  <c r="L31" i="8"/>
  <c r="D36" i="8"/>
  <c r="L69" i="57"/>
  <c r="N69" i="57" s="1"/>
  <c r="D72" i="57"/>
  <c r="L72" i="57" s="1"/>
  <c r="N72" i="57" s="1"/>
  <c r="X110" i="68"/>
  <c r="Z110" i="68" s="1"/>
  <c r="P114" i="68"/>
  <c r="R110" i="68"/>
  <c r="L31" i="23"/>
  <c r="D36" i="23"/>
  <c r="N122" i="36"/>
  <c r="H126" i="36"/>
  <c r="L126" i="36" s="1"/>
  <c r="J122" i="36"/>
  <c r="T34" i="85"/>
  <c r="Z30" i="85"/>
  <c r="V30" i="85"/>
  <c r="L122" i="42"/>
  <c r="N122" i="42" s="1"/>
  <c r="D125" i="42"/>
  <c r="F122" i="42"/>
  <c r="D114" i="68"/>
  <c r="L110" i="68"/>
  <c r="N110" i="68" s="1"/>
  <c r="D267" i="15"/>
  <c r="F264" i="15"/>
  <c r="D36" i="112"/>
  <c r="L31" i="112"/>
  <c r="T73" i="93"/>
  <c r="V70" i="93"/>
  <c r="D36" i="17"/>
  <c r="L31" i="17"/>
  <c r="H89" i="103"/>
  <c r="J85" i="103"/>
  <c r="N31" i="20"/>
  <c r="H36" i="20"/>
  <c r="N36" i="20" s="1"/>
  <c r="P77" i="92"/>
  <c r="N67" i="109"/>
  <c r="H70" i="109"/>
  <c r="J67" i="109"/>
  <c r="V129" i="36"/>
  <c r="D36" i="52"/>
  <c r="L31" i="52"/>
  <c r="N31" i="23"/>
  <c r="H36" i="23"/>
  <c r="N36" i="23" s="1"/>
  <c r="H36" i="47"/>
  <c r="N36" i="47" s="1"/>
  <c r="N31" i="47"/>
  <c r="Z31" i="25"/>
  <c r="T36" i="25"/>
  <c r="Z36" i="25" s="1"/>
  <c r="L27" i="82"/>
  <c r="N27" i="82" s="1"/>
  <c r="D31" i="82"/>
  <c r="F27" i="82"/>
  <c r="X69" i="80"/>
  <c r="Z69" i="80" s="1"/>
  <c r="P73" i="80"/>
  <c r="N26" i="6"/>
  <c r="H31" i="6"/>
  <c r="T87" i="73"/>
  <c r="V84" i="73"/>
  <c r="P264" i="15"/>
  <c r="X260" i="15"/>
  <c r="Z260" i="15" s="1"/>
  <c r="R260" i="15"/>
  <c r="D36" i="38"/>
  <c r="L31" i="38"/>
  <c r="Z31" i="38"/>
  <c r="T36" i="38"/>
  <c r="Z36" i="38" s="1"/>
  <c r="D36" i="10"/>
  <c r="L31" i="10"/>
  <c r="L26" i="6"/>
  <c r="P63" i="100"/>
  <c r="X59" i="100"/>
  <c r="Z59" i="100" s="1"/>
  <c r="P42" i="108"/>
  <c r="X39" i="108"/>
  <c r="Z39" i="108" s="1"/>
  <c r="N31" i="31"/>
  <c r="H36" i="31"/>
  <c r="N36" i="31" s="1"/>
  <c r="T78" i="94"/>
  <c r="V74" i="94"/>
  <c r="P87" i="73"/>
  <c r="X87" i="73" s="1"/>
  <c r="X84" i="73"/>
  <c r="Z84" i="73" s="1"/>
  <c r="P37" i="85"/>
  <c r="X34" i="85"/>
  <c r="R34" i="85"/>
  <c r="Z95" i="33"/>
  <c r="T99" i="33"/>
  <c r="V95" i="33"/>
  <c r="L59" i="100"/>
  <c r="N59" i="100" s="1"/>
  <c r="T36" i="47"/>
  <c r="Z36" i="47" s="1"/>
  <c r="Z31" i="47"/>
  <c r="N48" i="104"/>
  <c r="H52" i="104"/>
  <c r="J48" i="104"/>
  <c r="P65" i="67"/>
  <c r="X62" i="67"/>
  <c r="D36" i="111"/>
  <c r="L31" i="111"/>
  <c r="Z31" i="110"/>
  <c r="T36" i="110"/>
  <c r="Z36" i="110" s="1"/>
  <c r="D119" i="84"/>
  <c r="L115" i="84"/>
  <c r="F115" i="84"/>
  <c r="P108" i="51"/>
  <c r="X104" i="51"/>
  <c r="Z104" i="51" s="1"/>
  <c r="R104" i="51"/>
  <c r="H36" i="37"/>
  <c r="N36" i="37" s="1"/>
  <c r="N31" i="37"/>
  <c r="H87" i="73"/>
  <c r="J84" i="73"/>
  <c r="H31" i="54"/>
  <c r="N26" i="54"/>
  <c r="P36" i="28"/>
  <c r="X31" i="28"/>
  <c r="N31" i="19"/>
  <c r="H36" i="19"/>
  <c r="N36" i="19" s="1"/>
  <c r="X31" i="37"/>
  <c r="P36" i="37"/>
  <c r="D107" i="63"/>
  <c r="L107" i="63" s="1"/>
  <c r="L104" i="63"/>
  <c r="N104" i="63" s="1"/>
  <c r="P36" i="7"/>
  <c r="X31" i="7"/>
  <c r="N31" i="53"/>
  <c r="H36" i="53"/>
  <c r="N36" i="53" s="1"/>
  <c r="H131" i="24"/>
  <c r="J128" i="24"/>
  <c r="T119" i="84"/>
  <c r="V115" i="84"/>
  <c r="X31" i="41"/>
  <c r="P36" i="41"/>
  <c r="P104" i="21"/>
  <c r="X100" i="21"/>
  <c r="Z100" i="21" s="1"/>
  <c r="R100" i="21"/>
  <c r="N31" i="52"/>
  <c r="H36" i="52"/>
  <c r="N36" i="52" s="1"/>
  <c r="P70" i="93"/>
  <c r="X66" i="93"/>
  <c r="Z66" i="93" s="1"/>
  <c r="T36" i="44"/>
  <c r="Z36" i="44" s="1"/>
  <c r="Z31" i="44"/>
  <c r="D36" i="14"/>
  <c r="L31" i="14"/>
  <c r="Z31" i="22"/>
  <c r="T36" i="22"/>
  <c r="Z36" i="22" s="1"/>
  <c r="V107" i="21"/>
  <c r="Z98" i="9"/>
  <c r="N31" i="8"/>
  <c r="H36" i="8"/>
  <c r="N36" i="8" s="1"/>
  <c r="D66" i="100"/>
  <c r="P50" i="98"/>
  <c r="X47" i="98"/>
  <c r="Z47" i="98" s="1"/>
  <c r="R47" i="98"/>
  <c r="Z31" i="111"/>
  <c r="T36" i="111"/>
  <c r="Z36" i="111" s="1"/>
  <c r="P55" i="61"/>
  <c r="X55" i="61" s="1"/>
  <c r="Z55" i="61" s="1"/>
  <c r="X52" i="61"/>
  <c r="Z52" i="61" s="1"/>
  <c r="D104" i="21"/>
  <c r="L100" i="21"/>
  <c r="N100" i="21" s="1"/>
  <c r="H79" i="72"/>
  <c r="L79" i="72" s="1"/>
  <c r="J76" i="72"/>
  <c r="N31" i="26"/>
  <c r="H36" i="26"/>
  <c r="N36" i="26" s="1"/>
  <c r="X31" i="49"/>
  <c r="P36" i="49"/>
  <c r="X31" i="13"/>
  <c r="P36" i="13"/>
  <c r="X31" i="16"/>
  <c r="P36" i="16"/>
  <c r="Z57" i="60"/>
  <c r="H70" i="48"/>
  <c r="J67" i="48"/>
  <c r="X26" i="54"/>
  <c r="P31" i="54"/>
  <c r="P36" i="29"/>
  <c r="X31" i="29"/>
  <c r="Z26" i="6"/>
  <c r="T31" i="6"/>
  <c r="T131" i="24"/>
  <c r="V128" i="24"/>
  <c r="L76" i="72"/>
  <c r="N76" i="72" s="1"/>
  <c r="L31" i="40"/>
  <c r="D36" i="40"/>
  <c r="X31" i="31"/>
  <c r="P36" i="31"/>
  <c r="H36" i="5"/>
  <c r="N36" i="5" s="1"/>
  <c r="N31" i="5"/>
  <c r="Z31" i="112"/>
  <c r="T36" i="112"/>
  <c r="Z36" i="112" s="1"/>
  <c r="D78" i="58"/>
  <c r="L75" i="58"/>
  <c r="T36" i="26"/>
  <c r="Z36" i="26" s="1"/>
  <c r="Z31" i="26"/>
  <c r="N83" i="107"/>
  <c r="H87" i="107"/>
  <c r="J83" i="107"/>
  <c r="T136" i="74"/>
  <c r="Z132" i="74"/>
  <c r="V132" i="74"/>
  <c r="L31" i="25"/>
  <c r="D36" i="25"/>
  <c r="P36" i="34"/>
  <c r="X31" i="34"/>
  <c r="N31" i="29"/>
  <c r="H36" i="29"/>
  <c r="N36" i="29" s="1"/>
  <c r="L31" i="41"/>
  <c r="D36" i="41"/>
  <c r="N31" i="35"/>
  <c r="H36" i="35"/>
  <c r="N36" i="35" s="1"/>
  <c r="L31" i="28"/>
  <c r="D36" i="28"/>
  <c r="N47" i="99"/>
  <c r="H50" i="99"/>
  <c r="X31" i="26"/>
  <c r="P36" i="26"/>
  <c r="Z63" i="48"/>
  <c r="T67" i="48"/>
  <c r="X67" i="48" s="1"/>
  <c r="V63" i="48"/>
  <c r="H57" i="60"/>
  <c r="X122" i="42"/>
  <c r="P125" i="42"/>
  <c r="R122" i="42"/>
  <c r="D36" i="5"/>
  <c r="L31" i="5"/>
  <c r="X73" i="88"/>
  <c r="Z73" i="88" s="1"/>
  <c r="P76" i="88"/>
  <c r="P31" i="6"/>
  <c r="X31" i="6" s="1"/>
  <c r="X26" i="6"/>
  <c r="D40" i="55"/>
  <c r="L37" i="55"/>
  <c r="J95" i="105"/>
  <c r="L95" i="9"/>
  <c r="D98" i="9"/>
  <c r="T67" i="78"/>
  <c r="V63" i="78"/>
  <c r="T36" i="31"/>
  <c r="Z36" i="31" s="1"/>
  <c r="Z31" i="31"/>
  <c r="Z37" i="55"/>
  <c r="T40" i="55"/>
  <c r="X40" i="55" s="1"/>
  <c r="Z127" i="39"/>
  <c r="T131" i="39"/>
  <c r="X131" i="39" s="1"/>
  <c r="V127" i="39"/>
  <c r="H272" i="12"/>
  <c r="N268" i="12"/>
  <c r="J268" i="12"/>
  <c r="X31" i="35"/>
  <c r="P36" i="35"/>
  <c r="X63" i="109"/>
  <c r="Z63" i="109" s="1"/>
  <c r="P67" i="109"/>
  <c r="R63" i="109"/>
  <c r="P72" i="79"/>
  <c r="X68" i="79"/>
  <c r="Z68" i="79" s="1"/>
  <c r="R68" i="79"/>
  <c r="L86" i="87"/>
  <c r="N86" i="87" s="1"/>
  <c r="D89" i="87"/>
  <c r="H36" i="13"/>
  <c r="N36" i="13" s="1"/>
  <c r="N31" i="13"/>
  <c r="L136" i="74"/>
  <c r="D139" i="74"/>
  <c r="F136" i="74"/>
  <c r="V87" i="97"/>
  <c r="H72" i="79"/>
  <c r="J68" i="79"/>
  <c r="L68" i="79"/>
  <c r="N68" i="79" s="1"/>
  <c r="T272" i="12"/>
  <c r="Z268" i="12"/>
  <c r="V268" i="12"/>
  <c r="T76" i="80"/>
  <c r="V73" i="80"/>
  <c r="L31" i="22"/>
  <c r="D36" i="22"/>
  <c r="N31" i="7"/>
  <c r="H36" i="7"/>
  <c r="N36" i="7" s="1"/>
  <c r="N31" i="28"/>
  <c r="H36" i="28"/>
  <c r="N36" i="28" s="1"/>
  <c r="Z93" i="91"/>
  <c r="T96" i="91"/>
  <c r="V71" i="69"/>
  <c r="H36" i="11"/>
  <c r="N36" i="11" s="1"/>
  <c r="N31" i="11"/>
  <c r="H119" i="84"/>
  <c r="N115" i="84"/>
  <c r="J115" i="84"/>
  <c r="T267" i="15"/>
  <c r="V264" i="15"/>
  <c r="Z291" i="18"/>
  <c r="T294" i="18"/>
  <c r="V291" i="18"/>
  <c r="Z31" i="5"/>
  <c r="T36" i="5"/>
  <c r="Z36" i="5" s="1"/>
  <c r="D31" i="54"/>
  <c r="L26" i="54"/>
  <c r="X31" i="4"/>
  <c r="P36" i="4"/>
  <c r="P123" i="70"/>
  <c r="R120" i="70"/>
  <c r="Z26" i="54"/>
  <c r="T31" i="54"/>
  <c r="Z31" i="23"/>
  <c r="T36" i="23"/>
  <c r="Z36" i="23" s="1"/>
  <c r="Z107" i="63"/>
  <c r="Z31" i="53"/>
  <c r="T36" i="53"/>
  <c r="Z36" i="53" s="1"/>
  <c r="L31" i="44"/>
  <c r="D36" i="44"/>
  <c r="P36" i="46"/>
  <c r="X31" i="46"/>
  <c r="N31" i="112"/>
  <c r="H36" i="112"/>
  <c r="N36" i="112" s="1"/>
  <c r="T50" i="98"/>
  <c r="V47" i="98"/>
  <c r="L128" i="24"/>
  <c r="N128" i="24" s="1"/>
  <c r="D131" i="24"/>
  <c r="L131" i="24" s="1"/>
  <c r="T76" i="72"/>
  <c r="Z72" i="72"/>
  <c r="V72" i="72"/>
  <c r="X31" i="14"/>
  <c r="P36" i="14"/>
  <c r="X115" i="84"/>
  <c r="Z115" i="84" s="1"/>
  <c r="P119" i="84"/>
  <c r="R115" i="84"/>
  <c r="X31" i="43"/>
  <c r="P36" i="43"/>
  <c r="P67" i="78"/>
  <c r="X63" i="78"/>
  <c r="Z63" i="78" s="1"/>
  <c r="H96" i="91"/>
  <c r="T76" i="88"/>
  <c r="V73" i="88"/>
  <c r="L31" i="20"/>
  <c r="D36" i="20"/>
  <c r="H168" i="30"/>
  <c r="J165" i="30"/>
  <c r="L31" i="49"/>
  <c r="D36" i="49"/>
  <c r="H100" i="45"/>
  <c r="J97" i="45"/>
  <c r="X74" i="94"/>
  <c r="Z74" i="94" s="1"/>
  <c r="T125" i="42"/>
  <c r="Z122" i="42"/>
  <c r="V122" i="42"/>
  <c r="D36" i="11"/>
  <c r="L31" i="11"/>
  <c r="T121" i="27"/>
  <c r="V117" i="27"/>
  <c r="P36" i="25"/>
  <c r="X31" i="25"/>
  <c r="L62" i="67"/>
  <c r="N62" i="67" s="1"/>
  <c r="D65" i="67"/>
  <c r="L65" i="67" s="1"/>
  <c r="L31" i="53"/>
  <c r="D36" i="53"/>
  <c r="T89" i="87"/>
  <c r="X89" i="87" s="1"/>
  <c r="Z86" i="87"/>
  <c r="V86" i="87"/>
  <c r="L31" i="34"/>
  <c r="D36" i="34"/>
  <c r="X72" i="72"/>
  <c r="H77" i="56"/>
  <c r="X84" i="97"/>
  <c r="Z84" i="97" s="1"/>
  <c r="P87" i="97"/>
  <c r="X87" i="97" s="1"/>
  <c r="Z87" i="97" s="1"/>
  <c r="T114" i="68"/>
  <c r="V110" i="68"/>
  <c r="H36" i="111"/>
  <c r="N36" i="111" s="1"/>
  <c r="N31" i="111"/>
  <c r="H36" i="14"/>
  <c r="N36" i="14" s="1"/>
  <c r="N31" i="14"/>
  <c r="P100" i="45"/>
  <c r="X97" i="45"/>
  <c r="Z97" i="45" s="1"/>
  <c r="R97" i="45"/>
  <c r="N136" i="74"/>
  <c r="H139" i="74"/>
  <c r="J136" i="74"/>
  <c r="D96" i="91"/>
  <c r="L96" i="91" s="1"/>
  <c r="L93" i="91"/>
  <c r="N93" i="91" s="1"/>
  <c r="L31" i="32"/>
  <c r="D36" i="32"/>
  <c r="Z31" i="49"/>
  <c r="T36" i="49"/>
  <c r="Z36" i="49" s="1"/>
  <c r="D111" i="76"/>
  <c r="F108" i="76"/>
  <c r="P36" i="22"/>
  <c r="X31" i="22"/>
  <c r="T36" i="32"/>
  <c r="Z36" i="32" s="1"/>
  <c r="Z31" i="32"/>
  <c r="N78" i="94"/>
  <c r="H81" i="94"/>
  <c r="J78" i="94"/>
  <c r="H36" i="50"/>
  <c r="N36" i="50" s="1"/>
  <c r="N31" i="50"/>
  <c r="X31" i="110"/>
  <c r="P36" i="110"/>
  <c r="P36" i="8"/>
  <c r="X31" i="8"/>
  <c r="L31" i="47"/>
  <c r="D36" i="47"/>
  <c r="H84" i="101"/>
  <c r="N81" i="101"/>
  <c r="J81" i="101"/>
  <c r="P71" i="69"/>
  <c r="X71" i="69" s="1"/>
  <c r="Z71" i="69" s="1"/>
  <c r="X68" i="69"/>
  <c r="Z68" i="69" s="1"/>
  <c r="P81" i="94"/>
  <c r="X78" i="94"/>
  <c r="R78" i="94"/>
  <c r="X48" i="104"/>
  <c r="Z48" i="104" s="1"/>
  <c r="T36" i="10"/>
  <c r="Z36" i="10" s="1"/>
  <c r="Z31" i="10"/>
  <c r="V70" i="109"/>
  <c r="T79" i="75"/>
  <c r="Z75" i="75"/>
  <c r="V75" i="75"/>
  <c r="N260" i="15"/>
  <c r="H264" i="15"/>
  <c r="L264" i="15" s="1"/>
  <c r="J260" i="15"/>
  <c r="X76" i="72"/>
  <c r="P79" i="72"/>
  <c r="L84" i="73"/>
  <c r="N84" i="73" s="1"/>
  <c r="D87" i="73"/>
  <c r="N67" i="78"/>
  <c r="H70" i="78"/>
  <c r="J67" i="78"/>
  <c r="Z31" i="35"/>
  <c r="T36" i="35"/>
  <c r="Z36" i="35" s="1"/>
  <c r="N31" i="41"/>
  <c r="H36" i="41"/>
  <c r="N36" i="41" s="1"/>
  <c r="D36" i="37"/>
  <c r="L31" i="37"/>
  <c r="N31" i="110"/>
  <c r="H36" i="110"/>
  <c r="N36" i="110" s="1"/>
  <c r="X75" i="58"/>
  <c r="P78" i="58"/>
  <c r="D89" i="103"/>
  <c r="L85" i="103"/>
  <c r="N85" i="103" s="1"/>
  <c r="D76" i="80"/>
  <c r="L68" i="69"/>
  <c r="D71" i="69"/>
  <c r="L71" i="69" s="1"/>
  <c r="N31" i="46"/>
  <c r="H36" i="46"/>
  <c r="N36" i="46" s="1"/>
  <c r="Z31" i="4"/>
  <c r="T36" i="4"/>
  <c r="Z36" i="4" s="1"/>
  <c r="H94" i="95"/>
  <c r="J91" i="95"/>
  <c r="L50" i="102"/>
  <c r="N50" i="102" s="1"/>
  <c r="D53" i="102"/>
  <c r="L53" i="102" s="1"/>
  <c r="H36" i="16"/>
  <c r="N36" i="16" s="1"/>
  <c r="N31" i="16"/>
  <c r="T72" i="57"/>
  <c r="Z69" i="57"/>
  <c r="Z31" i="14"/>
  <c r="T36" i="14"/>
  <c r="Z36" i="14" s="1"/>
  <c r="Z31" i="19"/>
  <c r="T36" i="19"/>
  <c r="Z36" i="19" s="1"/>
  <c r="L31" i="43"/>
  <c r="D36" i="43"/>
  <c r="X31" i="52"/>
  <c r="P36" i="52"/>
  <c r="Z31" i="34"/>
  <c r="T36" i="34"/>
  <c r="Z36" i="34" s="1"/>
  <c r="N31" i="25"/>
  <c r="H36" i="25"/>
  <c r="N36" i="25" s="1"/>
  <c r="H78" i="58"/>
  <c r="N75" i="58"/>
  <c r="X85" i="103"/>
  <c r="Z85" i="103" s="1"/>
  <c r="P89" i="103"/>
  <c r="R85" i="103"/>
  <c r="Z70" i="92"/>
  <c r="T74" i="92"/>
  <c r="V70" i="92"/>
  <c r="L47" i="98"/>
  <c r="N47" i="98" s="1"/>
  <c r="D50" i="98"/>
  <c r="F47" i="98"/>
  <c r="D36" i="16"/>
  <c r="L31" i="16"/>
  <c r="P67" i="59"/>
  <c r="X67" i="59" s="1"/>
  <c r="X64" i="59"/>
  <c r="H65" i="67"/>
  <c r="D36" i="4"/>
  <c r="L31" i="4"/>
  <c r="N31" i="49"/>
  <c r="H36" i="49"/>
  <c r="N36" i="49" s="1"/>
  <c r="X31" i="38"/>
  <c r="P36" i="38"/>
  <c r="H111" i="51"/>
  <c r="J108" i="51"/>
  <c r="D36" i="19"/>
  <c r="L31" i="19"/>
  <c r="P55" i="104"/>
  <c r="X52" i="104"/>
  <c r="N80" i="83"/>
  <c r="H84" i="83"/>
  <c r="J80" i="83"/>
  <c r="L39" i="108"/>
  <c r="N39" i="108" s="1"/>
  <c r="D42" i="108"/>
  <c r="L31" i="35"/>
  <c r="D36" i="35"/>
  <c r="P87" i="107"/>
  <c r="X83" i="107"/>
  <c r="Z83" i="107" s="1"/>
  <c r="P57" i="60"/>
  <c r="X57" i="60" s="1"/>
  <c r="X54" i="60"/>
  <c r="Z54" i="60" s="1"/>
  <c r="D36" i="7"/>
  <c r="L31" i="7"/>
  <c r="L291" i="18"/>
  <c r="N291" i="18" s="1"/>
  <c r="D294" i="18"/>
  <c r="F291" i="18"/>
  <c r="H50" i="98"/>
  <c r="J47" i="98"/>
  <c r="N31" i="22"/>
  <c r="H36" i="22"/>
  <c r="N36" i="22" s="1"/>
  <c r="D121" i="27"/>
  <c r="L117" i="27"/>
  <c r="N117" i="27" s="1"/>
  <c r="F117" i="27"/>
  <c r="Z62" i="67"/>
  <c r="T65" i="67"/>
  <c r="L120" i="70"/>
  <c r="N120" i="70" s="1"/>
  <c r="D123" i="70"/>
  <c r="F120" i="70"/>
  <c r="X31" i="5"/>
  <c r="P36" i="5"/>
  <c r="N31" i="44"/>
  <c r="H36" i="44"/>
  <c r="N36" i="44" s="1"/>
  <c r="T92" i="105"/>
  <c r="V88" i="105"/>
  <c r="P108" i="76"/>
  <c r="X104" i="76"/>
  <c r="Z104" i="76" s="1"/>
  <c r="R104" i="76"/>
  <c r="X31" i="111"/>
  <c r="P36" i="111"/>
  <c r="X126" i="36"/>
  <c r="Z126" i="36" s="1"/>
  <c r="P129" i="36"/>
  <c r="R126" i="36"/>
  <c r="Z75" i="58"/>
  <c r="T78" i="58"/>
  <c r="D90" i="107"/>
  <c r="L87" i="107"/>
  <c r="Z64" i="59"/>
  <c r="T67" i="59"/>
  <c r="X81" i="101"/>
  <c r="Z81" i="101" s="1"/>
  <c r="P84" i="101"/>
  <c r="X31" i="82"/>
  <c r="Z31" i="82" s="1"/>
  <c r="P34" i="82"/>
  <c r="R31" i="82"/>
  <c r="L99" i="33"/>
  <c r="N99" i="33" s="1"/>
  <c r="D102" i="33"/>
  <c r="F99" i="33"/>
  <c r="H34" i="82"/>
  <c r="J31" i="82"/>
  <c r="N31" i="34"/>
  <c r="H36" i="34"/>
  <c r="N36" i="34" s="1"/>
  <c r="P139" i="74"/>
  <c r="X136" i="74"/>
  <c r="R136" i="74"/>
  <c r="P121" i="27"/>
  <c r="X117" i="27"/>
  <c r="Z117" i="27" s="1"/>
  <c r="R117" i="27"/>
  <c r="X79" i="75"/>
  <c r="P82" i="75"/>
  <c r="R79" i="75"/>
  <c r="N104" i="76"/>
  <c r="H108" i="76"/>
  <c r="L108" i="76" s="1"/>
  <c r="J104" i="76"/>
  <c r="N131" i="39"/>
  <c r="H134" i="39"/>
  <c r="J131" i="39"/>
  <c r="L31" i="31"/>
  <c r="D36" i="31"/>
  <c r="X31" i="112"/>
  <c r="P36" i="112"/>
  <c r="T120" i="70"/>
  <c r="X120" i="70" s="1"/>
  <c r="Z116" i="70"/>
  <c r="V116" i="70"/>
  <c r="L64" i="59"/>
  <c r="N64" i="59" s="1"/>
  <c r="D67" i="59"/>
  <c r="L67" i="59" s="1"/>
  <c r="N67" i="59" s="1"/>
  <c r="T84" i="101"/>
  <c r="V81" i="101"/>
  <c r="H42" i="108"/>
  <c r="N95" i="9"/>
  <c r="H98" i="9"/>
  <c r="N37" i="55"/>
  <c r="H40" i="55"/>
  <c r="L161" i="30"/>
  <c r="N161" i="30" s="1"/>
  <c r="D165" i="30"/>
  <c r="F161" i="30"/>
  <c r="L70" i="109"/>
  <c r="F70" i="109"/>
  <c r="H114" i="68"/>
  <c r="J110" i="68"/>
  <c r="N31" i="40"/>
  <c r="H36" i="40"/>
  <c r="N36" i="40" s="1"/>
  <c r="X31" i="50"/>
  <c r="P36" i="50"/>
  <c r="N31" i="38"/>
  <c r="H36" i="38"/>
  <c r="N36" i="38" s="1"/>
  <c r="T87" i="107"/>
  <c r="V83" i="107"/>
  <c r="Z31" i="17"/>
  <c r="T36" i="17"/>
  <c r="Z36" i="17" s="1"/>
  <c r="P36" i="32"/>
  <c r="X31" i="32"/>
  <c r="X309" i="3"/>
  <c r="Z309" i="3" s="1"/>
  <c r="P313" i="3"/>
  <c r="R309" i="3"/>
  <c r="X31" i="19"/>
  <c r="P36" i="19"/>
  <c r="H55" i="61"/>
  <c r="Z31" i="13"/>
  <c r="T36" i="13"/>
  <c r="Z36" i="13" s="1"/>
  <c r="T87" i="83"/>
  <c r="Z84" i="83"/>
  <c r="V84" i="83"/>
  <c r="Z31" i="8"/>
  <c r="T36" i="8"/>
  <c r="Z36" i="8" s="1"/>
  <c r="X124" i="24"/>
  <c r="Z124" i="24" s="1"/>
  <c r="P128" i="24"/>
  <c r="R124" i="24"/>
  <c r="X88" i="105"/>
  <c r="Z88" i="105" s="1"/>
  <c r="P92" i="105"/>
  <c r="R88" i="105"/>
  <c r="D77" i="92"/>
  <c r="L77" i="92" s="1"/>
  <c r="N77" i="92" s="1"/>
  <c r="L74" i="92"/>
  <c r="N74" i="92" s="1"/>
  <c r="Z31" i="43"/>
  <c r="T36" i="43"/>
  <c r="Z36" i="43" s="1"/>
  <c r="J77" i="92"/>
  <c r="P102" i="33"/>
  <c r="R99" i="33"/>
  <c r="H82" i="75"/>
  <c r="J79" i="75"/>
  <c r="D55" i="61"/>
  <c r="L52" i="61"/>
  <c r="N52" i="61" s="1"/>
  <c r="L54" i="60"/>
  <c r="N54" i="60" s="1"/>
  <c r="D57" i="60"/>
  <c r="L57" i="60" s="1"/>
  <c r="X31" i="44"/>
  <c r="P36" i="44"/>
  <c r="L31" i="29"/>
  <c r="D36" i="29"/>
  <c r="D82" i="75"/>
  <c r="L79" i="75"/>
  <c r="N79" i="75" s="1"/>
  <c r="F79" i="75"/>
  <c r="L34" i="85"/>
  <c r="N34" i="85" s="1"/>
  <c r="D37" i="85"/>
  <c r="L37" i="85" s="1"/>
  <c r="N37" i="85" s="1"/>
  <c r="N31" i="43"/>
  <c r="H36" i="43"/>
  <c r="N36" i="43" s="1"/>
  <c r="L69" i="88"/>
  <c r="N69" i="88" s="1"/>
  <c r="D73" i="88"/>
  <c r="T100" i="45"/>
  <c r="V97" i="45"/>
  <c r="L70" i="78"/>
  <c r="P53" i="102"/>
  <c r="X53" i="102" s="1"/>
  <c r="Z53" i="102" s="1"/>
  <c r="X50" i="102"/>
  <c r="Z50" i="102" s="1"/>
  <c r="L92" i="105"/>
  <c r="N92" i="105" s="1"/>
  <c r="D95" i="105"/>
  <c r="F92" i="105"/>
  <c r="N31" i="17"/>
  <c r="H36" i="17"/>
  <c r="N36" i="17" s="1"/>
  <c r="P36" i="47"/>
  <c r="X31" i="47"/>
  <c r="D77" i="56"/>
  <c r="L77" i="56" s="1"/>
  <c r="L74" i="56"/>
  <c r="N74" i="56" s="1"/>
  <c r="X78" i="58" l="1"/>
  <c r="X76" i="88"/>
  <c r="L42" i="108"/>
  <c r="X42" i="108"/>
  <c r="Z42" i="108" s="1"/>
  <c r="L55" i="61"/>
  <c r="L50" i="99"/>
  <c r="L87" i="73"/>
  <c r="X36" i="16"/>
  <c r="X36" i="47"/>
  <c r="X36" i="52"/>
  <c r="L36" i="29"/>
  <c r="X36" i="25"/>
  <c r="L36" i="5"/>
  <c r="X36" i="32"/>
  <c r="L36" i="40"/>
  <c r="L36" i="23"/>
  <c r="L36" i="32"/>
  <c r="X36" i="110"/>
  <c r="X36" i="20"/>
  <c r="L36" i="53"/>
  <c r="X36" i="40"/>
  <c r="L36" i="31"/>
  <c r="L36" i="4"/>
  <c r="L36" i="17"/>
  <c r="X36" i="50"/>
  <c r="X36" i="38"/>
  <c r="L36" i="20"/>
  <c r="X36" i="112"/>
  <c r="L36" i="7"/>
  <c r="X36" i="46"/>
  <c r="L36" i="50"/>
  <c r="X36" i="11"/>
  <c r="X36" i="26"/>
  <c r="X36" i="4"/>
  <c r="L36" i="10"/>
  <c r="L36" i="52"/>
  <c r="X36" i="22"/>
  <c r="X36" i="35"/>
  <c r="X36" i="7"/>
  <c r="L36" i="34"/>
  <c r="L36" i="38"/>
  <c r="L36" i="16"/>
  <c r="X36" i="41"/>
  <c r="H117" i="68"/>
  <c r="J114" i="68"/>
  <c r="J100" i="45"/>
  <c r="T70" i="78"/>
  <c r="V67" i="78"/>
  <c r="L31" i="82"/>
  <c r="N31" i="82" s="1"/>
  <c r="D34" i="82"/>
  <c r="F31" i="82"/>
  <c r="V87" i="83"/>
  <c r="N42" i="108"/>
  <c r="L102" i="33"/>
  <c r="F102" i="33"/>
  <c r="Z78" i="58"/>
  <c r="H87" i="83"/>
  <c r="L87" i="83" s="1"/>
  <c r="J84" i="83"/>
  <c r="L50" i="98"/>
  <c r="N50" i="98" s="1"/>
  <c r="F50" i="98"/>
  <c r="X100" i="45"/>
  <c r="Z100" i="45" s="1"/>
  <c r="R100" i="45"/>
  <c r="L36" i="44"/>
  <c r="N50" i="99"/>
  <c r="L36" i="25"/>
  <c r="J70" i="48"/>
  <c r="T122" i="84"/>
  <c r="V119" i="84"/>
  <c r="X114" i="68"/>
  <c r="Z114" i="68" s="1"/>
  <c r="P117" i="68"/>
  <c r="R114" i="68"/>
  <c r="T92" i="103"/>
  <c r="V89" i="103"/>
  <c r="X36" i="23"/>
  <c r="N107" i="63"/>
  <c r="N71" i="69"/>
  <c r="J71" i="69"/>
  <c r="X72" i="57"/>
  <c r="Z72" i="57" s="1"/>
  <c r="P124" i="27"/>
  <c r="X121" i="27"/>
  <c r="Z121" i="27" s="1"/>
  <c r="R121" i="27"/>
  <c r="T95" i="105"/>
  <c r="V92" i="105"/>
  <c r="L36" i="37"/>
  <c r="J81" i="94"/>
  <c r="N96" i="91"/>
  <c r="Z76" i="72"/>
  <c r="T79" i="72"/>
  <c r="X79" i="72" s="1"/>
  <c r="V76" i="72"/>
  <c r="T275" i="12"/>
  <c r="V272" i="12"/>
  <c r="L89" i="87"/>
  <c r="L98" i="9"/>
  <c r="L36" i="28"/>
  <c r="Z31" i="6"/>
  <c r="L104" i="21"/>
  <c r="N104" i="21" s="1"/>
  <c r="D107" i="21"/>
  <c r="L81" i="94"/>
  <c r="N81" i="94" s="1"/>
  <c r="X294" i="18"/>
  <c r="R294" i="18"/>
  <c r="H318" i="3"/>
  <c r="J313" i="3"/>
  <c r="L36" i="46"/>
  <c r="X36" i="53"/>
  <c r="V267" i="15"/>
  <c r="L134" i="39"/>
  <c r="F134" i="39"/>
  <c r="J82" i="75"/>
  <c r="P95" i="105"/>
  <c r="X92" i="105"/>
  <c r="Z92" i="105" s="1"/>
  <c r="R92" i="105"/>
  <c r="N55" i="61"/>
  <c r="X34" i="82"/>
  <c r="Z34" i="82" s="1"/>
  <c r="R34" i="82"/>
  <c r="X129" i="36"/>
  <c r="Z129" i="36" s="1"/>
  <c r="R129" i="36"/>
  <c r="T77" i="92"/>
  <c r="X77" i="92" s="1"/>
  <c r="V74" i="92"/>
  <c r="L36" i="49"/>
  <c r="H275" i="12"/>
  <c r="J272" i="12"/>
  <c r="X125" i="42"/>
  <c r="Z125" i="42" s="1"/>
  <c r="R125" i="42"/>
  <c r="P73" i="93"/>
  <c r="X73" i="93" s="1"/>
  <c r="X70" i="93"/>
  <c r="Z70" i="93" s="1"/>
  <c r="N131" i="24"/>
  <c r="J131" i="24"/>
  <c r="L36" i="111"/>
  <c r="T102" i="33"/>
  <c r="X102" i="33" s="1"/>
  <c r="V99" i="33"/>
  <c r="N70" i="109"/>
  <c r="J70" i="109"/>
  <c r="Z73" i="93"/>
  <c r="V73" i="93"/>
  <c r="T318" i="3"/>
  <c r="V313" i="3"/>
  <c r="L125" i="42"/>
  <c r="F125" i="42"/>
  <c r="V84" i="101"/>
  <c r="N134" i="39"/>
  <c r="J134" i="39"/>
  <c r="L121" i="27"/>
  <c r="N121" i="27" s="1"/>
  <c r="D124" i="27"/>
  <c r="F121" i="27"/>
  <c r="J84" i="101"/>
  <c r="T124" i="27"/>
  <c r="V121" i="27"/>
  <c r="P70" i="78"/>
  <c r="X67" i="78"/>
  <c r="Z67" i="78" s="1"/>
  <c r="H122" i="84"/>
  <c r="J119" i="84"/>
  <c r="T139" i="74"/>
  <c r="X139" i="74" s="1"/>
  <c r="Z136" i="74"/>
  <c r="V136" i="74"/>
  <c r="X36" i="31"/>
  <c r="X36" i="13"/>
  <c r="X36" i="28"/>
  <c r="P267" i="15"/>
  <c r="X264" i="15"/>
  <c r="Z264" i="15" s="1"/>
  <c r="R264" i="15"/>
  <c r="L108" i="51"/>
  <c r="N108" i="51" s="1"/>
  <c r="D111" i="51"/>
  <c r="F108" i="51"/>
  <c r="L97" i="45"/>
  <c r="N97" i="45" s="1"/>
  <c r="D100" i="45"/>
  <c r="F97" i="45"/>
  <c r="X96" i="91"/>
  <c r="X36" i="10"/>
  <c r="R123" i="70"/>
  <c r="N89" i="87"/>
  <c r="J89" i="87"/>
  <c r="L82" i="75"/>
  <c r="N82" i="75" s="1"/>
  <c r="F82" i="75"/>
  <c r="X36" i="19"/>
  <c r="L165" i="30"/>
  <c r="N165" i="30" s="1"/>
  <c r="D168" i="30"/>
  <c r="F165" i="30"/>
  <c r="R139" i="74"/>
  <c r="X84" i="101"/>
  <c r="Z84" i="101" s="1"/>
  <c r="X36" i="111"/>
  <c r="X36" i="5"/>
  <c r="N65" i="67"/>
  <c r="N264" i="15"/>
  <c r="H267" i="15"/>
  <c r="L267" i="15" s="1"/>
  <c r="J264" i="15"/>
  <c r="L36" i="47"/>
  <c r="Z89" i="87"/>
  <c r="V89" i="87"/>
  <c r="X36" i="43"/>
  <c r="L31" i="54"/>
  <c r="Z131" i="39"/>
  <c r="T134" i="39"/>
  <c r="V131" i="39"/>
  <c r="X65" i="67"/>
  <c r="X74" i="92"/>
  <c r="Z74" i="92" s="1"/>
  <c r="T37" i="85"/>
  <c r="X37" i="85" s="1"/>
  <c r="Z34" i="85"/>
  <c r="V34" i="85"/>
  <c r="L272" i="12"/>
  <c r="N272" i="12" s="1"/>
  <c r="H107" i="21"/>
  <c r="J104" i="21"/>
  <c r="L84" i="83"/>
  <c r="N84" i="83" s="1"/>
  <c r="Z96" i="91"/>
  <c r="V100" i="45"/>
  <c r="R102" i="33"/>
  <c r="X128" i="24"/>
  <c r="Z128" i="24" s="1"/>
  <c r="P131" i="24"/>
  <c r="R128" i="24"/>
  <c r="X89" i="103"/>
  <c r="Z89" i="103" s="1"/>
  <c r="P92" i="103"/>
  <c r="R89" i="103"/>
  <c r="L36" i="43"/>
  <c r="T117" i="68"/>
  <c r="V114" i="68"/>
  <c r="J168" i="30"/>
  <c r="H75" i="79"/>
  <c r="J72" i="79"/>
  <c r="L72" i="79"/>
  <c r="N72" i="79" s="1"/>
  <c r="P75" i="79"/>
  <c r="X72" i="79"/>
  <c r="Z72" i="79" s="1"/>
  <c r="R72" i="79"/>
  <c r="N57" i="60"/>
  <c r="L36" i="41"/>
  <c r="H90" i="107"/>
  <c r="N87" i="107"/>
  <c r="J87" i="107"/>
  <c r="X36" i="49"/>
  <c r="N31" i="54"/>
  <c r="X108" i="51"/>
  <c r="Z108" i="51" s="1"/>
  <c r="P111" i="51"/>
  <c r="R108" i="51"/>
  <c r="P66" i="100"/>
  <c r="X66" i="100" s="1"/>
  <c r="Z66" i="100" s="1"/>
  <c r="X63" i="100"/>
  <c r="Z63" i="100" s="1"/>
  <c r="L36" i="112"/>
  <c r="L36" i="26"/>
  <c r="T168" i="30"/>
  <c r="X168" i="30" s="1"/>
  <c r="V165" i="30"/>
  <c r="L275" i="12"/>
  <c r="F275" i="12"/>
  <c r="L94" i="95"/>
  <c r="F94" i="95"/>
  <c r="N63" i="100"/>
  <c r="H66" i="100"/>
  <c r="L66" i="100" s="1"/>
  <c r="R70" i="48"/>
  <c r="X165" i="30"/>
  <c r="Z165" i="30" s="1"/>
  <c r="X94" i="95"/>
  <c r="Z94" i="95" s="1"/>
  <c r="R94" i="95"/>
  <c r="X36" i="44"/>
  <c r="X87" i="107"/>
  <c r="Z87" i="107" s="1"/>
  <c r="P90" i="107"/>
  <c r="X90" i="107" s="1"/>
  <c r="L95" i="105"/>
  <c r="N95" i="105" s="1"/>
  <c r="F95" i="105"/>
  <c r="L73" i="88"/>
  <c r="N73" i="88" s="1"/>
  <c r="D76" i="88"/>
  <c r="L76" i="88" s="1"/>
  <c r="X99" i="33"/>
  <c r="Z99" i="33" s="1"/>
  <c r="N108" i="76"/>
  <c r="H111" i="76"/>
  <c r="J108" i="76"/>
  <c r="Z67" i="59"/>
  <c r="L36" i="35"/>
  <c r="L36" i="19"/>
  <c r="L36" i="11"/>
  <c r="V50" i="98"/>
  <c r="L36" i="22"/>
  <c r="Z40" i="55"/>
  <c r="L40" i="55"/>
  <c r="N40" i="55" s="1"/>
  <c r="X36" i="29"/>
  <c r="H55" i="104"/>
  <c r="J52" i="104"/>
  <c r="R37" i="85"/>
  <c r="Z87" i="73"/>
  <c r="V87" i="73"/>
  <c r="N126" i="36"/>
  <c r="H129" i="36"/>
  <c r="J126" i="36"/>
  <c r="L36" i="8"/>
  <c r="L313" i="3"/>
  <c r="N313" i="3" s="1"/>
  <c r="F129" i="36"/>
  <c r="R168" i="30"/>
  <c r="N102" i="33"/>
  <c r="J102" i="33"/>
  <c r="L123" i="70"/>
  <c r="N123" i="70" s="1"/>
  <c r="F123" i="70"/>
  <c r="L89" i="103"/>
  <c r="D92" i="103"/>
  <c r="N70" i="78"/>
  <c r="J70" i="78"/>
  <c r="X36" i="8"/>
  <c r="J139" i="74"/>
  <c r="X119" i="84"/>
  <c r="Z119" i="84" s="1"/>
  <c r="P122" i="84"/>
  <c r="R119" i="84"/>
  <c r="T70" i="48"/>
  <c r="Z67" i="48"/>
  <c r="V67" i="48"/>
  <c r="X31" i="54"/>
  <c r="P107" i="21"/>
  <c r="X104" i="21"/>
  <c r="Z104" i="21" s="1"/>
  <c r="R104" i="21"/>
  <c r="N31" i="6"/>
  <c r="F267" i="15"/>
  <c r="L31" i="6"/>
  <c r="X134" i="39"/>
  <c r="R134" i="39"/>
  <c r="N53" i="102"/>
  <c r="L36" i="13"/>
  <c r="L318" i="3"/>
  <c r="F318" i="3"/>
  <c r="T111" i="51"/>
  <c r="V108" i="51"/>
  <c r="N76" i="88"/>
  <c r="J76" i="88"/>
  <c r="L84" i="101"/>
  <c r="N84" i="101" s="1"/>
  <c r="T90" i="107"/>
  <c r="V87" i="107"/>
  <c r="N98" i="9"/>
  <c r="J34" i="82"/>
  <c r="J50" i="98"/>
  <c r="J111" i="51"/>
  <c r="N94" i="95"/>
  <c r="J94" i="95"/>
  <c r="X81" i="94"/>
  <c r="R81" i="94"/>
  <c r="Z31" i="54"/>
  <c r="Z294" i="18"/>
  <c r="V294" i="18"/>
  <c r="X67" i="109"/>
  <c r="Z67" i="109" s="1"/>
  <c r="P70" i="109"/>
  <c r="R67" i="109"/>
  <c r="L36" i="14"/>
  <c r="D122" i="84"/>
  <c r="L119" i="84"/>
  <c r="N119" i="84" s="1"/>
  <c r="F119" i="84"/>
  <c r="N73" i="80"/>
  <c r="H76" i="80"/>
  <c r="L76" i="80" s="1"/>
  <c r="J73" i="80"/>
  <c r="X36" i="17"/>
  <c r="H87" i="97"/>
  <c r="J84" i="97"/>
  <c r="L84" i="97"/>
  <c r="N84" i="97" s="1"/>
  <c r="J123" i="70"/>
  <c r="X272" i="12"/>
  <c r="Z272" i="12" s="1"/>
  <c r="P275" i="12"/>
  <c r="R272" i="12"/>
  <c r="V111" i="76"/>
  <c r="N73" i="93"/>
  <c r="J73" i="93"/>
  <c r="V131" i="24"/>
  <c r="P318" i="3"/>
  <c r="X313" i="3"/>
  <c r="Z313" i="3" s="1"/>
  <c r="R313" i="3"/>
  <c r="T123" i="70"/>
  <c r="Z120" i="70"/>
  <c r="V120" i="70"/>
  <c r="R82" i="75"/>
  <c r="Z65" i="67"/>
  <c r="V125" i="42"/>
  <c r="X36" i="14"/>
  <c r="L139" i="74"/>
  <c r="N139" i="74" s="1"/>
  <c r="F139" i="74"/>
  <c r="X50" i="98"/>
  <c r="Z50" i="98" s="1"/>
  <c r="R50" i="98"/>
  <c r="N87" i="73"/>
  <c r="J87" i="73"/>
  <c r="X73" i="80"/>
  <c r="Z73" i="80" s="1"/>
  <c r="P76" i="80"/>
  <c r="X76" i="80" s="1"/>
  <c r="N89" i="103"/>
  <c r="H92" i="103"/>
  <c r="J89" i="103"/>
  <c r="Z52" i="104"/>
  <c r="T55" i="104"/>
  <c r="V52" i="104"/>
  <c r="L70" i="48"/>
  <c r="N70" i="48" s="1"/>
  <c r="F70" i="48"/>
  <c r="H124" i="27"/>
  <c r="J121" i="27"/>
  <c r="L36" i="110"/>
  <c r="N125" i="42"/>
  <c r="J125" i="42"/>
  <c r="V75" i="79"/>
  <c r="D55" i="104"/>
  <c r="L55" i="104" s="1"/>
  <c r="L52" i="104"/>
  <c r="N52" i="104" s="1"/>
  <c r="P111" i="76"/>
  <c r="X108" i="76"/>
  <c r="Z108" i="76" s="1"/>
  <c r="R108" i="76"/>
  <c r="L294" i="18"/>
  <c r="N294" i="18" s="1"/>
  <c r="F294" i="18"/>
  <c r="Z79" i="75"/>
  <c r="T82" i="75"/>
  <c r="V79" i="75"/>
  <c r="L111" i="76"/>
  <c r="F111" i="76"/>
  <c r="N77" i="56"/>
  <c r="Z76" i="88"/>
  <c r="V76" i="88"/>
  <c r="Z76" i="80"/>
  <c r="V76" i="80"/>
  <c r="X36" i="34"/>
  <c r="L78" i="58"/>
  <c r="N78" i="58" s="1"/>
  <c r="N79" i="72"/>
  <c r="J79" i="72"/>
  <c r="X36" i="37"/>
  <c r="Z78" i="94"/>
  <c r="T81" i="94"/>
  <c r="V78" i="94"/>
  <c r="L114" i="68"/>
  <c r="N114" i="68" s="1"/>
  <c r="D117" i="68"/>
  <c r="L117" i="68" s="1"/>
  <c r="X87" i="83"/>
  <c r="Z87" i="83" s="1"/>
  <c r="J294" i="18"/>
  <c r="V66" i="100"/>
  <c r="L92" i="103" l="1"/>
  <c r="N92" i="103" s="1"/>
  <c r="Z90" i="107"/>
  <c r="V90" i="107"/>
  <c r="J129" i="36"/>
  <c r="J90" i="107"/>
  <c r="X275" i="12"/>
  <c r="R275" i="12"/>
  <c r="V70" i="48"/>
  <c r="X70" i="48"/>
  <c r="Z70" i="48" s="1"/>
  <c r="V117" i="68"/>
  <c r="L168" i="30"/>
  <c r="N168" i="30" s="1"/>
  <c r="F168" i="30"/>
  <c r="L100" i="45"/>
  <c r="N100" i="45" s="1"/>
  <c r="F100" i="45"/>
  <c r="L107" i="21"/>
  <c r="N107" i="21" s="1"/>
  <c r="L90" i="107"/>
  <c r="N90" i="107" s="1"/>
  <c r="V122" i="84"/>
  <c r="Z81" i="94"/>
  <c r="V81" i="94"/>
  <c r="X111" i="76"/>
  <c r="Z111" i="76" s="1"/>
  <c r="R111" i="76"/>
  <c r="L122" i="84"/>
  <c r="N122" i="84" s="1"/>
  <c r="F122" i="84"/>
  <c r="Z139" i="74"/>
  <c r="V139" i="74"/>
  <c r="L124" i="27"/>
  <c r="N124" i="27" s="1"/>
  <c r="F124" i="27"/>
  <c r="L34" i="82"/>
  <c r="N34" i="82" s="1"/>
  <c r="F34" i="82"/>
  <c r="X122" i="84"/>
  <c r="Z122" i="84" s="1"/>
  <c r="R122" i="84"/>
  <c r="N87" i="83"/>
  <c r="J87" i="83"/>
  <c r="V123" i="70"/>
  <c r="V55" i="104"/>
  <c r="X75" i="79"/>
  <c r="Z75" i="79" s="1"/>
  <c r="R75" i="79"/>
  <c r="X92" i="103"/>
  <c r="Z92" i="103" s="1"/>
  <c r="R92" i="103"/>
  <c r="L111" i="51"/>
  <c r="N111" i="51" s="1"/>
  <c r="F111" i="51"/>
  <c r="Z37" i="85"/>
  <c r="V37" i="85"/>
  <c r="X70" i="109"/>
  <c r="Z70" i="109" s="1"/>
  <c r="R70" i="109"/>
  <c r="X111" i="51"/>
  <c r="Z111" i="51" s="1"/>
  <c r="R111" i="51"/>
  <c r="Z134" i="39"/>
  <c r="V134" i="39"/>
  <c r="X55" i="104"/>
  <c r="Z55" i="104" s="1"/>
  <c r="J122" i="84"/>
  <c r="X318" i="3"/>
  <c r="Z318" i="3" s="1"/>
  <c r="R318" i="3"/>
  <c r="J87" i="97"/>
  <c r="L87" i="97"/>
  <c r="N87" i="97" s="1"/>
  <c r="V95" i="105"/>
  <c r="V70" i="78"/>
  <c r="N267" i="15"/>
  <c r="J267" i="15"/>
  <c r="V111" i="51"/>
  <c r="N55" i="104"/>
  <c r="J55" i="104"/>
  <c r="J92" i="103"/>
  <c r="L129" i="36"/>
  <c r="N129" i="36" s="1"/>
  <c r="N111" i="76"/>
  <c r="J111" i="76"/>
  <c r="J75" i="79"/>
  <c r="L75" i="79"/>
  <c r="N75" i="79" s="1"/>
  <c r="J107" i="21"/>
  <c r="X70" i="78"/>
  <c r="Z70" i="78" s="1"/>
  <c r="N275" i="12"/>
  <c r="J275" i="12"/>
  <c r="Z275" i="12"/>
  <c r="V275" i="12"/>
  <c r="V92" i="103"/>
  <c r="Z82" i="75"/>
  <c r="V82" i="75"/>
  <c r="X107" i="21"/>
  <c r="Z107" i="21" s="1"/>
  <c r="R107" i="21"/>
  <c r="X123" i="70"/>
  <c r="Z123" i="70" s="1"/>
  <c r="X267" i="15"/>
  <c r="Z267" i="15" s="1"/>
  <c r="R267" i="15"/>
  <c r="Z102" i="33"/>
  <c r="V102" i="33"/>
  <c r="X95" i="105"/>
  <c r="Z95" i="105" s="1"/>
  <c r="R95" i="105"/>
  <c r="N318" i="3"/>
  <c r="J318" i="3"/>
  <c r="Z168" i="30"/>
  <c r="V168" i="30"/>
  <c r="X131" i="24"/>
  <c r="Z131" i="24" s="1"/>
  <c r="R131" i="24"/>
  <c r="V124" i="27"/>
  <c r="X124" i="27"/>
  <c r="Z124" i="27" s="1"/>
  <c r="R124" i="27"/>
  <c r="N66" i="100"/>
  <c r="X82" i="75"/>
  <c r="Z79" i="72"/>
  <c r="V79" i="72"/>
  <c r="X117" i="68"/>
  <c r="Z117" i="68" s="1"/>
  <c r="R117" i="68"/>
  <c r="N76" i="80"/>
  <c r="J76" i="80"/>
  <c r="J124" i="27"/>
  <c r="V318" i="3"/>
  <c r="Z77" i="92"/>
  <c r="V77" i="92"/>
  <c r="N117" i="68"/>
  <c r="J117" i="68"/>
</calcChain>
</file>

<file path=xl/sharedStrings.xml><?xml version="1.0" encoding="utf-8"?>
<sst xmlns="http://schemas.openxmlformats.org/spreadsheetml/2006/main" count="2922" uniqueCount="314">
  <si>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</si>
  <si>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</si>
  <si>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</si>
  <si>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</si>
  <si>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</si>
  <si>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</si>
  <si>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</si>
  <si>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</si>
  <si>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</si>
  <si>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</si>
  <si>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</si>
  <si>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Variance</t>
  </si>
  <si>
    <t xml:space="preserve">Forty Niner Shops, Inc. </t>
  </si>
  <si>
    <t>G &amp; A Allocation</t>
  </si>
  <si>
    <t>% of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</si>
  <si>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</si>
  <si>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</si>
  <si>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</si>
  <si>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</si>
  <si>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</si>
  <si>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</si>
  <si>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</si>
  <si>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</si>
  <si>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</si>
  <si>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</si>
  <si>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</si>
  <si>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</si>
  <si>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</si>
  <si>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</si>
  <si>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</si>
  <si>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</si>
  <si>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</si>
  <si>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</si>
  <si>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</si>
  <si>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</si>
  <si>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</si>
  <si>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</si>
  <si>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</si>
  <si>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</si>
  <si>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</si>
  <si>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</si>
  <si>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</si>
  <si>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</si>
  <si>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</si>
  <si>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</si>
  <si>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</si>
  <si>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</si>
  <si>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</si>
  <si>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</si>
  <si>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</si>
  <si>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</si>
  <si>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</si>
  <si>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</si>
  <si>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</si>
  <si>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</si>
  <si>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</si>
  <si>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</si>
  <si>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</si>
  <si>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</si>
  <si>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</si>
  <si>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</si>
  <si>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</si>
  <si>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</si>
  <si>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</si>
  <si>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</si>
  <si>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</si>
  <si>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</si>
  <si>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</si>
  <si>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</si>
  <si>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</si>
  <si>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</si>
  <si>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</si>
  <si>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</si>
  <si>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</si>
  <si>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</si>
  <si>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</si>
  <si>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</si>
  <si>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</si>
  <si>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</si>
  <si>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</si>
  <si>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</si>
  <si>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</si>
  <si>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</si>
  <si>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</si>
  <si>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</si>
  <si>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</si>
  <si>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</si>
  <si>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</si>
  <si>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</si>
  <si>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</si>
  <si>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</si>
  <si>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</si>
  <si>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</si>
  <si>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</si>
  <si>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</si>
  <si>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</si>
  <si>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</si>
  <si>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</si>
  <si>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</si>
  <si>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</si>
  <si>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</si>
  <si>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</si>
  <si>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</si>
  <si>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</si>
  <si>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</si>
  <si>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</si>
  <si>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</si>
  <si>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</si>
  <si>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</si>
  <si>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</si>
  <si>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</si>
  <si>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</si>
  <si>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</si>
  <si>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</si>
  <si>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</si>
  <si>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</si>
  <si>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</si>
  <si>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</si>
  <si>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</si>
  <si>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</si>
  <si>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</si>
  <si>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</si>
  <si>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</si>
  <si>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</si>
  <si>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</si>
  <si>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</si>
  <si>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</si>
  <si>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</si>
  <si>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</si>
  <si>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</si>
  <si>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</si>
  <si>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</si>
  <si>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</si>
  <si>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</si>
  <si>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</si>
  <si>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</si>
  <si>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</si>
  <si>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</si>
  <si>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</si>
  <si>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</si>
  <si>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</si>
  <si>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</si>
  <si>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</si>
  <si>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</si>
  <si>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</si>
  <si>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</si>
  <si>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</si>
  <si>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</si>
  <si>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</si>
  <si>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</si>
  <si>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</si>
  <si>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</si>
  <si>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</si>
  <si>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</si>
  <si>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</si>
  <si>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</si>
  <si>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</si>
  <si>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</si>
  <si>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</si>
  <si>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</si>
  <si>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</si>
  <si>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</si>
  <si>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</si>
  <si>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</si>
  <si>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</si>
  <si>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</si>
  <si>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</si>
  <si>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</si>
  <si>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</si>
  <si>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</si>
  <si>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</si>
  <si>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</si>
  <si>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</si>
  <si>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</si>
  <si>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</si>
  <si>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</si>
  <si>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</si>
  <si>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</si>
  <si>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</si>
  <si>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</si>
  <si>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</si>
  <si>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</si>
  <si>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</si>
  <si>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</si>
  <si>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</si>
  <si>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</si>
  <si>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</si>
  <si>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</si>
  <si>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</si>
  <si>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</si>
  <si>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</si>
  <si>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</si>
  <si>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</si>
  <si>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</si>
  <si>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</si>
  <si>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</si>
  <si>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</si>
  <si>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</si>
  <si>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</si>
  <si>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</si>
  <si>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</si>
  <si>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</si>
  <si>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</si>
  <si>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</si>
  <si>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</si>
  <si>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</si>
  <si>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</si>
  <si>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</si>
  <si>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</si>
  <si>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</si>
  <si>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</si>
  <si>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</si>
  <si>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</si>
  <si>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</si>
  <si>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</si>
  <si>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</si>
  <si>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</si>
  <si>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</si>
  <si>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</si>
  <si>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</si>
  <si>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</si>
  <si>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</si>
  <si>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</si>
  <si>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</si>
  <si>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</si>
  <si>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</si>
  <si>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</si>
  <si>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</si>
  <si>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</si>
  <si>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</si>
  <si>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</si>
  <si>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</si>
  <si>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</si>
  <si>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</si>
  <si>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</si>
  <si>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</si>
  <si>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</si>
  <si>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</si>
  <si>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</si>
  <si>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</si>
  <si>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</si>
  <si>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</si>
  <si>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</si>
  <si>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</si>
  <si>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</si>
  <si>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</si>
  <si>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</si>
  <si>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</si>
  <si>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</si>
  <si>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</si>
  <si>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</si>
  <si>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</si>
  <si>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</si>
  <si>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</si>
  <si>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</si>
  <si>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</si>
  <si>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</si>
  <si>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</si>
  <si>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</si>
  <si>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</si>
  <si>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</si>
  <si>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</si>
  <si>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</si>
  <si>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</si>
  <si>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</si>
  <si>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</si>
  <si>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</si>
  <si>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</si>
  <si>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</si>
  <si>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</si>
  <si>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</si>
  <si>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</si>
  <si>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</si>
  <si>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</si>
  <si>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</si>
  <si>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</si>
  <si>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</si>
  <si>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</si>
  <si>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</si>
  <si>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</si>
  <si>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</si>
  <si>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</si>
  <si>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</si>
  <si>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</si>
  <si>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</si>
  <si>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</si>
  <si>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</si>
  <si>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</si>
  <si>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</si>
  <si>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</si>
  <si>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</si>
  <si>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</si>
  <si>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</si>
  <si>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</si>
  <si>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</si>
  <si>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</si>
  <si>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</si>
  <si>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</si>
  <si>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</si>
  <si>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</si>
  <si>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</si>
  <si>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</si>
  <si>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</si>
  <si>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</si>
  <si>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</si>
  <si>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</si>
  <si>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Prior Year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</si>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</sst>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1" fillId="0" borderId="0" xfId="3" applyNumberFormat="1" applyFont="1" applyFill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167" fontId="2" fillId="2" borderId="2" xfId="3" applyNumberFormat="1" applyFont="1" applyFill="1" applyBorder="1"/>
    <xf numFmtId="0" fontId="2" fillId="0" borderId="0" xfId="0" applyFont="1"/>
    <xf numFmtId="0" fontId="1" fillId="0" borderId="0" xfId="0" applyFont="1"/>
    <xf numFmtId="49" fontId="1" fillId="0" borderId="0" xfId="0" applyNumberFormat="1" applyFont="1" applyFill="1" applyAlignment="1">
      <alignment horizontal="right"/>
    </xf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167" fontId="2" fillId="2" borderId="3" xfId="3" applyNumberFormat="1" applyFont="1" applyFill="1" applyBorder="1"/>
    <xf numFmtId="168" fontId="2" fillId="2" borderId="4" xfId="2" applyNumberFormat="1" applyFont="1" applyFill="1" applyBorder="1"/>
    <xf numFmtId="168" fontId="2" fillId="2" borderId="3" xfId="2" applyNumberFormat="1" applyFont="1" applyFill="1" applyBorder="1"/>
    <xf numFmtId="167" fontId="2" fillId="2" borderId="1" xfId="3" applyNumberFormat="1" applyFont="1" applyFill="1" applyBorder="1" applyAlignment="1">
      <alignment horizontal="center"/>
    </xf>
    <xf numFmtId="167" fontId="2" fillId="2" borderId="4" xfId="3" applyNumberFormat="1" applyFont="1" applyFill="1" applyBorder="1"/>
    <xf numFmtId="167" fontId="2" fillId="0" borderId="0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67" fontId="0" fillId="0" borderId="0" xfId="0" applyNumberFormat="1" applyAlignment="1">
      <alignment horizontal="centerContinuous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167" fontId="2" fillId="2" borderId="1" xfId="0" applyNumberFormat="1" applyFont="1" applyFill="1" applyBorder="1" applyAlignment="1">
      <alignment horizontal="centerContinuous"/>
    </xf>
    <xf numFmtId="0" fontId="2" fillId="2" borderId="1" xfId="0" applyNumberFormat="1" applyFont="1" applyFill="1" applyBorder="1" applyAlignment="1">
      <alignment horizontal="center"/>
    </xf>
    <xf numFmtId="167" fontId="0" fillId="0" borderId="0" xfId="0" applyNumberFormat="1" applyFill="1"/>
    <xf numFmtId="164" fontId="2" fillId="0" borderId="0" xfId="1" applyNumberFormat="1" applyFont="1" applyAlignment="1">
      <alignment horizontal="left"/>
    </xf>
    <xf numFmtId="167" fontId="0" fillId="0" borderId="0" xfId="3" applyNumberFormat="1" applyFont="1"/>
    <xf numFmtId="167" fontId="0" fillId="0" borderId="0" xfId="3" applyNumberFormat="1" applyFont="1" applyAlignment="1">
      <alignment horizontal="centerContinuous"/>
    </xf>
    <xf numFmtId="49" fontId="2" fillId="0" borderId="0" xfId="0" applyNumberFormat="1" applyFont="1" applyFill="1"/>
    <xf numFmtId="165" fontId="0" fillId="0" borderId="0" xfId="0" applyNumberFormat="1"/>
    <xf numFmtId="0" fontId="0" fillId="0" borderId="0" xfId="0" applyBorder="1"/>
    <xf numFmtId="166" fontId="3" fillId="0" borderId="0" xfId="0" applyNumberFormat="1" applyFont="1" applyAlignment="1">
      <alignment horizontal="left"/>
    </xf>
    <xf numFmtId="0" fontId="2" fillId="0" borderId="0" xfId="0" applyFont="1" applyFill="1" applyBorder="1"/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2" fillId="0" borderId="0" xfId="1" applyNumberFormat="1" applyFont="1" applyFill="1" applyAlignment="1">
      <alignment horizontal="centerContinuous"/>
    </xf>
    <xf numFmtId="0" fontId="4" fillId="0" borderId="0" xfId="0" applyFont="1" applyFill="1"/>
    <xf numFmtId="49" fontId="2" fillId="2" borderId="1" xfId="0" applyNumberFormat="1" applyFont="1" applyFill="1" applyBorder="1" applyAlignment="1">
      <alignment horizontal="center"/>
    </xf>
    <xf numFmtId="0" fontId="5" fillId="0" borderId="0" xfId="0" applyFont="1"/>
    <xf numFmtId="0" fontId="0" fillId="0" borderId="0" xfId="0" applyFill="1" applyAlignment="1">
      <alignment horizontal="centerContinuous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ustomXml" Target="../customXml/item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242</v>
      </c>
      <c r="B3" s="41" t="s">
        <v>243</v>
      </c>
      <c r="C3" s="41" t="s">
        <v>16</v>
      </c>
      <c r="D3" s="41" t="s">
        <v>244</v>
      </c>
      <c r="E3" s="41" t="s">
        <v>245</v>
      </c>
      <c r="F3" s="41" t="s">
        <v>18</v>
      </c>
      <c r="G3" s="41" t="s">
        <v>246</v>
      </c>
      <c r="H3" s="41" t="s">
        <v>247</v>
      </c>
      <c r="I3" s="41" t="s">
        <v>248</v>
      </c>
      <c r="J3" s="41" t="s">
        <v>249</v>
      </c>
      <c r="K3" s="41" t="s">
        <v>250</v>
      </c>
      <c r="L3" s="41" t="s">
        <v>251</v>
      </c>
      <c r="M3" s="41" t="s">
        <v>252</v>
      </c>
      <c r="N3" s="41" t="s">
        <v>253</v>
      </c>
      <c r="O3" s="41" t="s">
        <v>254</v>
      </c>
      <c r="P3" s="41" t="s">
        <v>255</v>
      </c>
      <c r="Q3" s="41" t="s">
        <v>256</v>
      </c>
      <c r="R3" s="41" t="s">
        <v>257</v>
      </c>
      <c r="S3" s="41" t="s">
        <v>258</v>
      </c>
      <c r="T3" s="41" t="s">
        <v>259</v>
      </c>
      <c r="U3" s="41" t="s">
        <v>262</v>
      </c>
      <c r="V3" s="41" t="s">
        <v>263</v>
      </c>
      <c r="W3" s="41" t="s">
        <v>264</v>
      </c>
      <c r="X3" s="41" t="s">
        <v>265</v>
      </c>
      <c r="Y3" s="41" t="s">
        <v>266</v>
      </c>
      <c r="Z3" s="41" t="s">
        <v>267</v>
      </c>
      <c r="AA3" s="41" t="s">
        <v>268</v>
      </c>
      <c r="AB3" s="41" t="s">
        <v>269</v>
      </c>
      <c r="AC3" s="41" t="s">
        <v>270</v>
      </c>
      <c r="AD3" s="41" t="s">
        <v>271</v>
      </c>
      <c r="AE3" s="41" t="s">
        <v>272</v>
      </c>
      <c r="AF3" s="41" t="s">
        <v>273</v>
      </c>
      <c r="AG3" s="41" t="s">
        <v>274</v>
      </c>
      <c r="AH3" s="41" t="s">
        <v>275</v>
      </c>
      <c r="AI3" s="41" t="s">
        <v>276</v>
      </c>
      <c r="AJ3" s="41" t="s">
        <v>277</v>
      </c>
      <c r="AK3" s="41" t="s">
        <v>278</v>
      </c>
      <c r="AL3" s="41" t="s">
        <v>279</v>
      </c>
      <c r="AM3" s="41" t="s">
        <v>280</v>
      </c>
      <c r="AN3" s="41" t="s">
        <v>281</v>
      </c>
      <c r="AO3" s="41" t="s">
        <v>282</v>
      </c>
      <c r="AP3" s="41" t="s">
        <v>283</v>
      </c>
      <c r="AQ3" s="41" t="s">
        <v>284</v>
      </c>
      <c r="AR3" s="41" t="s">
        <v>285</v>
      </c>
      <c r="AS3" s="41" t="s">
        <v>286</v>
      </c>
      <c r="AT3" s="41" t="s">
        <v>287</v>
      </c>
      <c r="AU3" s="41" t="s">
        <v>288</v>
      </c>
      <c r="AV3" s="41" t="s">
        <v>260</v>
      </c>
      <c r="AW3" s="41" t="s">
        <v>261</v>
      </c>
      <c r="AX3" s="41" t="s">
        <v>289</v>
      </c>
      <c r="AY3" s="41" t="s">
        <v>290</v>
      </c>
      <c r="AZ3" s="41" t="s">
        <v>291</v>
      </c>
      <c r="BA3" s="41" t="s">
        <v>43</v>
      </c>
      <c r="BB3" s="41" t="s">
        <v>44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298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307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307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308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308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311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311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305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305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304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16</v>
      </c>
      <c r="B3" s="41" t="s">
        <v>17</v>
      </c>
      <c r="C3" s="41" t="s">
        <v>18</v>
      </c>
      <c r="D3" s="41" t="s">
        <v>19</v>
      </c>
      <c r="E3" s="41" t="s">
        <v>20</v>
      </c>
      <c r="F3" s="41" t="s">
        <v>21</v>
      </c>
      <c r="G3" s="41" t="s">
        <v>22</v>
      </c>
      <c r="H3" s="41" t="s">
        <v>23</v>
      </c>
      <c r="I3" s="41" t="s">
        <v>24</v>
      </c>
      <c r="J3" s="41" t="s">
        <v>25</v>
      </c>
      <c r="K3" s="41" t="s">
        <v>26</v>
      </c>
      <c r="L3" s="41" t="s">
        <v>27</v>
      </c>
      <c r="M3" s="41" t="s">
        <v>28</v>
      </c>
      <c r="N3" s="41" t="s">
        <v>29</v>
      </c>
      <c r="O3" s="41" t="s">
        <v>30</v>
      </c>
      <c r="P3" s="41" t="s">
        <v>31</v>
      </c>
      <c r="Q3" s="41" t="s">
        <v>32</v>
      </c>
      <c r="R3" s="41" t="s">
        <v>33</v>
      </c>
      <c r="S3" s="41" t="s">
        <v>34</v>
      </c>
      <c r="T3" s="41" t="s">
        <v>35</v>
      </c>
      <c r="U3" s="41" t="s">
        <v>36</v>
      </c>
      <c r="V3" s="41" t="s">
        <v>37</v>
      </c>
      <c r="W3" s="41" t="s">
        <v>38</v>
      </c>
      <c r="X3" s="41" t="s">
        <v>39</v>
      </c>
      <c r="Y3" s="41" t="s">
        <v>40</v>
      </c>
      <c r="Z3" s="41" t="s">
        <v>41</v>
      </c>
      <c r="AA3" s="41" t="s">
        <v>46</v>
      </c>
      <c r="AB3" s="41" t="s">
        <v>47</v>
      </c>
      <c r="AC3" s="41" t="s">
        <v>48</v>
      </c>
      <c r="AD3" s="41" t="s">
        <v>49</v>
      </c>
      <c r="AE3" s="41" t="s">
        <v>50</v>
      </c>
      <c r="AF3" s="41" t="s">
        <v>51</v>
      </c>
      <c r="AG3" s="41" t="s">
        <v>52</v>
      </c>
      <c r="AH3" s="41" t="s">
        <v>53</v>
      </c>
      <c r="AI3" s="41" t="s">
        <v>54</v>
      </c>
      <c r="AJ3" s="41" t="s">
        <v>55</v>
      </c>
      <c r="AK3" s="41" t="s">
        <v>56</v>
      </c>
      <c r="AL3" s="41" t="s">
        <v>57</v>
      </c>
      <c r="AM3" s="41" t="s">
        <v>58</v>
      </c>
      <c r="AN3" s="41" t="s">
        <v>59</v>
      </c>
      <c r="AO3" s="41" t="s">
        <v>60</v>
      </c>
      <c r="AP3" s="41" t="s">
        <v>61</v>
      </c>
      <c r="AQ3" s="41" t="s">
        <v>62</v>
      </c>
      <c r="AR3" s="41" t="s">
        <v>63</v>
      </c>
      <c r="AS3" s="41" t="s">
        <v>64</v>
      </c>
      <c r="AT3" s="41" t="s">
        <v>65</v>
      </c>
      <c r="AU3" s="41" t="s">
        <v>66</v>
      </c>
      <c r="AV3" s="41" t="s">
        <v>67</v>
      </c>
      <c r="AW3" s="41" t="s">
        <v>68</v>
      </c>
      <c r="AX3" s="41" t="s">
        <v>69</v>
      </c>
      <c r="AY3" s="41" t="s">
        <v>70</v>
      </c>
      <c r="AZ3" s="41" t="s">
        <v>71</v>
      </c>
      <c r="BA3" s="41" t="s">
        <v>72</v>
      </c>
      <c r="BB3" s="41" t="s">
        <v>73</v>
      </c>
      <c r="BC3" s="41" t="s">
        <v>74</v>
      </c>
      <c r="BD3" s="41" t="s">
        <v>75</v>
      </c>
      <c r="BE3" s="41" t="s">
        <v>76</v>
      </c>
      <c r="BF3" s="41" t="s">
        <v>77</v>
      </c>
      <c r="BG3" s="41" t="s">
        <v>78</v>
      </c>
      <c r="BH3" s="41" t="s">
        <v>79</v>
      </c>
      <c r="BI3" s="41" t="s">
        <v>80</v>
      </c>
      <c r="BJ3" s="41" t="s">
        <v>81</v>
      </c>
      <c r="BK3" s="41" t="s">
        <v>82</v>
      </c>
      <c r="BL3" s="41" t="s">
        <v>83</v>
      </c>
      <c r="BM3" s="41" t="s">
        <v>84</v>
      </c>
      <c r="BN3" s="41" t="s">
        <v>85</v>
      </c>
      <c r="BO3" s="41" t="s">
        <v>86</v>
      </c>
      <c r="BP3" s="41" t="s">
        <v>87</v>
      </c>
      <c r="BQ3" s="41" t="s">
        <v>88</v>
      </c>
      <c r="BR3" s="41" t="s">
        <v>89</v>
      </c>
      <c r="BS3" s="41" t="s">
        <v>90</v>
      </c>
      <c r="BT3" s="41" t="s">
        <v>91</v>
      </c>
      <c r="BU3" s="41" t="s">
        <v>92</v>
      </c>
      <c r="BV3" s="41" t="s">
        <v>93</v>
      </c>
      <c r="BW3" s="41" t="s">
        <v>94</v>
      </c>
      <c r="BX3" s="41" t="s">
        <v>95</v>
      </c>
      <c r="BY3" s="41" t="s">
        <v>96</v>
      </c>
      <c r="BZ3" s="41" t="s">
        <v>97</v>
      </c>
      <c r="CA3" s="41" t="s">
        <v>98</v>
      </c>
      <c r="CB3" s="41" t="s">
        <v>99</v>
      </c>
      <c r="CC3" s="41" t="s">
        <v>100</v>
      </c>
      <c r="CD3" s="41" t="s">
        <v>101</v>
      </c>
      <c r="CE3" s="41" t="s">
        <v>102</v>
      </c>
      <c r="CF3" s="41" t="s">
        <v>103</v>
      </c>
      <c r="CG3" s="41" t="s">
        <v>104</v>
      </c>
      <c r="CH3" s="41" t="s">
        <v>105</v>
      </c>
      <c r="CI3" s="41" t="s">
        <v>106</v>
      </c>
      <c r="CJ3" s="41" t="s">
        <v>107</v>
      </c>
      <c r="CK3" s="41" t="s">
        <v>108</v>
      </c>
      <c r="CL3" s="41" t="s">
        <v>109</v>
      </c>
      <c r="CM3" s="41" t="s">
        <v>110</v>
      </c>
      <c r="CN3" s="41" t="s">
        <v>111</v>
      </c>
      <c r="CO3" s="41" t="s">
        <v>112</v>
      </c>
      <c r="CP3" s="41" t="s">
        <v>113</v>
      </c>
      <c r="CQ3" s="41" t="s">
        <v>114</v>
      </c>
      <c r="CR3" s="41" t="s">
        <v>115</v>
      </c>
      <c r="CS3" s="41" t="s">
        <v>116</v>
      </c>
      <c r="CT3" s="41" t="s">
        <v>117</v>
      </c>
      <c r="CU3" s="41" t="s">
        <v>118</v>
      </c>
      <c r="CV3" s="41" t="s">
        <v>119</v>
      </c>
      <c r="CW3" s="41" t="s">
        <v>120</v>
      </c>
      <c r="CX3" s="41" t="s">
        <v>121</v>
      </c>
      <c r="CY3" s="41" t="s">
        <v>122</v>
      </c>
      <c r="CZ3" s="41" t="s">
        <v>123</v>
      </c>
      <c r="DA3" s="41" t="s">
        <v>124</v>
      </c>
      <c r="DB3" s="41" t="s">
        <v>125</v>
      </c>
      <c r="DC3" s="41" t="s">
        <v>126</v>
      </c>
      <c r="DD3" s="41" t="s">
        <v>127</v>
      </c>
      <c r="DE3" s="41" t="s">
        <v>128</v>
      </c>
      <c r="DF3" s="41" t="s">
        <v>129</v>
      </c>
      <c r="DG3" s="41" t="s">
        <v>130</v>
      </c>
      <c r="DH3" s="41" t="s">
        <v>131</v>
      </c>
      <c r="DI3" s="41" t="s">
        <v>132</v>
      </c>
      <c r="DJ3" s="41" t="s">
        <v>133</v>
      </c>
      <c r="DK3" s="41" t="s">
        <v>134</v>
      </c>
      <c r="DL3" s="41" t="s">
        <v>135</v>
      </c>
      <c r="DM3" s="41" t="s">
        <v>136</v>
      </c>
      <c r="DN3" s="41" t="s">
        <v>137</v>
      </c>
      <c r="DO3" s="41" t="s">
        <v>138</v>
      </c>
      <c r="DP3" s="41" t="s">
        <v>139</v>
      </c>
      <c r="DQ3" s="41" t="s">
        <v>140</v>
      </c>
      <c r="DR3" s="41" t="s">
        <v>141</v>
      </c>
      <c r="DS3" s="41" t="s">
        <v>142</v>
      </c>
      <c r="DT3" s="41" t="s">
        <v>143</v>
      </c>
      <c r="DU3" s="41" t="s">
        <v>144</v>
      </c>
      <c r="DV3" s="41" t="s">
        <v>145</v>
      </c>
      <c r="DW3" s="41" t="s">
        <v>146</v>
      </c>
      <c r="DX3" s="41" t="s">
        <v>147</v>
      </c>
      <c r="DY3" s="41" t="s">
        <v>148</v>
      </c>
      <c r="DZ3" s="41" t="s">
        <v>149</v>
      </c>
      <c r="EA3" s="41" t="s">
        <v>150</v>
      </c>
      <c r="EB3" s="41" t="s">
        <v>151</v>
      </c>
      <c r="EC3" s="41" t="s">
        <v>152</v>
      </c>
      <c r="ED3" s="41" t="s">
        <v>153</v>
      </c>
      <c r="EE3" s="41" t="s">
        <v>154</v>
      </c>
      <c r="EF3" s="41" t="s">
        <v>155</v>
      </c>
      <c r="EG3" s="41" t="s">
        <v>156</v>
      </c>
      <c r="EH3" s="41" t="s">
        <v>157</v>
      </c>
      <c r="EI3" s="41" t="s">
        <v>158</v>
      </c>
      <c r="EJ3" s="41" t="s">
        <v>159</v>
      </c>
      <c r="EK3" s="41" t="s">
        <v>160</v>
      </c>
      <c r="EL3" s="41" t="s">
        <v>161</v>
      </c>
      <c r="EM3" s="41" t="s">
        <v>162</v>
      </c>
      <c r="EN3" s="41" t="s">
        <v>163</v>
      </c>
      <c r="EO3" s="41" t="s">
        <v>164</v>
      </c>
      <c r="EP3" s="41" t="s">
        <v>165</v>
      </c>
      <c r="EQ3" s="41" t="s">
        <v>166</v>
      </c>
      <c r="ER3" s="41" t="s">
        <v>167</v>
      </c>
      <c r="ES3" s="41" t="s">
        <v>168</v>
      </c>
      <c r="ET3" s="41" t="s">
        <v>169</v>
      </c>
      <c r="EU3" s="41" t="s">
        <v>170</v>
      </c>
      <c r="EV3" s="41" t="s">
        <v>171</v>
      </c>
      <c r="EW3" s="41" t="s">
        <v>172</v>
      </c>
      <c r="EX3" s="41" t="s">
        <v>173</v>
      </c>
      <c r="EY3" s="41" t="s">
        <v>174</v>
      </c>
      <c r="EZ3" s="41" t="s">
        <v>175</v>
      </c>
      <c r="FA3" s="41" t="s">
        <v>176</v>
      </c>
      <c r="FB3" s="41" t="s">
        <v>177</v>
      </c>
      <c r="FC3" s="41" t="s">
        <v>178</v>
      </c>
      <c r="FD3" s="41" t="s">
        <v>179</v>
      </c>
      <c r="FE3" s="41" t="s">
        <v>180</v>
      </c>
      <c r="FF3" s="41" t="s">
        <v>181</v>
      </c>
      <c r="FG3" s="41" t="s">
        <v>182</v>
      </c>
      <c r="FH3" s="41" t="s">
        <v>183</v>
      </c>
      <c r="FI3" s="41" t="s">
        <v>184</v>
      </c>
      <c r="FJ3" s="41" t="s">
        <v>185</v>
      </c>
      <c r="FK3" s="41" t="s">
        <v>186</v>
      </c>
      <c r="FL3" s="41" t="s">
        <v>187</v>
      </c>
      <c r="FM3" s="41" t="s">
        <v>188</v>
      </c>
      <c r="FN3" s="41" t="s">
        <v>189</v>
      </c>
      <c r="FO3" s="41" t="s">
        <v>190</v>
      </c>
      <c r="FP3" s="41" t="s">
        <v>191</v>
      </c>
      <c r="FQ3" s="41" t="s">
        <v>192</v>
      </c>
      <c r="FR3" s="41" t="s">
        <v>193</v>
      </c>
      <c r="FS3" s="41" t="s">
        <v>194</v>
      </c>
      <c r="FT3" s="41" t="s">
        <v>195</v>
      </c>
      <c r="FU3" s="41" t="s">
        <v>196</v>
      </c>
      <c r="FV3" s="41" t="s">
        <v>197</v>
      </c>
      <c r="FW3" s="41" t="s">
        <v>198</v>
      </c>
      <c r="FX3" s="41" t="s">
        <v>199</v>
      </c>
      <c r="FY3" s="41" t="s">
        <v>200</v>
      </c>
      <c r="FZ3" s="41" t="s">
        <v>201</v>
      </c>
      <c r="GA3" s="41" t="s">
        <v>202</v>
      </c>
      <c r="GB3" s="41" t="s">
        <v>203</v>
      </c>
      <c r="GC3" s="41" t="s">
        <v>204</v>
      </c>
      <c r="GD3" s="41" t="s">
        <v>205</v>
      </c>
      <c r="GE3" s="41" t="s">
        <v>206</v>
      </c>
      <c r="GF3" s="41" t="s">
        <v>207</v>
      </c>
      <c r="GG3" s="41" t="s">
        <v>208</v>
      </c>
      <c r="GH3" s="41" t="s">
        <v>209</v>
      </c>
      <c r="GI3" s="41" t="s">
        <v>210</v>
      </c>
      <c r="GJ3" s="41" t="s">
        <v>211</v>
      </c>
      <c r="GK3" s="41" t="s">
        <v>212</v>
      </c>
      <c r="GL3" s="41" t="s">
        <v>213</v>
      </c>
      <c r="GM3" s="41" t="s">
        <v>214</v>
      </c>
      <c r="GN3" s="41" t="s">
        <v>215</v>
      </c>
      <c r="GO3" s="41" t="s">
        <v>216</v>
      </c>
      <c r="GP3" s="41" t="s">
        <v>217</v>
      </c>
      <c r="GQ3" s="41" t="s">
        <v>218</v>
      </c>
      <c r="GR3" s="41" t="s">
        <v>219</v>
      </c>
      <c r="GS3" s="41" t="s">
        <v>220</v>
      </c>
      <c r="GT3" s="41" t="s">
        <v>221</v>
      </c>
      <c r="GU3" s="41" t="s">
        <v>222</v>
      </c>
      <c r="GV3" s="41" t="s">
        <v>223</v>
      </c>
      <c r="GW3" s="41" t="s">
        <v>224</v>
      </c>
      <c r="GX3" s="41" t="s">
        <v>225</v>
      </c>
      <c r="GY3" s="41" t="s">
        <v>226</v>
      </c>
      <c r="GZ3" s="41" t="s">
        <v>227</v>
      </c>
      <c r="HA3" s="41" t="s">
        <v>228</v>
      </c>
      <c r="HB3" s="41" t="s">
        <v>229</v>
      </c>
      <c r="HC3" s="41" t="s">
        <v>230</v>
      </c>
      <c r="HD3" s="41" t="s">
        <v>231</v>
      </c>
      <c r="HE3" s="41" t="s">
        <v>232</v>
      </c>
      <c r="HF3" s="41" t="s">
        <v>233</v>
      </c>
      <c r="HG3" s="41" t="s">
        <v>234</v>
      </c>
      <c r="HH3" s="41" t="s">
        <v>235</v>
      </c>
      <c r="HI3" s="41" t="s">
        <v>240</v>
      </c>
      <c r="HJ3" s="41" t="s">
        <v>241</v>
      </c>
      <c r="HK3" s="41"/>
      <c r="HL3" s="41" t="s">
        <v>42</v>
      </c>
      <c r="HM3" s="65"/>
      <c r="HN3" s="41" t="s">
        <v>43</v>
      </c>
      <c r="HO3" s="41" t="s">
        <v>44</v>
      </c>
      <c r="HP3" t="s">
        <v>45</v>
      </c>
      <c r="JK3" s="41" t="s">
        <v>236</v>
      </c>
      <c r="JL3" s="41" t="s">
        <v>237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238</v>
      </c>
      <c r="JL10002" s="41" t="s">
        <v>239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304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301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301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302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302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303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303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309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309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312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23"/>
  <sheetViews>
    <sheetView tabSelected="1" zoomScale="80" workbookViewId="0">
      <pane xSplit="3" ySplit="10" topLeftCell="D209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295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395506.76000000018</v>
      </c>
      <c r="E12" s="4"/>
      <c r="F12" s="12"/>
      <c r="G12" s="4"/>
      <c r="H12" s="4">
        <f>SUM(OSRRefH13x_0)</f>
        <v>2637007.2399999998</v>
      </c>
      <c r="I12" s="4"/>
      <c r="J12" s="12"/>
      <c r="K12" s="4"/>
      <c r="L12" s="4">
        <f t="shared" ref="L12:L132" si="0">+D12-H12</f>
        <v>-2241500.4799999995</v>
      </c>
      <c r="M12" s="4"/>
      <c r="N12" s="12">
        <f t="shared" ref="N12:N132" si="1">IF(H12=0,0,L12/H12)</f>
        <v>-0.85001680920678846</v>
      </c>
      <c r="O12" s="10"/>
      <c r="P12" s="4">
        <f>SUM(OSRRefP13x_0)</f>
        <v>4659384.22</v>
      </c>
      <c r="Q12" s="4"/>
      <c r="R12" s="12"/>
      <c r="S12" s="4"/>
      <c r="T12" s="4">
        <f>SUM(OSRRefT13x_0)</f>
        <v>16094409.959999995</v>
      </c>
      <c r="U12" s="4"/>
      <c r="V12" s="12"/>
      <c r="W12" s="4"/>
      <c r="X12" s="4">
        <f t="shared" ref="X12:X132" si="2">+P12-T12</f>
        <v>-11435025.739999995</v>
      </c>
      <c r="Y12" s="4"/>
      <c r="Z12" s="12">
        <f t="shared" ref="Z12:Z132" si="3">IF(T12=0,0,X12/T12)</f>
        <v>-0.71049673572500438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-9680.35</f>
        <v>-9680.35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-9680.35</v>
      </c>
      <c r="M13" s="2"/>
      <c r="N13" s="19">
        <f t="shared" si="1"/>
        <v>0</v>
      </c>
      <c r="O13" s="11"/>
      <c r="P13" s="2">
        <f>-59042.76</f>
        <v>-59042.76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-59042.76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--6816.45</f>
        <v>6816.45</v>
      </c>
      <c r="E14" s="2"/>
      <c r="F14" s="19"/>
      <c r="G14" s="2"/>
      <c r="H14" s="2">
        <f>--8184.69</f>
        <v>8184.69</v>
      </c>
      <c r="I14" s="2"/>
      <c r="J14" s="19"/>
      <c r="K14" s="2"/>
      <c r="L14" s="2">
        <f t="shared" si="0"/>
        <v>-1368.2399999999998</v>
      </c>
      <c r="M14" s="2"/>
      <c r="N14" s="19">
        <f t="shared" si="1"/>
        <v>-0.16717065643292536</v>
      </c>
      <c r="O14" s="11"/>
      <c r="P14" s="2">
        <f>--719144.02</f>
        <v>719144.02</v>
      </c>
      <c r="Q14" s="2"/>
      <c r="R14" s="19"/>
      <c r="S14" s="2"/>
      <c r="T14" s="2">
        <f>--1503344.43</f>
        <v>1503344.43</v>
      </c>
      <c r="U14" s="2"/>
      <c r="V14" s="19"/>
      <c r="W14" s="2"/>
      <c r="X14" s="2">
        <f t="shared" si="2"/>
        <v>-784200.40999999992</v>
      </c>
      <c r="Y14" s="2"/>
      <c r="Z14" s="19">
        <f t="shared" si="3"/>
        <v>-0.52163722055364248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--1492.1</f>
        <v>1492.1</v>
      </c>
      <c r="E15" s="2"/>
      <c r="F15" s="19"/>
      <c r="G15" s="2"/>
      <c r="H15" s="2">
        <f>--4182.93</f>
        <v>4182.93</v>
      </c>
      <c r="I15" s="2"/>
      <c r="J15" s="19"/>
      <c r="K15" s="2"/>
      <c r="L15" s="2">
        <f t="shared" si="0"/>
        <v>-2690.8300000000004</v>
      </c>
      <c r="M15" s="2"/>
      <c r="N15" s="19">
        <f t="shared" si="1"/>
        <v>-0.64328831704092593</v>
      </c>
      <c r="O15" s="11"/>
      <c r="P15" s="2">
        <f>--320631.62</f>
        <v>320631.62</v>
      </c>
      <c r="Q15" s="2"/>
      <c r="R15" s="19"/>
      <c r="S15" s="2"/>
      <c r="T15" s="2">
        <f>--670479.29</f>
        <v>670479.29</v>
      </c>
      <c r="U15" s="2"/>
      <c r="V15" s="19"/>
      <c r="W15" s="2"/>
      <c r="X15" s="2">
        <f t="shared" si="2"/>
        <v>-349847.67000000004</v>
      </c>
      <c r="Y15" s="2"/>
      <c r="Z15" s="19">
        <f t="shared" si="3"/>
        <v>-0.52178743656645987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8" si="4"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--10665.63</f>
        <v>10665.63</v>
      </c>
      <c r="Q16" s="2"/>
      <c r="R16" s="19"/>
      <c r="S16" s="2"/>
      <c r="T16" s="2">
        <f>--15844.66</f>
        <v>15844.66</v>
      </c>
      <c r="U16" s="2"/>
      <c r="V16" s="19"/>
      <c r="W16" s="2"/>
      <c r="X16" s="2">
        <f t="shared" si="2"/>
        <v>-5179.0300000000007</v>
      </c>
      <c r="Y16" s="2"/>
      <c r="Z16" s="19">
        <f t="shared" si="3"/>
        <v>-0.32686280425076969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--119.4</f>
        <v>119.4</v>
      </c>
      <c r="I17" s="2"/>
      <c r="J17" s="19"/>
      <c r="K17" s="2"/>
      <c r="L17" s="2">
        <f t="shared" si="0"/>
        <v>-119.4</v>
      </c>
      <c r="M17" s="2"/>
      <c r="N17" s="19">
        <f t="shared" si="1"/>
        <v>-1</v>
      </c>
      <c r="O17" s="11"/>
      <c r="P17" s="2">
        <f>--2459.56</f>
        <v>2459.56</v>
      </c>
      <c r="Q17" s="2"/>
      <c r="R17" s="19"/>
      <c r="S17" s="2"/>
      <c r="T17" s="2">
        <f>--30279.88</f>
        <v>30279.88</v>
      </c>
      <c r="U17" s="2"/>
      <c r="V17" s="19"/>
      <c r="W17" s="2"/>
      <c r="X17" s="2">
        <f t="shared" si="2"/>
        <v>-27820.32</v>
      </c>
      <c r="Y17" s="2"/>
      <c r="Z17" s="19">
        <f t="shared" si="3"/>
        <v>-0.91877246541267665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--9.6</f>
        <v>9.6</v>
      </c>
      <c r="U18" s="2"/>
      <c r="V18" s="19"/>
      <c r="W18" s="2"/>
      <c r="X18" s="2">
        <f t="shared" si="2"/>
        <v>-9.6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--307.75</f>
        <v>307.75</v>
      </c>
      <c r="E19" s="2"/>
      <c r="F19" s="19"/>
      <c r="G19" s="2"/>
      <c r="H19" s="2">
        <f>--285.33</f>
        <v>285.33</v>
      </c>
      <c r="I19" s="2"/>
      <c r="J19" s="19"/>
      <c r="K19" s="2"/>
      <c r="L19" s="2">
        <f t="shared" si="0"/>
        <v>22.420000000000016</v>
      </c>
      <c r="M19" s="2"/>
      <c r="N19" s="19">
        <f t="shared" si="1"/>
        <v>7.857568429537734E-2</v>
      </c>
      <c r="O19" s="11"/>
      <c r="P19" s="2">
        <f>--505.12</f>
        <v>505.12</v>
      </c>
      <c r="Q19" s="2"/>
      <c r="R19" s="19"/>
      <c r="S19" s="2"/>
      <c r="T19" s="2">
        <f>--1112.72</f>
        <v>1112.72</v>
      </c>
      <c r="U19" s="2"/>
      <c r="V19" s="19"/>
      <c r="W19" s="2"/>
      <c r="X19" s="2">
        <f t="shared" si="2"/>
        <v>-607.6</v>
      </c>
      <c r="Y19" s="2"/>
      <c r="Z19" s="19">
        <f t="shared" si="3"/>
        <v>-0.54604932058379463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 t="shared" ref="D20:D24" si="5">0</f>
        <v>0</v>
      </c>
      <c r="E20" s="2"/>
      <c r="F20" s="19"/>
      <c r="G20" s="2"/>
      <c r="H20" s="2">
        <f>--189.13</f>
        <v>189.13</v>
      </c>
      <c r="I20" s="2"/>
      <c r="J20" s="19"/>
      <c r="K20" s="2"/>
      <c r="L20" s="2">
        <f t="shared" si="0"/>
        <v>-189.13</v>
      </c>
      <c r="M20" s="2"/>
      <c r="N20" s="19">
        <f t="shared" si="1"/>
        <v>-1</v>
      </c>
      <c r="O20" s="11"/>
      <c r="P20" s="2">
        <f>--340.24</f>
        <v>340.24</v>
      </c>
      <c r="Q20" s="2"/>
      <c r="R20" s="19"/>
      <c r="S20" s="2"/>
      <c r="T20" s="2">
        <f>--883.35</f>
        <v>883.35</v>
      </c>
      <c r="U20" s="2"/>
      <c r="V20" s="19"/>
      <c r="W20" s="2"/>
      <c r="X20" s="2">
        <f t="shared" si="2"/>
        <v>-543.11</v>
      </c>
      <c r="Y20" s="2"/>
      <c r="Z20" s="19">
        <f t="shared" si="3"/>
        <v>-0.61482990886964395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 t="shared" si="5"/>
        <v>0</v>
      </c>
      <c r="E21" s="2"/>
      <c r="F21" s="19"/>
      <c r="G21" s="2"/>
      <c r="H21" s="2">
        <f>--5.49</f>
        <v>5.49</v>
      </c>
      <c r="I21" s="2"/>
      <c r="J21" s="19"/>
      <c r="K21" s="2"/>
      <c r="L21" s="2">
        <f t="shared" si="0"/>
        <v>-5.49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--231.16</f>
        <v>231.16</v>
      </c>
      <c r="U21" s="2"/>
      <c r="V21" s="19"/>
      <c r="W21" s="2"/>
      <c r="X21" s="2">
        <f t="shared" si="2"/>
        <v>-231.16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si="5"/>
        <v>0</v>
      </c>
      <c r="E22" s="2"/>
      <c r="F22" s="19"/>
      <c r="G22" s="2"/>
      <c r="H22" s="2">
        <f>--277.82</f>
        <v>277.82</v>
      </c>
      <c r="I22" s="2"/>
      <c r="J22" s="19"/>
      <c r="K22" s="2"/>
      <c r="L22" s="2">
        <f t="shared" si="0"/>
        <v>-277.82</v>
      </c>
      <c r="M22" s="2"/>
      <c r="N22" s="19">
        <f t="shared" si="1"/>
        <v>-1</v>
      </c>
      <c r="O22" s="11"/>
      <c r="P22" s="2">
        <f>--183.89</f>
        <v>183.89</v>
      </c>
      <c r="Q22" s="2"/>
      <c r="R22" s="19"/>
      <c r="S22" s="2"/>
      <c r="T22" s="2">
        <f>--2732.65</f>
        <v>2732.65</v>
      </c>
      <c r="U22" s="2"/>
      <c r="V22" s="19"/>
      <c r="W22" s="2"/>
      <c r="X22" s="2">
        <f t="shared" si="2"/>
        <v>-2548.7600000000002</v>
      </c>
      <c r="Y22" s="2"/>
      <c r="Z22" s="19">
        <f t="shared" si="3"/>
        <v>-0.93270634731853697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5"/>
        <v>0</v>
      </c>
      <c r="E23" s="2"/>
      <c r="F23" s="19"/>
      <c r="G23" s="2"/>
      <c r="H23" s="2">
        <f>--3.98</f>
        <v>3.98</v>
      </c>
      <c r="I23" s="2"/>
      <c r="J23" s="19"/>
      <c r="K23" s="2"/>
      <c r="L23" s="2">
        <f t="shared" si="0"/>
        <v>-3.98</v>
      </c>
      <c r="M23" s="2"/>
      <c r="N23" s="19">
        <f t="shared" si="1"/>
        <v>-1</v>
      </c>
      <c r="O23" s="11"/>
      <c r="P23" s="2">
        <f t="shared" ref="P23:P24" si="6">0</f>
        <v>0</v>
      </c>
      <c r="Q23" s="2"/>
      <c r="R23" s="19"/>
      <c r="S23" s="2"/>
      <c r="T23" s="2">
        <f>--33.88</f>
        <v>33.880000000000003</v>
      </c>
      <c r="U23" s="2"/>
      <c r="V23" s="19"/>
      <c r="W23" s="2"/>
      <c r="X23" s="2">
        <f t="shared" si="2"/>
        <v>-33.880000000000003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5"/>
        <v>0</v>
      </c>
      <c r="E24" s="2"/>
      <c r="F24" s="19"/>
      <c r="G24" s="2"/>
      <c r="H24" s="2">
        <f>--3212.68</f>
        <v>3212.68</v>
      </c>
      <c r="I24" s="2"/>
      <c r="J24" s="19"/>
      <c r="K24" s="2"/>
      <c r="L24" s="2">
        <f t="shared" si="0"/>
        <v>-3212.68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--29544.72</f>
        <v>29544.720000000001</v>
      </c>
      <c r="U24" s="2"/>
      <c r="V24" s="19"/>
      <c r="W24" s="2"/>
      <c r="X24" s="2">
        <f t="shared" si="2"/>
        <v>-29544.720000000001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--18.37</f>
        <v>18.37</v>
      </c>
      <c r="E25" s="2"/>
      <c r="F25" s="19"/>
      <c r="G25" s="2"/>
      <c r="H25" s="2">
        <f>--6609.41</f>
        <v>6609.41</v>
      </c>
      <c r="I25" s="2"/>
      <c r="J25" s="19"/>
      <c r="K25" s="2"/>
      <c r="L25" s="2">
        <f t="shared" si="0"/>
        <v>-6591.04</v>
      </c>
      <c r="M25" s="2"/>
      <c r="N25" s="19">
        <f t="shared" si="1"/>
        <v>-0.99722062937539058</v>
      </c>
      <c r="O25" s="11"/>
      <c r="P25" s="2">
        <f>--297.2</f>
        <v>297.2</v>
      </c>
      <c r="Q25" s="2"/>
      <c r="R25" s="19"/>
      <c r="S25" s="2"/>
      <c r="T25" s="2">
        <f>--43673.95</f>
        <v>43673.95</v>
      </c>
      <c r="U25" s="2"/>
      <c r="V25" s="19"/>
      <c r="W25" s="2"/>
      <c r="X25" s="2">
        <f t="shared" si="2"/>
        <v>-43376.75</v>
      </c>
      <c r="Y25" s="2"/>
      <c r="Z25" s="19">
        <f t="shared" si="3"/>
        <v>-0.99319502815751726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--1716.97</f>
        <v>1716.97</v>
      </c>
      <c r="E26" s="2"/>
      <c r="F26" s="19"/>
      <c r="G26" s="2"/>
      <c r="H26" s="2">
        <f>--10515.54</f>
        <v>10515.54</v>
      </c>
      <c r="I26" s="2"/>
      <c r="J26" s="19"/>
      <c r="K26" s="2"/>
      <c r="L26" s="2">
        <f t="shared" si="0"/>
        <v>-8798.5700000000015</v>
      </c>
      <c r="M26" s="2"/>
      <c r="N26" s="19">
        <f t="shared" si="1"/>
        <v>-0.8367207009815949</v>
      </c>
      <c r="O26" s="11"/>
      <c r="P26" s="2">
        <f>--36720.47</f>
        <v>36720.47</v>
      </c>
      <c r="Q26" s="2"/>
      <c r="R26" s="19"/>
      <c r="S26" s="2"/>
      <c r="T26" s="2">
        <f>--154789.08</f>
        <v>154789.07999999999</v>
      </c>
      <c r="U26" s="2"/>
      <c r="V26" s="19"/>
      <c r="W26" s="2"/>
      <c r="X26" s="2">
        <f t="shared" si="2"/>
        <v>-118068.60999999999</v>
      </c>
      <c r="Y26" s="2"/>
      <c r="Z26" s="19">
        <f t="shared" si="3"/>
        <v>-0.76277092673462488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--1730.73</f>
        <v>1730.73</v>
      </c>
      <c r="E27" s="2"/>
      <c r="F27" s="19"/>
      <c r="G27" s="2"/>
      <c r="H27" s="2">
        <f>--29388.04</f>
        <v>29388.04</v>
      </c>
      <c r="I27" s="2"/>
      <c r="J27" s="19"/>
      <c r="K27" s="2"/>
      <c r="L27" s="2">
        <f t="shared" si="0"/>
        <v>-27657.31</v>
      </c>
      <c r="M27" s="2"/>
      <c r="N27" s="19">
        <f t="shared" si="1"/>
        <v>-0.94110767509503868</v>
      </c>
      <c r="O27" s="11"/>
      <c r="P27" s="2">
        <f>--15999.58</f>
        <v>15999.58</v>
      </c>
      <c r="Q27" s="2"/>
      <c r="R27" s="19"/>
      <c r="S27" s="2"/>
      <c r="T27" s="2">
        <f>--175952.71</f>
        <v>175952.71</v>
      </c>
      <c r="U27" s="2"/>
      <c r="V27" s="19"/>
      <c r="W27" s="2"/>
      <c r="X27" s="2">
        <f t="shared" si="2"/>
        <v>-159953.13</v>
      </c>
      <c r="Y27" s="2"/>
      <c r="Z27" s="19">
        <f t="shared" si="3"/>
        <v>-0.90906886287798583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--194.65</f>
        <v>194.65</v>
      </c>
      <c r="E28" s="2"/>
      <c r="F28" s="19"/>
      <c r="G28" s="2"/>
      <c r="H28" s="2">
        <f>--58.77</f>
        <v>58.77</v>
      </c>
      <c r="I28" s="2"/>
      <c r="J28" s="19"/>
      <c r="K28" s="2"/>
      <c r="L28" s="2">
        <f t="shared" si="0"/>
        <v>135.88</v>
      </c>
      <c r="M28" s="2"/>
      <c r="N28" s="19">
        <f t="shared" si="1"/>
        <v>2.3120639782201802</v>
      </c>
      <c r="O28" s="11"/>
      <c r="P28" s="2">
        <f>--1862.61</f>
        <v>1862.61</v>
      </c>
      <c r="Q28" s="2"/>
      <c r="R28" s="19"/>
      <c r="S28" s="2"/>
      <c r="T28" s="2">
        <f>--280.05</f>
        <v>280.05</v>
      </c>
      <c r="U28" s="2"/>
      <c r="V28" s="19"/>
      <c r="W28" s="2"/>
      <c r="X28" s="2">
        <f t="shared" si="2"/>
        <v>1582.56</v>
      </c>
      <c r="Y28" s="2"/>
      <c r="Z28" s="19">
        <f t="shared" si="3"/>
        <v>5.6509908944831277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ref="D29:D33" si="7">0</f>
        <v>0</v>
      </c>
      <c r="E29" s="2"/>
      <c r="F29" s="19"/>
      <c r="G29" s="2"/>
      <c r="H29" s="2">
        <f>--30308.52</f>
        <v>30308.52</v>
      </c>
      <c r="I29" s="2"/>
      <c r="J29" s="19"/>
      <c r="K29" s="2"/>
      <c r="L29" s="2">
        <f t="shared" si="0"/>
        <v>-30308.52</v>
      </c>
      <c r="M29" s="2"/>
      <c r="N29" s="19">
        <f t="shared" si="1"/>
        <v>-1</v>
      </c>
      <c r="O29" s="11"/>
      <c r="P29" s="2">
        <f>--444.59</f>
        <v>444.59</v>
      </c>
      <c r="Q29" s="2"/>
      <c r="R29" s="19"/>
      <c r="S29" s="2"/>
      <c r="T29" s="2">
        <f>--162176.81</f>
        <v>162176.81</v>
      </c>
      <c r="U29" s="2"/>
      <c r="V29" s="19"/>
      <c r="W29" s="2"/>
      <c r="X29" s="2">
        <f t="shared" si="2"/>
        <v>-161732.22</v>
      </c>
      <c r="Y29" s="2"/>
      <c r="Z29" s="19">
        <f t="shared" si="3"/>
        <v>-0.99725860929192034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7"/>
        <v>0</v>
      </c>
      <c r="E30" s="2"/>
      <c r="F30" s="19"/>
      <c r="G30" s="2"/>
      <c r="H30" s="2">
        <f>--23.21</f>
        <v>23.21</v>
      </c>
      <c r="I30" s="2"/>
      <c r="J30" s="19"/>
      <c r="K30" s="2"/>
      <c r="L30" s="2">
        <f t="shared" si="0"/>
        <v>-23.21</v>
      </c>
      <c r="M30" s="2"/>
      <c r="N30" s="19">
        <f t="shared" si="1"/>
        <v>-1</v>
      </c>
      <c r="O30" s="11"/>
      <c r="P30" s="2">
        <f>0</f>
        <v>0</v>
      </c>
      <c r="Q30" s="2"/>
      <c r="R30" s="19"/>
      <c r="S30" s="2"/>
      <c r="T30" s="2">
        <f>--108.61</f>
        <v>108.61</v>
      </c>
      <c r="U30" s="2"/>
      <c r="V30" s="19"/>
      <c r="W30" s="2"/>
      <c r="X30" s="2">
        <f t="shared" si="2"/>
        <v>-108.61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7"/>
        <v>0</v>
      </c>
      <c r="E31" s="2"/>
      <c r="F31" s="19"/>
      <c r="G31" s="2"/>
      <c r="H31" s="2">
        <f>--1247.1</f>
        <v>1247.0999999999999</v>
      </c>
      <c r="I31" s="2"/>
      <c r="J31" s="19"/>
      <c r="K31" s="2"/>
      <c r="L31" s="2">
        <f t="shared" si="0"/>
        <v>-1247.0999999999999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--6643.42</f>
        <v>6643.42</v>
      </c>
      <c r="U31" s="2"/>
      <c r="V31" s="19"/>
      <c r="W31" s="2"/>
      <c r="X31" s="2">
        <f t="shared" si="2"/>
        <v>-6636.64</v>
      </c>
      <c r="Y31" s="2"/>
      <c r="Z31" s="19">
        <f t="shared" si="3"/>
        <v>-0.99897944131185445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7"/>
        <v>0</v>
      </c>
      <c r="E32" s="2"/>
      <c r="F32" s="19"/>
      <c r="G32" s="2"/>
      <c r="H32" s="2">
        <f>--269.24</f>
        <v>269.24</v>
      </c>
      <c r="I32" s="2"/>
      <c r="J32" s="19"/>
      <c r="K32" s="2"/>
      <c r="L32" s="2">
        <f t="shared" si="0"/>
        <v>-269.24</v>
      </c>
      <c r="M32" s="2"/>
      <c r="N32" s="19">
        <f t="shared" si="1"/>
        <v>-1</v>
      </c>
      <c r="O32" s="11"/>
      <c r="P32" s="2">
        <f t="shared" ref="P32:P33" si="8">0</f>
        <v>0</v>
      </c>
      <c r="Q32" s="2"/>
      <c r="R32" s="19"/>
      <c r="S32" s="2"/>
      <c r="T32" s="2">
        <f>--1133.6</f>
        <v>1133.5999999999999</v>
      </c>
      <c r="U32" s="2"/>
      <c r="V32" s="19"/>
      <c r="W32" s="2"/>
      <c r="X32" s="2">
        <f t="shared" si="2"/>
        <v>-1133.5999999999999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7"/>
        <v>0</v>
      </c>
      <c r="E33" s="2"/>
      <c r="F33" s="19"/>
      <c r="G33" s="2"/>
      <c r="H33" s="2">
        <f>--74.6</f>
        <v>74.599999999999994</v>
      </c>
      <c r="I33" s="2"/>
      <c r="J33" s="19"/>
      <c r="K33" s="2"/>
      <c r="L33" s="2">
        <f t="shared" si="0"/>
        <v>-74.599999999999994</v>
      </c>
      <c r="M33" s="2"/>
      <c r="N33" s="19">
        <f t="shared" si="1"/>
        <v>-1</v>
      </c>
      <c r="O33" s="11"/>
      <c r="P33" s="2">
        <f t="shared" si="8"/>
        <v>0</v>
      </c>
      <c r="Q33" s="2"/>
      <c r="R33" s="19"/>
      <c r="S33" s="2"/>
      <c r="T33" s="2">
        <f>--377.17</f>
        <v>377.17</v>
      </c>
      <c r="U33" s="2"/>
      <c r="V33" s="19"/>
      <c r="W33" s="2"/>
      <c r="X33" s="2">
        <f t="shared" si="2"/>
        <v>-377.17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--40927.79</f>
        <v>40927.79</v>
      </c>
      <c r="E34" s="2"/>
      <c r="F34" s="19"/>
      <c r="G34" s="2"/>
      <c r="H34" s="2">
        <f>--249896.49</f>
        <v>249896.49</v>
      </c>
      <c r="I34" s="2"/>
      <c r="J34" s="19"/>
      <c r="K34" s="2"/>
      <c r="L34" s="2">
        <f t="shared" si="0"/>
        <v>-208968.69999999998</v>
      </c>
      <c r="M34" s="2"/>
      <c r="N34" s="19">
        <f t="shared" si="1"/>
        <v>-0.83622102895482842</v>
      </c>
      <c r="O34" s="11"/>
      <c r="P34" s="2">
        <f>--423732.7</f>
        <v>423732.7</v>
      </c>
      <c r="Q34" s="2"/>
      <c r="R34" s="19"/>
      <c r="S34" s="2"/>
      <c r="T34" s="2">
        <f>--1098136.94</f>
        <v>1098136.94</v>
      </c>
      <c r="U34" s="2"/>
      <c r="V34" s="19"/>
      <c r="W34" s="2"/>
      <c r="X34" s="2">
        <f t="shared" si="2"/>
        <v>-674404.24</v>
      </c>
      <c r="Y34" s="2"/>
      <c r="Z34" s="19">
        <f t="shared" si="3"/>
        <v>-0.61413491836455303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--12313.27</f>
        <v>12313.27</v>
      </c>
      <c r="E35" s="2"/>
      <c r="F35" s="19"/>
      <c r="G35" s="2"/>
      <c r="H35" s="2">
        <f>--29333.75</f>
        <v>29333.75</v>
      </c>
      <c r="I35" s="2"/>
      <c r="J35" s="19"/>
      <c r="K35" s="2"/>
      <c r="L35" s="2">
        <f t="shared" si="0"/>
        <v>-17020.48</v>
      </c>
      <c r="M35" s="2"/>
      <c r="N35" s="19">
        <f t="shared" si="1"/>
        <v>-0.5802353943836025</v>
      </c>
      <c r="O35" s="11"/>
      <c r="P35" s="2">
        <f>--165400.49</f>
        <v>165400.49</v>
      </c>
      <c r="Q35" s="2"/>
      <c r="R35" s="19"/>
      <c r="S35" s="2"/>
      <c r="T35" s="2">
        <f>--258147.65</f>
        <v>258147.65</v>
      </c>
      <c r="U35" s="2"/>
      <c r="V35" s="19"/>
      <c r="W35" s="2"/>
      <c r="X35" s="2">
        <f t="shared" si="2"/>
        <v>-92747.16</v>
      </c>
      <c r="Y35" s="2"/>
      <c r="Z35" s="19">
        <f t="shared" si="3"/>
        <v>-0.35927950535284753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--2095.44</f>
        <v>2095.44</v>
      </c>
      <c r="E36" s="2"/>
      <c r="F36" s="19"/>
      <c r="G36" s="2"/>
      <c r="H36" s="2">
        <f>--30667.82</f>
        <v>30667.82</v>
      </c>
      <c r="I36" s="2"/>
      <c r="J36" s="19"/>
      <c r="K36" s="2"/>
      <c r="L36" s="2">
        <f t="shared" si="0"/>
        <v>-28572.38</v>
      </c>
      <c r="M36" s="2"/>
      <c r="N36" s="19">
        <f t="shared" si="1"/>
        <v>-0.93167300447178836</v>
      </c>
      <c r="O36" s="11"/>
      <c r="P36" s="2">
        <f>--56879.12</f>
        <v>56879.12</v>
      </c>
      <c r="Q36" s="2"/>
      <c r="R36" s="19"/>
      <c r="S36" s="2"/>
      <c r="T36" s="2">
        <f>--154978.19</f>
        <v>154978.19</v>
      </c>
      <c r="U36" s="2"/>
      <c r="V36" s="19"/>
      <c r="W36" s="2"/>
      <c r="X36" s="2">
        <f t="shared" si="2"/>
        <v>-98099.07</v>
      </c>
      <c r="Y36" s="2"/>
      <c r="Z36" s="19">
        <f t="shared" si="3"/>
        <v>-0.63298629310356513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--16932.18</f>
        <v>16932.18</v>
      </c>
      <c r="E37" s="2"/>
      <c r="F37" s="19"/>
      <c r="G37" s="2"/>
      <c r="H37" s="2">
        <f>--4302.17</f>
        <v>4302.17</v>
      </c>
      <c r="I37" s="2"/>
      <c r="J37" s="19"/>
      <c r="K37" s="2"/>
      <c r="L37" s="2">
        <f t="shared" si="0"/>
        <v>12630.01</v>
      </c>
      <c r="M37" s="2"/>
      <c r="N37" s="19">
        <f t="shared" si="1"/>
        <v>2.9357301082941865</v>
      </c>
      <c r="O37" s="11"/>
      <c r="P37" s="2">
        <f>--57178.22</f>
        <v>57178.22</v>
      </c>
      <c r="Q37" s="2"/>
      <c r="R37" s="19"/>
      <c r="S37" s="2"/>
      <c r="T37" s="2">
        <f>--4823.02</f>
        <v>4823.0200000000004</v>
      </c>
      <c r="U37" s="2"/>
      <c r="V37" s="19"/>
      <c r="W37" s="2"/>
      <c r="X37" s="2">
        <f t="shared" si="2"/>
        <v>52355.199999999997</v>
      </c>
      <c r="Y37" s="2"/>
      <c r="Z37" s="19">
        <f t="shared" si="3"/>
        <v>10.855273252028811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--2517.35</f>
        <v>2517.35</v>
      </c>
      <c r="E38" s="2"/>
      <c r="F38" s="19"/>
      <c r="G38" s="2"/>
      <c r="H38" s="2">
        <f>--8230.63</f>
        <v>8230.6299999999992</v>
      </c>
      <c r="I38" s="2"/>
      <c r="J38" s="19"/>
      <c r="K38" s="2"/>
      <c r="L38" s="2">
        <f t="shared" si="0"/>
        <v>-5713.2799999999988</v>
      </c>
      <c r="M38" s="2"/>
      <c r="N38" s="19">
        <f t="shared" si="1"/>
        <v>-0.69414856456917629</v>
      </c>
      <c r="O38" s="11"/>
      <c r="P38" s="2">
        <f>--15006.51</f>
        <v>15006.51</v>
      </c>
      <c r="Q38" s="2"/>
      <c r="R38" s="19"/>
      <c r="S38" s="2"/>
      <c r="T38" s="2">
        <f>--41297.78</f>
        <v>41297.78</v>
      </c>
      <c r="U38" s="2"/>
      <c r="V38" s="19"/>
      <c r="W38" s="2"/>
      <c r="X38" s="2">
        <f t="shared" si="2"/>
        <v>-26291.269999999997</v>
      </c>
      <c r="Y38" s="2"/>
      <c r="Z38" s="19">
        <f t="shared" si="3"/>
        <v>-0.63662671455947506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--11255.56</f>
        <v>11255.56</v>
      </c>
      <c r="E39" s="2"/>
      <c r="F39" s="19"/>
      <c r="G39" s="2"/>
      <c r="H39" s="2">
        <f>--18665.34</f>
        <v>18665.34</v>
      </c>
      <c r="I39" s="2"/>
      <c r="J39" s="19"/>
      <c r="K39" s="2"/>
      <c r="L39" s="2">
        <f t="shared" si="0"/>
        <v>-7409.7800000000007</v>
      </c>
      <c r="M39" s="2"/>
      <c r="N39" s="19">
        <f t="shared" si="1"/>
        <v>-0.39698071398645834</v>
      </c>
      <c r="O39" s="11"/>
      <c r="P39" s="2">
        <f>--108212.17</f>
        <v>108212.17</v>
      </c>
      <c r="Q39" s="2"/>
      <c r="R39" s="19"/>
      <c r="S39" s="2"/>
      <c r="T39" s="2">
        <f>--54518.44</f>
        <v>54518.44</v>
      </c>
      <c r="U39" s="2"/>
      <c r="V39" s="19"/>
      <c r="W39" s="2"/>
      <c r="X39" s="2">
        <f t="shared" si="2"/>
        <v>53693.729999999996</v>
      </c>
      <c r="Y39" s="2"/>
      <c r="Z39" s="19">
        <f t="shared" si="3"/>
        <v>0.98487282468097026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0</f>
        <v>0</v>
      </c>
      <c r="E40" s="2"/>
      <c r="F40" s="19"/>
      <c r="G40" s="2"/>
      <c r="H40" s="2">
        <f>--304.55</f>
        <v>304.55</v>
      </c>
      <c r="I40" s="2"/>
      <c r="J40" s="19"/>
      <c r="K40" s="2"/>
      <c r="L40" s="2">
        <f t="shared" si="0"/>
        <v>-304.55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--1678.55</f>
        <v>1678.55</v>
      </c>
      <c r="U40" s="2"/>
      <c r="V40" s="19"/>
      <c r="W40" s="2"/>
      <c r="X40" s="2">
        <f t="shared" si="2"/>
        <v>-1678.55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--4501.27</f>
        <v>4501.2700000000004</v>
      </c>
      <c r="E41" s="2"/>
      <c r="F41" s="19"/>
      <c r="G41" s="2"/>
      <c r="H41" s="2">
        <f>--74968.58</f>
        <v>74968.58</v>
      </c>
      <c r="I41" s="2"/>
      <c r="J41" s="19"/>
      <c r="K41" s="2"/>
      <c r="L41" s="2">
        <f t="shared" si="0"/>
        <v>-70467.31</v>
      </c>
      <c r="M41" s="2"/>
      <c r="N41" s="19">
        <f t="shared" si="1"/>
        <v>-0.93995791303503406</v>
      </c>
      <c r="O41" s="11"/>
      <c r="P41" s="2">
        <f>--17251.21</f>
        <v>17251.21</v>
      </c>
      <c r="Q41" s="2"/>
      <c r="R41" s="19"/>
      <c r="S41" s="2"/>
      <c r="T41" s="2">
        <f>--375004.52</f>
        <v>375004.52</v>
      </c>
      <c r="U41" s="2"/>
      <c r="V41" s="19"/>
      <c r="W41" s="2"/>
      <c r="X41" s="2">
        <f t="shared" si="2"/>
        <v>-357753.31</v>
      </c>
      <c r="Y41" s="2"/>
      <c r="Z41" s="19">
        <f t="shared" si="3"/>
        <v>-0.95399732781887525</v>
      </c>
    </row>
    <row r="42" spans="1:26" s="24" customFormat="1" hidden="1" outlineLevel="1" x14ac:dyDescent="0.25">
      <c r="A42" s="44"/>
      <c r="B42" s="11" t="str">
        <f>CONCATENATE("          ", "4052", " - ", "TAXABLE SALES-FOOD")</f>
        <v xml:space="preserve">          4052 - TAXABLE SALES-FOOD</v>
      </c>
      <c r="C42" s="11"/>
      <c r="D42" s="2">
        <f>--55493.87</f>
        <v>55493.87</v>
      </c>
      <c r="E42" s="2"/>
      <c r="F42" s="19"/>
      <c r="G42" s="2"/>
      <c r="H42" s="2">
        <f>--85023.13</f>
        <v>85023.13</v>
      </c>
      <c r="I42" s="2"/>
      <c r="J42" s="19"/>
      <c r="K42" s="2"/>
      <c r="L42" s="2">
        <f t="shared" si="0"/>
        <v>-29529.260000000002</v>
      </c>
      <c r="M42" s="2"/>
      <c r="N42" s="19">
        <f t="shared" si="1"/>
        <v>-0.34730855003808964</v>
      </c>
      <c r="O42" s="11"/>
      <c r="P42" s="2">
        <f>--85725.16</f>
        <v>85725.16</v>
      </c>
      <c r="Q42" s="2"/>
      <c r="R42" s="19"/>
      <c r="S42" s="2"/>
      <c r="T42" s="2">
        <f>--453845.53</f>
        <v>453845.53</v>
      </c>
      <c r="U42" s="2"/>
      <c r="V42" s="19"/>
      <c r="W42" s="2"/>
      <c r="X42" s="2">
        <f t="shared" si="2"/>
        <v>-368120.37</v>
      </c>
      <c r="Y42" s="2"/>
      <c r="Z42" s="19">
        <f t="shared" si="3"/>
        <v>-0.81111379459879218</v>
      </c>
    </row>
    <row r="43" spans="1:26" s="24" customFormat="1" hidden="1" outlineLevel="1" x14ac:dyDescent="0.25">
      <c r="A43" s="44"/>
      <c r="B43" s="11" t="str">
        <f>CONCATENATE("          ", "4053", " - ", "TAXABLE SALES-FOOD")</f>
        <v xml:space="preserve">          4053 - TAXABLE SALES-FOOD</v>
      </c>
      <c r="C43" s="11"/>
      <c r="D43" s="2">
        <f>--92.59</f>
        <v>92.59</v>
      </c>
      <c r="E43" s="2"/>
      <c r="F43" s="19"/>
      <c r="G43" s="2"/>
      <c r="H43" s="2">
        <f>--20292.53</f>
        <v>20292.53</v>
      </c>
      <c r="I43" s="2"/>
      <c r="J43" s="19"/>
      <c r="K43" s="2"/>
      <c r="L43" s="2">
        <f t="shared" si="0"/>
        <v>-20199.939999999999</v>
      </c>
      <c r="M43" s="2"/>
      <c r="N43" s="19">
        <f t="shared" si="1"/>
        <v>-0.99543723724937205</v>
      </c>
      <c r="O43" s="11"/>
      <c r="P43" s="2">
        <f>--495.03</f>
        <v>495.03</v>
      </c>
      <c r="Q43" s="2"/>
      <c r="R43" s="19"/>
      <c r="S43" s="2"/>
      <c r="T43" s="2">
        <f>--90170.93</f>
        <v>90170.93</v>
      </c>
      <c r="U43" s="2"/>
      <c r="V43" s="19"/>
      <c r="W43" s="2"/>
      <c r="X43" s="2">
        <f t="shared" si="2"/>
        <v>-89675.9</v>
      </c>
      <c r="Y43" s="2"/>
      <c r="Z43" s="19">
        <f t="shared" si="3"/>
        <v>-0.99451009321962192</v>
      </c>
    </row>
    <row r="44" spans="1:26" s="24" customFormat="1" hidden="1" outlineLevel="1" x14ac:dyDescent="0.25">
      <c r="A44" s="44"/>
      <c r="B44" s="11" t="str">
        <f>CONCATENATE("          ", "4055", " - ", "TAXABLE SALES-FOOD")</f>
        <v xml:space="preserve">          4055 - TAXABLE SALES-FOOD</v>
      </c>
      <c r="C44" s="11"/>
      <c r="D44" s="2">
        <f t="shared" ref="D44:D45" si="9">0</f>
        <v>0</v>
      </c>
      <c r="E44" s="2"/>
      <c r="F44" s="19"/>
      <c r="G44" s="2"/>
      <c r="H44" s="2">
        <f>--49269.15</f>
        <v>49269.15</v>
      </c>
      <c r="I44" s="2"/>
      <c r="J44" s="19"/>
      <c r="K44" s="2"/>
      <c r="L44" s="2">
        <f t="shared" si="0"/>
        <v>-49269.15</v>
      </c>
      <c r="M44" s="2"/>
      <c r="N44" s="19">
        <f t="shared" si="1"/>
        <v>-1</v>
      </c>
      <c r="O44" s="11"/>
      <c r="P44" s="2">
        <f>0</f>
        <v>0</v>
      </c>
      <c r="Q44" s="2"/>
      <c r="R44" s="19"/>
      <c r="S44" s="2"/>
      <c r="T44" s="2">
        <f>--235911.89</f>
        <v>235911.89</v>
      </c>
      <c r="U44" s="2"/>
      <c r="V44" s="19"/>
      <c r="W44" s="2"/>
      <c r="X44" s="2">
        <f t="shared" si="2"/>
        <v>-235911.89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"4058", " - ", "TAXABLE SALES-FOOD")</f>
        <v xml:space="preserve">          4058 - TAXABLE SALES-FOOD</v>
      </c>
      <c r="C45" s="11"/>
      <c r="D45" s="2">
        <f t="shared" si="9"/>
        <v>0</v>
      </c>
      <c r="E45" s="2"/>
      <c r="F45" s="19"/>
      <c r="G45" s="2"/>
      <c r="H45" s="2">
        <f>--14656.48</f>
        <v>14656.48</v>
      </c>
      <c r="I45" s="2"/>
      <c r="J45" s="19"/>
      <c r="K45" s="2"/>
      <c r="L45" s="2">
        <f t="shared" si="0"/>
        <v>-14656.48</v>
      </c>
      <c r="M45" s="2"/>
      <c r="N45" s="19">
        <f t="shared" si="1"/>
        <v>-1</v>
      </c>
      <c r="O45" s="11"/>
      <c r="P45" s="2">
        <f>--974.91</f>
        <v>974.91</v>
      </c>
      <c r="Q45" s="2"/>
      <c r="R45" s="19"/>
      <c r="S45" s="2"/>
      <c r="T45" s="2">
        <f>--78802.41</f>
        <v>78802.41</v>
      </c>
      <c r="U45" s="2"/>
      <c r="V45" s="19"/>
      <c r="W45" s="2"/>
      <c r="X45" s="2">
        <f t="shared" si="2"/>
        <v>-77827.5</v>
      </c>
      <c r="Y45" s="2"/>
      <c r="Z45" s="19">
        <f t="shared" si="3"/>
        <v>-0.98762842405454343</v>
      </c>
    </row>
    <row r="46" spans="1:26" s="24" customFormat="1" hidden="1" outlineLevel="1" x14ac:dyDescent="0.25">
      <c r="A46" s="44"/>
      <c r="B46" s="11" t="str">
        <f>CONCATENATE("          ", "4081", " - ", "TAXABLE SALES-ELECTRONICS")</f>
        <v xml:space="preserve">          4081 - TAXABLE SALES-ELECTRONICS</v>
      </c>
      <c r="C46" s="11"/>
      <c r="D46" s="2">
        <f>--973.93</f>
        <v>973.93</v>
      </c>
      <c r="E46" s="2"/>
      <c r="F46" s="19"/>
      <c r="G46" s="2"/>
      <c r="H46" s="2">
        <f>--16554.53</f>
        <v>16554.53</v>
      </c>
      <c r="I46" s="2"/>
      <c r="J46" s="19"/>
      <c r="K46" s="2"/>
      <c r="L46" s="2">
        <f t="shared" si="0"/>
        <v>-15580.599999999999</v>
      </c>
      <c r="M46" s="2"/>
      <c r="N46" s="19">
        <f t="shared" si="1"/>
        <v>-0.94116836902044332</v>
      </c>
      <c r="O46" s="11"/>
      <c r="P46" s="2">
        <f>--56091.22</f>
        <v>56091.22</v>
      </c>
      <c r="Q46" s="2"/>
      <c r="R46" s="19"/>
      <c r="S46" s="2"/>
      <c r="T46" s="2">
        <f>--231804.25</f>
        <v>231804.25</v>
      </c>
      <c r="U46" s="2"/>
      <c r="V46" s="19"/>
      <c r="W46" s="2"/>
      <c r="X46" s="2">
        <f t="shared" si="2"/>
        <v>-175713.03</v>
      </c>
      <c r="Y46" s="2"/>
      <c r="Z46" s="19">
        <f t="shared" si="3"/>
        <v>-0.75802333218653239</v>
      </c>
    </row>
    <row r="47" spans="1:26" s="24" customFormat="1" hidden="1" outlineLevel="1" x14ac:dyDescent="0.25">
      <c r="A47" s="44"/>
      <c r="B47" s="11" t="str">
        <f>CONCATENATE("          ", "4082", " - ", "TAXABLE SALES-COMPUTER HARDWAR")</f>
        <v xml:space="preserve">          4082 - TAXABLE SALES-COMPUTER HARDWAR</v>
      </c>
      <c r="C47" s="11"/>
      <c r="D47" s="2">
        <f>--57494.9</f>
        <v>57494.9</v>
      </c>
      <c r="E47" s="2"/>
      <c r="F47" s="19"/>
      <c r="G47" s="2"/>
      <c r="H47" s="2">
        <f>--134369.21</f>
        <v>134369.21</v>
      </c>
      <c r="I47" s="2"/>
      <c r="J47" s="19"/>
      <c r="K47" s="2"/>
      <c r="L47" s="2">
        <f t="shared" si="0"/>
        <v>-76874.31</v>
      </c>
      <c r="M47" s="2"/>
      <c r="N47" s="19">
        <f t="shared" si="1"/>
        <v>-0.57211253977008569</v>
      </c>
      <c r="O47" s="11"/>
      <c r="P47" s="2">
        <f>--949594.89</f>
        <v>949594.89</v>
      </c>
      <c r="Q47" s="2"/>
      <c r="R47" s="19"/>
      <c r="S47" s="2"/>
      <c r="T47" s="2">
        <f>--1282930.84</f>
        <v>1282930.8400000001</v>
      </c>
      <c r="U47" s="2"/>
      <c r="V47" s="19"/>
      <c r="W47" s="2"/>
      <c r="X47" s="2">
        <f t="shared" si="2"/>
        <v>-333335.95000000007</v>
      </c>
      <c r="Y47" s="2"/>
      <c r="Z47" s="19">
        <f t="shared" si="3"/>
        <v>-0.25982378753947488</v>
      </c>
    </row>
    <row r="48" spans="1:26" s="24" customFormat="1" hidden="1" outlineLevel="1" x14ac:dyDescent="0.25">
      <c r="A48" s="44"/>
      <c r="B48" s="11" t="str">
        <f>CONCATENATE("          ", "4083", " - ", "TAXABLE SALES-COMPUTER EQUIPME")</f>
        <v xml:space="preserve">          4083 - TAXABLE SALES-COMPUTER EQUIPME</v>
      </c>
      <c r="C48" s="11"/>
      <c r="D48" s="2">
        <f>--4805.85</f>
        <v>4805.8500000000004</v>
      </c>
      <c r="E48" s="2"/>
      <c r="F48" s="19"/>
      <c r="G48" s="2"/>
      <c r="H48" s="2">
        <f>--10037.71</f>
        <v>10037.709999999999</v>
      </c>
      <c r="I48" s="2"/>
      <c r="J48" s="19"/>
      <c r="K48" s="2"/>
      <c r="L48" s="2">
        <f t="shared" si="0"/>
        <v>-5231.8599999999988</v>
      </c>
      <c r="M48" s="2"/>
      <c r="N48" s="19">
        <f t="shared" si="1"/>
        <v>-0.52122047757904932</v>
      </c>
      <c r="O48" s="11"/>
      <c r="P48" s="2">
        <f>--76860.94</f>
        <v>76860.94</v>
      </c>
      <c r="Q48" s="2"/>
      <c r="R48" s="19"/>
      <c r="S48" s="2"/>
      <c r="T48" s="2">
        <f>--64073.62</f>
        <v>64073.62</v>
      </c>
      <c r="U48" s="2"/>
      <c r="V48" s="19"/>
      <c r="W48" s="2"/>
      <c r="X48" s="2">
        <f t="shared" si="2"/>
        <v>12787.32</v>
      </c>
      <c r="Y48" s="2"/>
      <c r="Z48" s="19">
        <f t="shared" si="3"/>
        <v>0.1995723044834988</v>
      </c>
    </row>
    <row r="49" spans="1:26" s="24" customFormat="1" hidden="1" outlineLevel="1" x14ac:dyDescent="0.25">
      <c r="A49" s="44"/>
      <c r="B49" s="11" t="str">
        <f>CONCATENATE("          ", "4084", " - ", "TAXABLE SALES-SOFTWARE LICENSE")</f>
        <v xml:space="preserve">          4084 - TAXABLE SALES-SOFTWARE LICENSE</v>
      </c>
      <c r="C49" s="11"/>
      <c r="D49" s="2">
        <f>0</f>
        <v>0</v>
      </c>
      <c r="E49" s="2"/>
      <c r="F49" s="19"/>
      <c r="G49" s="2"/>
      <c r="H49" s="2">
        <f t="shared" ref="H49:H50" si="10"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0</f>
        <v>0</v>
      </c>
      <c r="Q49" s="2"/>
      <c r="R49" s="19"/>
      <c r="S49" s="2"/>
      <c r="T49" s="2">
        <f>--129</f>
        <v>129</v>
      </c>
      <c r="U49" s="2"/>
      <c r="V49" s="19"/>
      <c r="W49" s="2"/>
      <c r="X49" s="2">
        <f t="shared" si="2"/>
        <v>-129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"4085", " - ", "TAXABLE SALES-SOFTWARE")</f>
        <v xml:space="preserve">          4085 - TAXABLE SALES-SOFTWARE</v>
      </c>
      <c r="C50" s="11"/>
      <c r="D50" s="2">
        <f>--378.99</f>
        <v>378.99</v>
      </c>
      <c r="E50" s="2"/>
      <c r="F50" s="19"/>
      <c r="G50" s="2"/>
      <c r="H50" s="2">
        <f t="shared" si="10"/>
        <v>0</v>
      </c>
      <c r="I50" s="2"/>
      <c r="J50" s="19"/>
      <c r="K50" s="2"/>
      <c r="L50" s="2">
        <f t="shared" si="0"/>
        <v>378.99</v>
      </c>
      <c r="M50" s="2"/>
      <c r="N50" s="19">
        <f t="shared" si="1"/>
        <v>0</v>
      </c>
      <c r="O50" s="11"/>
      <c r="P50" s="2">
        <f>--1499.95</f>
        <v>1499.95</v>
      </c>
      <c r="Q50" s="2"/>
      <c r="R50" s="19"/>
      <c r="S50" s="2"/>
      <c r="T50" s="2">
        <f>--4407.94</f>
        <v>4407.9399999999996</v>
      </c>
      <c r="U50" s="2"/>
      <c r="V50" s="19"/>
      <c r="W50" s="2"/>
      <c r="X50" s="2">
        <f t="shared" si="2"/>
        <v>-2907.99</v>
      </c>
      <c r="Y50" s="2"/>
      <c r="Z50" s="19">
        <f t="shared" si="3"/>
        <v>-0.65971633007708819</v>
      </c>
    </row>
    <row r="51" spans="1:26" s="24" customFormat="1" hidden="1" outlineLevel="1" x14ac:dyDescent="0.25">
      <c r="A51" s="44"/>
      <c r="B51" s="11" t="str">
        <f>CONCATENATE("          ", "4086", " - ", "TAXABLE SALES-COMPUTER SUPPLIE")</f>
        <v xml:space="preserve">          4086 - TAXABLE SALES-COMPUTER SUPPLIE</v>
      </c>
      <c r="C51" s="11"/>
      <c r="D51" s="2">
        <f>--260.94</f>
        <v>260.94</v>
      </c>
      <c r="E51" s="2"/>
      <c r="F51" s="19"/>
      <c r="G51" s="2"/>
      <c r="H51" s="2">
        <f>--3874.61</f>
        <v>3874.61</v>
      </c>
      <c r="I51" s="2"/>
      <c r="J51" s="19"/>
      <c r="K51" s="2"/>
      <c r="L51" s="2">
        <f t="shared" si="0"/>
        <v>-3613.67</v>
      </c>
      <c r="M51" s="2"/>
      <c r="N51" s="19">
        <f t="shared" si="1"/>
        <v>-0.93265386709888221</v>
      </c>
      <c r="O51" s="11"/>
      <c r="P51" s="2">
        <f>--29627.6</f>
        <v>29627.599999999999</v>
      </c>
      <c r="Q51" s="2"/>
      <c r="R51" s="19"/>
      <c r="S51" s="2"/>
      <c r="T51" s="2">
        <f>--31007.7</f>
        <v>31007.7</v>
      </c>
      <c r="U51" s="2"/>
      <c r="V51" s="19"/>
      <c r="W51" s="2"/>
      <c r="X51" s="2">
        <f t="shared" si="2"/>
        <v>-1380.1000000000022</v>
      </c>
      <c r="Y51" s="2"/>
      <c r="Z51" s="19">
        <f t="shared" si="3"/>
        <v>-4.4508299551401821E-2</v>
      </c>
    </row>
    <row r="52" spans="1:26" s="24" customFormat="1" hidden="1" outlineLevel="1" x14ac:dyDescent="0.25">
      <c r="A52" s="44"/>
      <c r="B52" s="11" t="str">
        <f>CONCATENATE("          ", "4088", " - ", "TAXABLE SALES-MUSIC")</f>
        <v xml:space="preserve">          4088 - TAXABLE SALES-MUSIC</v>
      </c>
      <c r="C52" s="11"/>
      <c r="D52" s="2">
        <f t="shared" ref="D52:D54" si="11">0</f>
        <v>0</v>
      </c>
      <c r="E52" s="2"/>
      <c r="F52" s="19"/>
      <c r="G52" s="2"/>
      <c r="H52" s="2">
        <f>--118.97</f>
        <v>118.97</v>
      </c>
      <c r="I52" s="2"/>
      <c r="J52" s="19"/>
      <c r="K52" s="2"/>
      <c r="L52" s="2">
        <f t="shared" si="0"/>
        <v>-118.97</v>
      </c>
      <c r="M52" s="2"/>
      <c r="N52" s="19">
        <f t="shared" si="1"/>
        <v>-1</v>
      </c>
      <c r="O52" s="11"/>
      <c r="P52" s="2">
        <f t="shared" ref="P52:P54" si="12">0</f>
        <v>0</v>
      </c>
      <c r="Q52" s="2"/>
      <c r="R52" s="19"/>
      <c r="S52" s="2"/>
      <c r="T52" s="2">
        <f>--936.91</f>
        <v>936.91</v>
      </c>
      <c r="U52" s="2"/>
      <c r="V52" s="19"/>
      <c r="W52" s="2"/>
      <c r="X52" s="2">
        <f t="shared" si="2"/>
        <v>-936.91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"4092", " - ", "TAXABLE SALES-GRAD MERCH")</f>
        <v xml:space="preserve">          4092 - TAXABLE SALES-GRAD MERCH</v>
      </c>
      <c r="C53" s="11"/>
      <c r="D53" s="2">
        <f t="shared" si="11"/>
        <v>0</v>
      </c>
      <c r="E53" s="2"/>
      <c r="F53" s="19"/>
      <c r="G53" s="2"/>
      <c r="H53" s="2">
        <f>--2389.54</f>
        <v>2389.54</v>
      </c>
      <c r="I53" s="2"/>
      <c r="J53" s="19"/>
      <c r="K53" s="2"/>
      <c r="L53" s="2">
        <f t="shared" si="0"/>
        <v>-2389.54</v>
      </c>
      <c r="M53" s="2"/>
      <c r="N53" s="19">
        <f t="shared" si="1"/>
        <v>-1</v>
      </c>
      <c r="O53" s="11"/>
      <c r="P53" s="2">
        <f t="shared" si="12"/>
        <v>0</v>
      </c>
      <c r="Q53" s="2"/>
      <c r="R53" s="19"/>
      <c r="S53" s="2"/>
      <c r="T53" s="2">
        <f>--7440.62</f>
        <v>7440.62</v>
      </c>
      <c r="U53" s="2"/>
      <c r="V53" s="19"/>
      <c r="W53" s="2"/>
      <c r="X53" s="2">
        <f t="shared" si="2"/>
        <v>-7440.62</v>
      </c>
      <c r="Y53" s="2"/>
      <c r="Z53" s="19">
        <f t="shared" si="3"/>
        <v>-1</v>
      </c>
    </row>
    <row r="54" spans="1:26" s="24" customFormat="1" hidden="1" outlineLevel="1" x14ac:dyDescent="0.25">
      <c r="A54" s="44"/>
      <c r="B54" s="11" t="str">
        <f>CONCATENATE("          ", "4095", " - ", "TAXABLE SALES-CUSTOMER SERVICE")</f>
        <v xml:space="preserve">          4095 - TAXABLE SALES-CUSTOMER SERVICE</v>
      </c>
      <c r="C54" s="11"/>
      <c r="D54" s="2">
        <f t="shared" si="11"/>
        <v>0</v>
      </c>
      <c r="E54" s="2"/>
      <c r="F54" s="19"/>
      <c r="G54" s="2"/>
      <c r="H54" s="2">
        <f>--31.83</f>
        <v>31.83</v>
      </c>
      <c r="I54" s="2"/>
      <c r="J54" s="19"/>
      <c r="K54" s="2"/>
      <c r="L54" s="2">
        <f t="shared" si="0"/>
        <v>-31.83</v>
      </c>
      <c r="M54" s="2"/>
      <c r="N54" s="19">
        <f t="shared" si="1"/>
        <v>-1</v>
      </c>
      <c r="O54" s="11"/>
      <c r="P54" s="2">
        <f t="shared" si="12"/>
        <v>0</v>
      </c>
      <c r="Q54" s="2"/>
      <c r="R54" s="19"/>
      <c r="S54" s="2"/>
      <c r="T54" s="2">
        <f>--276.44</f>
        <v>276.44</v>
      </c>
      <c r="U54" s="2"/>
      <c r="V54" s="19"/>
      <c r="W54" s="2"/>
      <c r="X54" s="2">
        <f t="shared" si="2"/>
        <v>-276.44</v>
      </c>
      <c r="Y54" s="2"/>
      <c r="Z54" s="19">
        <f t="shared" si="3"/>
        <v>-1</v>
      </c>
    </row>
    <row r="55" spans="1:26" s="24" customFormat="1" hidden="1" outlineLevel="1" x14ac:dyDescent="0.25">
      <c r="A55" s="44"/>
      <c r="B55" s="11" t="str">
        <f>CONCATENATE("          ", "4100", " - ", "NON-TAXABLE SALES")</f>
        <v xml:space="preserve">          4100 - NON-TAXABLE SALES</v>
      </c>
      <c r="C55" s="11"/>
      <c r="D55" s="2">
        <f>--54175.61</f>
        <v>54175.61</v>
      </c>
      <c r="E55" s="2"/>
      <c r="F55" s="19"/>
      <c r="G55" s="2"/>
      <c r="H55" s="2">
        <f>--22773.89</f>
        <v>22773.89</v>
      </c>
      <c r="I55" s="2"/>
      <c r="J55" s="19"/>
      <c r="K55" s="2"/>
      <c r="L55" s="2">
        <f t="shared" si="0"/>
        <v>31401.72</v>
      </c>
      <c r="M55" s="2"/>
      <c r="N55" s="19">
        <f t="shared" si="1"/>
        <v>1.3788474432782454</v>
      </c>
      <c r="O55" s="11"/>
      <c r="P55" s="2">
        <f>--488260.42</f>
        <v>488260.42</v>
      </c>
      <c r="Q55" s="2"/>
      <c r="R55" s="19"/>
      <c r="S55" s="2"/>
      <c r="T55" s="2">
        <f>--481291.56</f>
        <v>481291.56</v>
      </c>
      <c r="U55" s="2"/>
      <c r="V55" s="19"/>
      <c r="W55" s="2"/>
      <c r="X55" s="2">
        <f t="shared" si="2"/>
        <v>6968.859999999986</v>
      </c>
      <c r="Y55" s="2"/>
      <c r="Z55" s="19">
        <f t="shared" si="3"/>
        <v>1.4479497625098571E-2</v>
      </c>
    </row>
    <row r="56" spans="1:26" s="24" customFormat="1" hidden="1" outlineLevel="1" x14ac:dyDescent="0.25">
      <c r="A56" s="44"/>
      <c r="B56" s="11" t="str">
        <f>CONCATENATE("          ", "4101", " - ", "NON-TAXABLE SALES-NEW TEXT")</f>
        <v xml:space="preserve">          4101 - NON-TAXABLE SALES-NEW TEXT</v>
      </c>
      <c r="C56" s="11"/>
      <c r="D56" s="2">
        <f>--1270.83</f>
        <v>1270.83</v>
      </c>
      <c r="E56" s="2"/>
      <c r="F56" s="19"/>
      <c r="G56" s="2"/>
      <c r="H56" s="2">
        <f>--349.66</f>
        <v>349.66</v>
      </c>
      <c r="I56" s="2"/>
      <c r="J56" s="19"/>
      <c r="K56" s="2"/>
      <c r="L56" s="2">
        <f t="shared" si="0"/>
        <v>921.16999999999985</v>
      </c>
      <c r="M56" s="2"/>
      <c r="N56" s="19">
        <f t="shared" si="1"/>
        <v>2.6344734885317158</v>
      </c>
      <c r="O56" s="11"/>
      <c r="P56" s="2">
        <f>--78935.72</f>
        <v>78935.72</v>
      </c>
      <c r="Q56" s="2"/>
      <c r="R56" s="19"/>
      <c r="S56" s="2"/>
      <c r="T56" s="2">
        <f>--92680.75</f>
        <v>92680.75</v>
      </c>
      <c r="U56" s="2"/>
      <c r="V56" s="19"/>
      <c r="W56" s="2"/>
      <c r="X56" s="2">
        <f t="shared" si="2"/>
        <v>-13745.029999999999</v>
      </c>
      <c r="Y56" s="2"/>
      <c r="Z56" s="19">
        <f t="shared" si="3"/>
        <v>-0.14830512269268428</v>
      </c>
    </row>
    <row r="57" spans="1:26" s="24" customFormat="1" hidden="1" outlineLevel="1" x14ac:dyDescent="0.25">
      <c r="A57" s="44"/>
      <c r="B57" s="11" t="str">
        <f>CONCATENATE("          ", "4102", " - ", "NON-TAXABLE SALES-USED TEXT")</f>
        <v xml:space="preserve">          4102 - NON-TAXABLE SALES-USED TEXT</v>
      </c>
      <c r="C57" s="11"/>
      <c r="D57" s="2">
        <f>--320.72</f>
        <v>320.72000000000003</v>
      </c>
      <c r="E57" s="2"/>
      <c r="F57" s="19"/>
      <c r="G57" s="2"/>
      <c r="H57" s="2">
        <f>--584.52</f>
        <v>584.52</v>
      </c>
      <c r="I57" s="2"/>
      <c r="J57" s="19"/>
      <c r="K57" s="2"/>
      <c r="L57" s="2">
        <f t="shared" si="0"/>
        <v>-263.79999999999995</v>
      </c>
      <c r="M57" s="2"/>
      <c r="N57" s="19">
        <f t="shared" si="1"/>
        <v>-0.45131047697255861</v>
      </c>
      <c r="O57" s="11"/>
      <c r="P57" s="2">
        <f>--33033.19</f>
        <v>33033.19</v>
      </c>
      <c r="Q57" s="2"/>
      <c r="R57" s="19"/>
      <c r="S57" s="2"/>
      <c r="T57" s="2">
        <f>--37606.84</f>
        <v>37606.839999999997</v>
      </c>
      <c r="U57" s="2"/>
      <c r="V57" s="19"/>
      <c r="W57" s="2"/>
      <c r="X57" s="2">
        <f t="shared" si="2"/>
        <v>-4573.6499999999942</v>
      </c>
      <c r="Y57" s="2"/>
      <c r="Z57" s="19">
        <f t="shared" si="3"/>
        <v>-0.12161750362434054</v>
      </c>
    </row>
    <row r="58" spans="1:26" s="24" customFormat="1" hidden="1" outlineLevel="1" x14ac:dyDescent="0.25">
      <c r="A58" s="44"/>
      <c r="B58" s="11" t="str">
        <f>CONCATENATE("          ", "4103", " - ", "NON-TAXABLE SALES-RENTAL TEXT")</f>
        <v xml:space="preserve">          4103 - NON-TAXABLE SALES-RENTAL TEXT</v>
      </c>
      <c r="C58" s="11"/>
      <c r="D58" s="2">
        <f>0</f>
        <v>0</v>
      </c>
      <c r="E58" s="2"/>
      <c r="F58" s="19"/>
      <c r="G58" s="2"/>
      <c r="H58" s="2">
        <f>0</f>
        <v>0</v>
      </c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--284.97</f>
        <v>284.97000000000003</v>
      </c>
      <c r="Q58" s="2"/>
      <c r="R58" s="19"/>
      <c r="S58" s="2"/>
      <c r="T58" s="2">
        <f>--329.98</f>
        <v>329.98</v>
      </c>
      <c r="U58" s="2"/>
      <c r="V58" s="19"/>
      <c r="W58" s="2"/>
      <c r="X58" s="2">
        <f t="shared" si="2"/>
        <v>-45.009999999999991</v>
      </c>
      <c r="Y58" s="2"/>
      <c r="Z58" s="19">
        <f t="shared" si="3"/>
        <v>-0.13640220619431478</v>
      </c>
    </row>
    <row r="59" spans="1:26" s="24" customFormat="1" hidden="1" outlineLevel="1" x14ac:dyDescent="0.25">
      <c r="A59" s="44"/>
      <c r="B59" s="11" t="str">
        <f>CONCATENATE("          ", "4104", " - ", "NON-TAXABLE SALES-DIGITAL TEXT")</f>
        <v xml:space="preserve">          4104 - NON-TAXABLE SALES-DIGITAL TEXT</v>
      </c>
      <c r="C59" s="11"/>
      <c r="D59" s="2">
        <f>--1414.19</f>
        <v>1414.19</v>
      </c>
      <c r="E59" s="2"/>
      <c r="F59" s="19"/>
      <c r="G59" s="2"/>
      <c r="H59" s="2">
        <f>--206.24</f>
        <v>206.24</v>
      </c>
      <c r="I59" s="2"/>
      <c r="J59" s="19"/>
      <c r="K59" s="2"/>
      <c r="L59" s="2">
        <f t="shared" si="0"/>
        <v>1207.95</v>
      </c>
      <c r="M59" s="2"/>
      <c r="N59" s="19">
        <f t="shared" si="1"/>
        <v>5.8570112490302559</v>
      </c>
      <c r="O59" s="11"/>
      <c r="P59" s="2">
        <f>--294889.71</f>
        <v>294889.71000000002</v>
      </c>
      <c r="Q59" s="2"/>
      <c r="R59" s="19"/>
      <c r="S59" s="2"/>
      <c r="T59" s="2">
        <f>--320699.09</f>
        <v>320699.09000000003</v>
      </c>
      <c r="U59" s="2"/>
      <c r="V59" s="19"/>
      <c r="W59" s="2"/>
      <c r="X59" s="2">
        <f t="shared" si="2"/>
        <v>-25809.380000000005</v>
      </c>
      <c r="Y59" s="2"/>
      <c r="Z59" s="19">
        <f t="shared" si="3"/>
        <v>-8.0478494653664287E-2</v>
      </c>
    </row>
    <row r="60" spans="1:26" s="24" customFormat="1" hidden="1" outlineLevel="1" x14ac:dyDescent="0.25">
      <c r="A60" s="44"/>
      <c r="B60" s="11" t="str">
        <f>CONCATENATE("          ", "4111", " - ", "NON-TAXABLE SALES-NO VALUE TEX")</f>
        <v xml:space="preserve">          4111 - NON-TAXABLE SALES-NO VALUE TEX</v>
      </c>
      <c r="C60" s="11"/>
      <c r="D60" s="2">
        <f>0</f>
        <v>0</v>
      </c>
      <c r="E60" s="2"/>
      <c r="F60" s="19"/>
      <c r="G60" s="2"/>
      <c r="H60" s="2">
        <f>--492.72</f>
        <v>492.72</v>
      </c>
      <c r="I60" s="2"/>
      <c r="J60" s="19"/>
      <c r="K60" s="2"/>
      <c r="L60" s="2">
        <f t="shared" si="0"/>
        <v>-492.72</v>
      </c>
      <c r="M60" s="2"/>
      <c r="N60" s="19">
        <f t="shared" si="1"/>
        <v>-1</v>
      </c>
      <c r="O60" s="11"/>
      <c r="P60" s="2">
        <f>0</f>
        <v>0</v>
      </c>
      <c r="Q60" s="2"/>
      <c r="R60" s="19"/>
      <c r="S60" s="2"/>
      <c r="T60" s="2">
        <f>--7592.19</f>
        <v>7592.19</v>
      </c>
      <c r="U60" s="2"/>
      <c r="V60" s="19"/>
      <c r="W60" s="2"/>
      <c r="X60" s="2">
        <f t="shared" si="2"/>
        <v>-7592.19</v>
      </c>
      <c r="Y60" s="2"/>
      <c r="Z60" s="19">
        <f t="shared" si="3"/>
        <v>-1</v>
      </c>
    </row>
    <row r="61" spans="1:26" s="24" customFormat="1" hidden="1" outlineLevel="1" x14ac:dyDescent="0.25">
      <c r="A61" s="44"/>
      <c r="B61" s="11" t="str">
        <f>CONCATENATE("          ", "4113", " - ", "NON-TAXABLE SALES-TRADE BOOKS")</f>
        <v xml:space="preserve">          4113 - NON-TAXABLE SALES-TRADE BOOKS</v>
      </c>
      <c r="C61" s="11"/>
      <c r="D61" s="2">
        <f>--630</f>
        <v>630</v>
      </c>
      <c r="E61" s="2"/>
      <c r="F61" s="19"/>
      <c r="G61" s="2"/>
      <c r="H61" s="2">
        <f>0</f>
        <v>0</v>
      </c>
      <c r="I61" s="2"/>
      <c r="J61" s="19"/>
      <c r="K61" s="2"/>
      <c r="L61" s="2">
        <f t="shared" si="0"/>
        <v>630</v>
      </c>
      <c r="M61" s="2"/>
      <c r="N61" s="19">
        <f t="shared" si="1"/>
        <v>0</v>
      </c>
      <c r="O61" s="11"/>
      <c r="P61" s="2">
        <f>--2285.95</f>
        <v>2285.9499999999998</v>
      </c>
      <c r="Q61" s="2"/>
      <c r="R61" s="19"/>
      <c r="S61" s="2"/>
      <c r="T61" s="2">
        <f>--1146.72</f>
        <v>1146.72</v>
      </c>
      <c r="U61" s="2"/>
      <c r="V61" s="19"/>
      <c r="W61" s="2"/>
      <c r="X61" s="2">
        <f t="shared" si="2"/>
        <v>1139.2299999999998</v>
      </c>
      <c r="Y61" s="2"/>
      <c r="Z61" s="19">
        <f t="shared" si="3"/>
        <v>0.99346832705455534</v>
      </c>
    </row>
    <row r="62" spans="1:26" s="24" customFormat="1" hidden="1" outlineLevel="1" x14ac:dyDescent="0.25">
      <c r="A62" s="44"/>
      <c r="B62" s="11" t="str">
        <f>CONCATENATE("          ", "4118", " - ", "NON-TAXABLE SALES-STUDY GUIDES")</f>
        <v xml:space="preserve">          4118 - NON-TAXABLE SALES-STUDY GUIDES</v>
      </c>
      <c r="C62" s="11"/>
      <c r="D62" s="2">
        <f>--27.8</f>
        <v>27.8</v>
      </c>
      <c r="E62" s="2"/>
      <c r="F62" s="19"/>
      <c r="G62" s="2"/>
      <c r="H62" s="2">
        <f>--14.04</f>
        <v>14.04</v>
      </c>
      <c r="I62" s="2"/>
      <c r="J62" s="19"/>
      <c r="K62" s="2"/>
      <c r="L62" s="2">
        <f t="shared" si="0"/>
        <v>13.760000000000002</v>
      </c>
      <c r="M62" s="2"/>
      <c r="N62" s="19">
        <f t="shared" si="1"/>
        <v>0.98005698005698028</v>
      </c>
      <c r="O62" s="11"/>
      <c r="P62" s="2">
        <f>--233.43</f>
        <v>233.43</v>
      </c>
      <c r="Q62" s="2"/>
      <c r="R62" s="19"/>
      <c r="S62" s="2"/>
      <c r="T62" s="2">
        <f>--34.96</f>
        <v>34.96</v>
      </c>
      <c r="U62" s="2"/>
      <c r="V62" s="19"/>
      <c r="W62" s="2"/>
      <c r="X62" s="2">
        <f t="shared" si="2"/>
        <v>198.47</v>
      </c>
      <c r="Y62" s="2"/>
      <c r="Z62" s="19">
        <f t="shared" si="3"/>
        <v>5.6770594965675052</v>
      </c>
    </row>
    <row r="63" spans="1:26" s="24" customFormat="1" hidden="1" outlineLevel="1" x14ac:dyDescent="0.25">
      <c r="A63" s="44"/>
      <c r="B63" s="11" t="str">
        <f>CONCATENATE("          ", "4125", " - ", "NON-TAXABLE SALES-TEST FORMS")</f>
        <v xml:space="preserve">          4125 - NON-TAXABLE SALES-TEST FORMS</v>
      </c>
      <c r="C63" s="11"/>
      <c r="D63" s="2">
        <f t="shared" ref="D63:D64" si="13">0</f>
        <v>0</v>
      </c>
      <c r="E63" s="2"/>
      <c r="F63" s="19"/>
      <c r="G63" s="2"/>
      <c r="H63" s="2">
        <f>0</f>
        <v>0</v>
      </c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0</f>
        <v>0</v>
      </c>
      <c r="Q63" s="2"/>
      <c r="R63" s="19"/>
      <c r="S63" s="2"/>
      <c r="T63" s="2">
        <f>--124.18</f>
        <v>124.18</v>
      </c>
      <c r="U63" s="2"/>
      <c r="V63" s="19"/>
      <c r="W63" s="2"/>
      <c r="X63" s="2">
        <f t="shared" si="2"/>
        <v>-124.18</v>
      </c>
      <c r="Y63" s="2"/>
      <c r="Z63" s="19">
        <f t="shared" si="3"/>
        <v>-1</v>
      </c>
    </row>
    <row r="64" spans="1:26" s="24" customFormat="1" hidden="1" outlineLevel="1" x14ac:dyDescent="0.25">
      <c r="A64" s="44"/>
      <c r="B64" s="11" t="str">
        <f>CONCATENATE("          ", "4126", " - ", "NON-TAXABLE SALES-WRITING INST")</f>
        <v xml:space="preserve">          4126 - NON-TAXABLE SALES-WRITING INST</v>
      </c>
      <c r="C64" s="11"/>
      <c r="D64" s="2">
        <f t="shared" si="13"/>
        <v>0</v>
      </c>
      <c r="E64" s="2"/>
      <c r="F64" s="19"/>
      <c r="G64" s="2"/>
      <c r="H64" s="2">
        <f>--11.85</f>
        <v>11.85</v>
      </c>
      <c r="I64" s="2"/>
      <c r="J64" s="19"/>
      <c r="K64" s="2"/>
      <c r="L64" s="2">
        <f t="shared" si="0"/>
        <v>-11.85</v>
      </c>
      <c r="M64" s="2"/>
      <c r="N64" s="19">
        <f t="shared" si="1"/>
        <v>-1</v>
      </c>
      <c r="O64" s="11"/>
      <c r="P64" s="2">
        <f>--52.68</f>
        <v>52.68</v>
      </c>
      <c r="Q64" s="2"/>
      <c r="R64" s="19"/>
      <c r="S64" s="2"/>
      <c r="T64" s="2">
        <f>--1470.38</f>
        <v>1470.38</v>
      </c>
      <c r="U64" s="2"/>
      <c r="V64" s="19"/>
      <c r="W64" s="2"/>
      <c r="X64" s="2">
        <f t="shared" si="2"/>
        <v>-1417.7</v>
      </c>
      <c r="Y64" s="2"/>
      <c r="Z64" s="19">
        <f t="shared" si="3"/>
        <v>-0.96417252682979904</v>
      </c>
    </row>
    <row r="65" spans="1:26" s="24" customFormat="1" hidden="1" outlineLevel="1" x14ac:dyDescent="0.25">
      <c r="A65" s="44"/>
      <c r="B65" s="11" t="str">
        <f>CONCATENATE("          ", "4127", " - ", "NON-TAXABLE SALES-SCHOOL SUPPL")</f>
        <v xml:space="preserve">          4127 - NON-TAXABLE SALES-SCHOOL SUPPL</v>
      </c>
      <c r="C65" s="11"/>
      <c r="D65" s="2">
        <f>--114.89</f>
        <v>114.89</v>
      </c>
      <c r="E65" s="2"/>
      <c r="F65" s="19"/>
      <c r="G65" s="2"/>
      <c r="H65" s="2">
        <f>--6.28</f>
        <v>6.28</v>
      </c>
      <c r="I65" s="2"/>
      <c r="J65" s="19"/>
      <c r="K65" s="2"/>
      <c r="L65" s="2">
        <f t="shared" si="0"/>
        <v>108.61</v>
      </c>
      <c r="M65" s="2"/>
      <c r="N65" s="19">
        <f t="shared" si="1"/>
        <v>17.294585987261147</v>
      </c>
      <c r="O65" s="11"/>
      <c r="P65" s="2">
        <f>--2946.58</f>
        <v>2946.58</v>
      </c>
      <c r="Q65" s="2"/>
      <c r="R65" s="19"/>
      <c r="S65" s="2"/>
      <c r="T65" s="2">
        <f>--2603.4</f>
        <v>2603.4</v>
      </c>
      <c r="U65" s="2"/>
      <c r="V65" s="19"/>
      <c r="W65" s="2"/>
      <c r="X65" s="2">
        <f t="shared" si="2"/>
        <v>343.17999999999984</v>
      </c>
      <c r="Y65" s="2"/>
      <c r="Z65" s="19">
        <f t="shared" si="3"/>
        <v>0.13181992778674034</v>
      </c>
    </row>
    <row r="66" spans="1:26" s="24" customFormat="1" hidden="1" outlineLevel="1" x14ac:dyDescent="0.25">
      <c r="A66" s="44"/>
      <c r="B66" s="11" t="str">
        <f>CONCATENATE("          ", "4128", " - ", "NON-TAXABLE SALES-ART/TECH")</f>
        <v xml:space="preserve">          4128 - NON-TAXABLE SALES-ART/TECH</v>
      </c>
      <c r="C66" s="11"/>
      <c r="D66" s="2">
        <f>--24.78</f>
        <v>24.78</v>
      </c>
      <c r="E66" s="2"/>
      <c r="F66" s="19"/>
      <c r="G66" s="2"/>
      <c r="H66" s="2">
        <f>0</f>
        <v>0</v>
      </c>
      <c r="I66" s="2"/>
      <c r="J66" s="19"/>
      <c r="K66" s="2"/>
      <c r="L66" s="2">
        <f t="shared" si="0"/>
        <v>24.78</v>
      </c>
      <c r="M66" s="2"/>
      <c r="N66" s="19">
        <f t="shared" si="1"/>
        <v>0</v>
      </c>
      <c r="O66" s="11"/>
      <c r="P66" s="2">
        <f>--24.78</f>
        <v>24.78</v>
      </c>
      <c r="Q66" s="2"/>
      <c r="R66" s="19"/>
      <c r="S66" s="2"/>
      <c r="T66" s="2">
        <f>--348.72</f>
        <v>348.72</v>
      </c>
      <c r="U66" s="2"/>
      <c r="V66" s="19"/>
      <c r="W66" s="2"/>
      <c r="X66" s="2">
        <f t="shared" si="2"/>
        <v>-323.94000000000005</v>
      </c>
      <c r="Y66" s="2"/>
      <c r="Z66" s="19">
        <f t="shared" si="3"/>
        <v>-0.92894012388162428</v>
      </c>
    </row>
    <row r="67" spans="1:26" s="24" customFormat="1" hidden="1" outlineLevel="1" x14ac:dyDescent="0.25">
      <c r="A67" s="44"/>
      <c r="B67" s="11" t="str">
        <f>CONCATENATE("          ", "4131", " - ", "NON-TAXABLE SALES-FOOD")</f>
        <v xml:space="preserve">          4131 - NON-TAXABLE SALES-FOOD</v>
      </c>
      <c r="C67" s="11"/>
      <c r="D67" s="2">
        <f>--983.89</f>
        <v>983.89</v>
      </c>
      <c r="E67" s="2"/>
      <c r="F67" s="19"/>
      <c r="G67" s="2"/>
      <c r="H67" s="2">
        <f>--8305.09</f>
        <v>8305.09</v>
      </c>
      <c r="I67" s="2"/>
      <c r="J67" s="19"/>
      <c r="K67" s="2"/>
      <c r="L67" s="2">
        <f t="shared" si="0"/>
        <v>-7321.2</v>
      </c>
      <c r="M67" s="2"/>
      <c r="N67" s="19">
        <f t="shared" si="1"/>
        <v>-0.88153168719423869</v>
      </c>
      <c r="O67" s="11"/>
      <c r="P67" s="2">
        <f>--6509.33</f>
        <v>6509.33</v>
      </c>
      <c r="Q67" s="2"/>
      <c r="R67" s="19"/>
      <c r="S67" s="2"/>
      <c r="T67" s="2">
        <f>--35027.51</f>
        <v>35027.51</v>
      </c>
      <c r="U67" s="2"/>
      <c r="V67" s="19"/>
      <c r="W67" s="2"/>
      <c r="X67" s="2">
        <f t="shared" si="2"/>
        <v>-28518.18</v>
      </c>
      <c r="Y67" s="2"/>
      <c r="Z67" s="19">
        <f t="shared" si="3"/>
        <v>-0.8141652090028666</v>
      </c>
    </row>
    <row r="68" spans="1:26" s="24" customFormat="1" hidden="1" outlineLevel="1" x14ac:dyDescent="0.25">
      <c r="A68" s="44"/>
      <c r="B68" s="11" t="str">
        <f>CONCATENATE("          ", "4132", " - ", "NON-TAXABLE SALES-JUICE")</f>
        <v xml:space="preserve">          4132 - NON-TAXABLE SALES-JUICE</v>
      </c>
      <c r="C68" s="11"/>
      <c r="D68" s="2">
        <f t="shared" ref="D68:D72" si="14">0</f>
        <v>0</v>
      </c>
      <c r="E68" s="2"/>
      <c r="F68" s="19"/>
      <c r="G68" s="2"/>
      <c r="H68" s="2">
        <f>--142472.34</f>
        <v>142472.34</v>
      </c>
      <c r="I68" s="2"/>
      <c r="J68" s="19"/>
      <c r="K68" s="2"/>
      <c r="L68" s="2">
        <f t="shared" si="0"/>
        <v>-142472.34</v>
      </c>
      <c r="M68" s="2"/>
      <c r="N68" s="19">
        <f t="shared" si="1"/>
        <v>-1</v>
      </c>
      <c r="O68" s="11"/>
      <c r="P68" s="2">
        <f>--2054.37</f>
        <v>2054.37</v>
      </c>
      <c r="Q68" s="2"/>
      <c r="R68" s="19"/>
      <c r="S68" s="2"/>
      <c r="T68" s="2">
        <f>--665344.79</f>
        <v>665344.79</v>
      </c>
      <c r="U68" s="2"/>
      <c r="V68" s="19"/>
      <c r="W68" s="2"/>
      <c r="X68" s="2">
        <f t="shared" si="2"/>
        <v>-663290.42000000004</v>
      </c>
      <c r="Y68" s="2"/>
      <c r="Z68" s="19">
        <f t="shared" si="3"/>
        <v>-0.99691232270714858</v>
      </c>
    </row>
    <row r="69" spans="1:26" s="24" customFormat="1" hidden="1" outlineLevel="1" x14ac:dyDescent="0.25">
      <c r="A69" s="44"/>
      <c r="B69" s="11" t="str">
        <f>CONCATENATE("          ", "4133", " - ", "NON-TAXABLE SALES-CANDY")</f>
        <v xml:space="preserve">          4133 - NON-TAXABLE SALES-CANDY</v>
      </c>
      <c r="C69" s="11"/>
      <c r="D69" s="2">
        <f t="shared" si="14"/>
        <v>0</v>
      </c>
      <c r="E69" s="2"/>
      <c r="F69" s="19"/>
      <c r="G69" s="2"/>
      <c r="H69" s="2">
        <f>--2349.7</f>
        <v>2349.6999999999998</v>
      </c>
      <c r="I69" s="2"/>
      <c r="J69" s="19"/>
      <c r="K69" s="2"/>
      <c r="L69" s="2">
        <f t="shared" si="0"/>
        <v>-2349.6999999999998</v>
      </c>
      <c r="M69" s="2"/>
      <c r="N69" s="19">
        <f t="shared" si="1"/>
        <v>-1</v>
      </c>
      <c r="O69" s="11"/>
      <c r="P69" s="2">
        <f>--80.71</f>
        <v>80.709999999999994</v>
      </c>
      <c r="Q69" s="2"/>
      <c r="R69" s="19"/>
      <c r="S69" s="2"/>
      <c r="T69" s="2">
        <f>--10816.56</f>
        <v>10816.56</v>
      </c>
      <c r="U69" s="2"/>
      <c r="V69" s="19"/>
      <c r="W69" s="2"/>
      <c r="X69" s="2">
        <f t="shared" si="2"/>
        <v>-10735.85</v>
      </c>
      <c r="Y69" s="2"/>
      <c r="Z69" s="19">
        <f t="shared" si="3"/>
        <v>-0.99253829313571051</v>
      </c>
    </row>
    <row r="70" spans="1:26" s="24" customFormat="1" hidden="1" outlineLevel="1" x14ac:dyDescent="0.25">
      <c r="A70" s="44"/>
      <c r="B70" s="11" t="str">
        <f>CONCATENATE("          ", "4134", " - ", "NON-TAXABLE SALES-SODA")</f>
        <v xml:space="preserve">          4134 - NON-TAXABLE SALES-SODA</v>
      </c>
      <c r="C70" s="11"/>
      <c r="D70" s="2">
        <f t="shared" si="14"/>
        <v>0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--45.53</f>
        <v>45.53</v>
      </c>
      <c r="Q70" s="2"/>
      <c r="R70" s="19"/>
      <c r="S70" s="2"/>
      <c r="T70" s="2">
        <f>--0.39</f>
        <v>0.39</v>
      </c>
      <c r="U70" s="2"/>
      <c r="V70" s="19"/>
      <c r="W70" s="2"/>
      <c r="X70" s="2">
        <f t="shared" si="2"/>
        <v>45.14</v>
      </c>
      <c r="Y70" s="2"/>
      <c r="Z70" s="19">
        <f t="shared" si="3"/>
        <v>115.74358974358974</v>
      </c>
    </row>
    <row r="71" spans="1:26" s="24" customFormat="1" hidden="1" outlineLevel="1" x14ac:dyDescent="0.25">
      <c r="A71" s="44"/>
      <c r="B71" s="11" t="str">
        <f>CONCATENATE("          ", "4135", " - ", "NON-TAXABLE SALES")</f>
        <v xml:space="preserve">          4135 - NON-TAXABLE SALES</v>
      </c>
      <c r="C71" s="11"/>
      <c r="D71" s="2">
        <f t="shared" si="14"/>
        <v>0</v>
      </c>
      <c r="E71" s="2"/>
      <c r="F71" s="19"/>
      <c r="G71" s="2"/>
      <c r="H71" s="2">
        <f>--10.77</f>
        <v>10.77</v>
      </c>
      <c r="I71" s="2"/>
      <c r="J71" s="19"/>
      <c r="K71" s="2"/>
      <c r="L71" s="2">
        <f t="shared" si="0"/>
        <v>-10.77</v>
      </c>
      <c r="M71" s="2"/>
      <c r="N71" s="19">
        <f t="shared" si="1"/>
        <v>-1</v>
      </c>
      <c r="O71" s="11"/>
      <c r="P71" s="2">
        <f>0</f>
        <v>0</v>
      </c>
      <c r="Q71" s="2"/>
      <c r="R71" s="19"/>
      <c r="S71" s="2"/>
      <c r="T71" s="2">
        <f>--114.73</f>
        <v>114.73</v>
      </c>
      <c r="U71" s="2"/>
      <c r="V71" s="19"/>
      <c r="W71" s="2"/>
      <c r="X71" s="2">
        <f t="shared" si="2"/>
        <v>-114.73</v>
      </c>
      <c r="Y71" s="2"/>
      <c r="Z71" s="19">
        <f t="shared" si="3"/>
        <v>-1</v>
      </c>
    </row>
    <row r="72" spans="1:26" s="24" customFormat="1" hidden="1" outlineLevel="1" x14ac:dyDescent="0.25">
      <c r="A72" s="44"/>
      <c r="B72" s="11" t="str">
        <f>CONCATENATE("          ", "4137", " - ", "NON-TAXABLE SALES-WATER")</f>
        <v xml:space="preserve">          4137 - NON-TAXABLE SALES-WATER</v>
      </c>
      <c r="C72" s="11"/>
      <c r="D72" s="2">
        <f t="shared" si="14"/>
        <v>0</v>
      </c>
      <c r="E72" s="2"/>
      <c r="F72" s="19"/>
      <c r="G72" s="2"/>
      <c r="H72" s="2">
        <f>--1199.73</f>
        <v>1199.73</v>
      </c>
      <c r="I72" s="2"/>
      <c r="J72" s="19"/>
      <c r="K72" s="2"/>
      <c r="L72" s="2">
        <f t="shared" si="0"/>
        <v>-1199.73</v>
      </c>
      <c r="M72" s="2"/>
      <c r="N72" s="19">
        <f t="shared" si="1"/>
        <v>-1</v>
      </c>
      <c r="O72" s="11"/>
      <c r="P72" s="2">
        <f>--68.25</f>
        <v>68.25</v>
      </c>
      <c r="Q72" s="2"/>
      <c r="R72" s="19"/>
      <c r="S72" s="2"/>
      <c r="T72" s="2">
        <f>--6313.88</f>
        <v>6313.88</v>
      </c>
      <c r="U72" s="2"/>
      <c r="V72" s="19"/>
      <c r="W72" s="2"/>
      <c r="X72" s="2">
        <f t="shared" si="2"/>
        <v>-6245.63</v>
      </c>
      <c r="Y72" s="2"/>
      <c r="Z72" s="19">
        <f t="shared" si="3"/>
        <v>-0.98919048192236791</v>
      </c>
    </row>
    <row r="73" spans="1:26" s="24" customFormat="1" hidden="1" outlineLevel="1" x14ac:dyDescent="0.25">
      <c r="A73" s="44"/>
      <c r="B73" s="11" t="str">
        <f>CONCATENATE("          ", "4140", " - ", "NON-TAXABLE SALES-LOGO CLOTHIN")</f>
        <v xml:space="preserve">          4140 - NON-TAXABLE SALES-LOGO CLOTHIN</v>
      </c>
      <c r="C73" s="11"/>
      <c r="D73" s="2">
        <f>--19704.79</f>
        <v>19704.79</v>
      </c>
      <c r="E73" s="2"/>
      <c r="F73" s="19"/>
      <c r="G73" s="2"/>
      <c r="H73" s="2">
        <f>--7373.27</f>
        <v>7373.27</v>
      </c>
      <c r="I73" s="2"/>
      <c r="J73" s="19"/>
      <c r="K73" s="2"/>
      <c r="L73" s="2">
        <f t="shared" si="0"/>
        <v>12331.52</v>
      </c>
      <c r="M73" s="2"/>
      <c r="N73" s="19">
        <f t="shared" si="1"/>
        <v>1.6724628285685998</v>
      </c>
      <c r="O73" s="11"/>
      <c r="P73" s="2">
        <f>--50320.27</f>
        <v>50320.27</v>
      </c>
      <c r="Q73" s="2"/>
      <c r="R73" s="19"/>
      <c r="S73" s="2"/>
      <c r="T73" s="2">
        <f>--20008.79</f>
        <v>20008.79</v>
      </c>
      <c r="U73" s="2"/>
      <c r="V73" s="19"/>
      <c r="W73" s="2"/>
      <c r="X73" s="2">
        <f t="shared" si="2"/>
        <v>30311.479999999996</v>
      </c>
      <c r="Y73" s="2"/>
      <c r="Z73" s="19">
        <f t="shared" si="3"/>
        <v>1.514908197847046</v>
      </c>
    </row>
    <row r="74" spans="1:26" s="24" customFormat="1" hidden="1" outlineLevel="1" x14ac:dyDescent="0.25">
      <c r="A74" s="44"/>
      <c r="B74" s="11" t="str">
        <f>CONCATENATE("          ", "4141", " - ", "NON-TAXABLE SALES-LOGO GIFTS")</f>
        <v xml:space="preserve">          4141 - NON-TAXABLE SALES-LOGO GIFTS</v>
      </c>
      <c r="C74" s="11"/>
      <c r="D74" s="2">
        <f>--806.32</f>
        <v>806.32</v>
      </c>
      <c r="E74" s="2"/>
      <c r="F74" s="19"/>
      <c r="G74" s="2"/>
      <c r="H74" s="2">
        <f>--434.35</f>
        <v>434.35</v>
      </c>
      <c r="I74" s="2"/>
      <c r="J74" s="19"/>
      <c r="K74" s="2"/>
      <c r="L74" s="2">
        <f t="shared" si="0"/>
        <v>371.97</v>
      </c>
      <c r="M74" s="2"/>
      <c r="N74" s="19">
        <f t="shared" si="1"/>
        <v>0.85638310118567973</v>
      </c>
      <c r="O74" s="11"/>
      <c r="P74" s="2">
        <f>--4189.02</f>
        <v>4189.0200000000004</v>
      </c>
      <c r="Q74" s="2"/>
      <c r="R74" s="19"/>
      <c r="S74" s="2"/>
      <c r="T74" s="2">
        <f>--1830.28</f>
        <v>1830.28</v>
      </c>
      <c r="U74" s="2"/>
      <c r="V74" s="19"/>
      <c r="W74" s="2"/>
      <c r="X74" s="2">
        <f t="shared" si="2"/>
        <v>2358.7400000000007</v>
      </c>
      <c r="Y74" s="2"/>
      <c r="Z74" s="19">
        <f t="shared" si="3"/>
        <v>1.2887317787442363</v>
      </c>
    </row>
    <row r="75" spans="1:26" s="24" customFormat="1" hidden="1" outlineLevel="1" x14ac:dyDescent="0.25">
      <c r="A75" s="44"/>
      <c r="B75" s="11" t="str">
        <f>CONCATENATE("          ", "4142", " - ", "NON-TAXABLE SALES-EVERYDAY GIF")</f>
        <v xml:space="preserve">          4142 - NON-TAXABLE SALES-EVERYDAY GIF</v>
      </c>
      <c r="C75" s="11"/>
      <c r="D75" s="2">
        <f>--887.78</f>
        <v>887.78</v>
      </c>
      <c r="E75" s="2"/>
      <c r="F75" s="19"/>
      <c r="G75" s="2"/>
      <c r="H75" s="2">
        <f>--2013.22</f>
        <v>2013.22</v>
      </c>
      <c r="I75" s="2"/>
      <c r="J75" s="19"/>
      <c r="K75" s="2"/>
      <c r="L75" s="2">
        <f t="shared" si="0"/>
        <v>-1125.44</v>
      </c>
      <c r="M75" s="2"/>
      <c r="N75" s="19">
        <f t="shared" si="1"/>
        <v>-0.55902484576946387</v>
      </c>
      <c r="O75" s="11"/>
      <c r="P75" s="2">
        <f>--2208.19</f>
        <v>2208.19</v>
      </c>
      <c r="Q75" s="2"/>
      <c r="R75" s="19"/>
      <c r="S75" s="2"/>
      <c r="T75" s="2">
        <f>--7932.83</f>
        <v>7932.83</v>
      </c>
      <c r="U75" s="2"/>
      <c r="V75" s="19"/>
      <c r="W75" s="2"/>
      <c r="X75" s="2">
        <f t="shared" si="2"/>
        <v>-5724.6399999999994</v>
      </c>
      <c r="Y75" s="2"/>
      <c r="Z75" s="19">
        <f t="shared" si="3"/>
        <v>-0.72163906197409999</v>
      </c>
    </row>
    <row r="76" spans="1:26" s="24" customFormat="1" hidden="1" outlineLevel="1" x14ac:dyDescent="0.25">
      <c r="A76" s="44"/>
      <c r="B76" s="11" t="str">
        <f>CONCATENATE("          ", "4143", " - ", "NON-TAXABLE SALES-CARDS")</f>
        <v xml:space="preserve">          4143 - NON-TAXABLE SALES-CARDS</v>
      </c>
      <c r="C76" s="11"/>
      <c r="D76" s="2">
        <f>--9.99</f>
        <v>9.99</v>
      </c>
      <c r="E76" s="2"/>
      <c r="F76" s="19"/>
      <c r="G76" s="2"/>
      <c r="H76" s="2">
        <f>0</f>
        <v>0</v>
      </c>
      <c r="I76" s="2"/>
      <c r="J76" s="19"/>
      <c r="K76" s="2"/>
      <c r="L76" s="2">
        <f t="shared" si="0"/>
        <v>9.99</v>
      </c>
      <c r="M76" s="2"/>
      <c r="N76" s="19">
        <f t="shared" si="1"/>
        <v>0</v>
      </c>
      <c r="O76" s="11"/>
      <c r="P76" s="2">
        <f>--39.96</f>
        <v>39.96</v>
      </c>
      <c r="Q76" s="2"/>
      <c r="R76" s="19"/>
      <c r="S76" s="2"/>
      <c r="T76" s="2">
        <f>0</f>
        <v>0</v>
      </c>
      <c r="U76" s="2"/>
      <c r="V76" s="19"/>
      <c r="W76" s="2"/>
      <c r="X76" s="2">
        <f t="shared" si="2"/>
        <v>39.96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"4144", " - ", "NON-TAXABLE SALES-ACCESSORIES")</f>
        <v xml:space="preserve">          4144 - NON-TAXABLE SALES-ACCESSORIES</v>
      </c>
      <c r="C77" s="11"/>
      <c r="D77" s="2">
        <f>--19.95</f>
        <v>19.95</v>
      </c>
      <c r="E77" s="2"/>
      <c r="F77" s="19"/>
      <c r="G77" s="2"/>
      <c r="H77" s="2">
        <f>--29.95</f>
        <v>29.95</v>
      </c>
      <c r="I77" s="2"/>
      <c r="J77" s="19"/>
      <c r="K77" s="2"/>
      <c r="L77" s="2">
        <f t="shared" si="0"/>
        <v>-10</v>
      </c>
      <c r="M77" s="2"/>
      <c r="N77" s="19">
        <f t="shared" si="1"/>
        <v>-0.333889816360601</v>
      </c>
      <c r="O77" s="11"/>
      <c r="P77" s="2">
        <f>--389.7</f>
        <v>389.7</v>
      </c>
      <c r="Q77" s="2"/>
      <c r="R77" s="19"/>
      <c r="S77" s="2"/>
      <c r="T77" s="2">
        <f>--241.56</f>
        <v>241.56</v>
      </c>
      <c r="U77" s="2"/>
      <c r="V77" s="19"/>
      <c r="W77" s="2"/>
      <c r="X77" s="2">
        <f t="shared" si="2"/>
        <v>148.13999999999999</v>
      </c>
      <c r="Y77" s="2"/>
      <c r="Z77" s="19">
        <f t="shared" si="3"/>
        <v>0.61326378539493287</v>
      </c>
    </row>
    <row r="78" spans="1:26" s="24" customFormat="1" hidden="1" outlineLevel="1" x14ac:dyDescent="0.25">
      <c r="A78" s="44"/>
      <c r="B78" s="11" t="str">
        <f>CONCATENATE("          ", "4145", " - ", "NON-TAXABLE SALES-SPECIAL ORDE")</f>
        <v xml:space="preserve">          4145 - NON-TAXABLE SALES-SPECIAL ORDE</v>
      </c>
      <c r="C78" s="11"/>
      <c r="D78" s="2">
        <f>--2800</f>
        <v>2800</v>
      </c>
      <c r="E78" s="2"/>
      <c r="F78" s="19"/>
      <c r="G78" s="2"/>
      <c r="H78" s="2">
        <f>--50</f>
        <v>50</v>
      </c>
      <c r="I78" s="2"/>
      <c r="J78" s="19"/>
      <c r="K78" s="2"/>
      <c r="L78" s="2">
        <f t="shared" si="0"/>
        <v>2750</v>
      </c>
      <c r="M78" s="2"/>
      <c r="N78" s="19">
        <f t="shared" si="1"/>
        <v>55</v>
      </c>
      <c r="O78" s="11"/>
      <c r="P78" s="2">
        <f>--38646</f>
        <v>38646</v>
      </c>
      <c r="Q78" s="2"/>
      <c r="R78" s="19"/>
      <c r="S78" s="2"/>
      <c r="T78" s="2">
        <f>--140</f>
        <v>140</v>
      </c>
      <c r="U78" s="2"/>
      <c r="V78" s="19"/>
      <c r="W78" s="2"/>
      <c r="X78" s="2">
        <f t="shared" si="2"/>
        <v>38506</v>
      </c>
      <c r="Y78" s="2"/>
      <c r="Z78" s="19">
        <f t="shared" si="3"/>
        <v>275.04285714285714</v>
      </c>
    </row>
    <row r="79" spans="1:26" s="24" customFormat="1" hidden="1" outlineLevel="1" x14ac:dyDescent="0.25">
      <c r="A79" s="44"/>
      <c r="B79" s="11" t="str">
        <f>CONCATENATE("          ", "4146", " - ", "NON-TAXABLE SALES-COIN OP MACH")</f>
        <v xml:space="preserve">          4146 - NON-TAXABLE SALES-COIN OP MACH</v>
      </c>
      <c r="C79" s="11"/>
      <c r="D79" s="2">
        <f>--21.5</f>
        <v>21.5</v>
      </c>
      <c r="E79" s="2"/>
      <c r="F79" s="19"/>
      <c r="G79" s="2"/>
      <c r="H79" s="2">
        <f>--28930.75</f>
        <v>28930.75</v>
      </c>
      <c r="I79" s="2"/>
      <c r="J79" s="19"/>
      <c r="K79" s="2"/>
      <c r="L79" s="2">
        <f t="shared" si="0"/>
        <v>-28909.25</v>
      </c>
      <c r="M79" s="2"/>
      <c r="N79" s="19">
        <f t="shared" si="1"/>
        <v>-0.9992568460893686</v>
      </c>
      <c r="O79" s="11"/>
      <c r="P79" s="2">
        <f>--108</f>
        <v>108</v>
      </c>
      <c r="Q79" s="2"/>
      <c r="R79" s="19"/>
      <c r="S79" s="2"/>
      <c r="T79" s="2">
        <f>--119341.05</f>
        <v>119341.05</v>
      </c>
      <c r="U79" s="2"/>
      <c r="V79" s="19"/>
      <c r="W79" s="2"/>
      <c r="X79" s="2">
        <f t="shared" si="2"/>
        <v>-119233.05</v>
      </c>
      <c r="Y79" s="2"/>
      <c r="Z79" s="19">
        <f t="shared" si="3"/>
        <v>-0.99909503058670923</v>
      </c>
    </row>
    <row r="80" spans="1:26" s="24" customFormat="1" hidden="1" outlineLevel="1" x14ac:dyDescent="0.25">
      <c r="A80" s="44"/>
      <c r="B80" s="11" t="str">
        <f>CONCATENATE("          ", "4147", " - ", "NON-TAXABLE SALES-MISC")</f>
        <v xml:space="preserve">          4147 - NON-TAXABLE SALES-MISC</v>
      </c>
      <c r="C80" s="11"/>
      <c r="D80" s="2">
        <f>--5</f>
        <v>5</v>
      </c>
      <c r="E80" s="2"/>
      <c r="F80" s="19"/>
      <c r="G80" s="2"/>
      <c r="H80" s="2">
        <f>--75</f>
        <v>75</v>
      </c>
      <c r="I80" s="2"/>
      <c r="J80" s="19"/>
      <c r="K80" s="2"/>
      <c r="L80" s="2">
        <f t="shared" si="0"/>
        <v>-70</v>
      </c>
      <c r="M80" s="2"/>
      <c r="N80" s="19">
        <f t="shared" si="1"/>
        <v>-0.93333333333333335</v>
      </c>
      <c r="O80" s="11"/>
      <c r="P80" s="2">
        <f>--91.5</f>
        <v>91.5</v>
      </c>
      <c r="Q80" s="2"/>
      <c r="R80" s="19"/>
      <c r="S80" s="2"/>
      <c r="T80" s="2">
        <f>--249.9</f>
        <v>249.9</v>
      </c>
      <c r="U80" s="2"/>
      <c r="V80" s="19"/>
      <c r="W80" s="2"/>
      <c r="X80" s="2">
        <f t="shared" si="2"/>
        <v>-158.4</v>
      </c>
      <c r="Y80" s="2"/>
      <c r="Z80" s="19">
        <f t="shared" si="3"/>
        <v>-0.63385354141656669</v>
      </c>
    </row>
    <row r="81" spans="1:26" s="24" customFormat="1" hidden="1" outlineLevel="1" x14ac:dyDescent="0.25">
      <c r="A81" s="44"/>
      <c r="B81" s="11" t="str">
        <f>CONCATENATE("          ", "4151", " - ", "NON-TAXABLE SALES-FOOD")</f>
        <v xml:space="preserve">          4151 - NON-TAXABLE SALES-FOOD</v>
      </c>
      <c r="C81" s="11"/>
      <c r="D81" s="2">
        <f>--101465.72</f>
        <v>101465.72</v>
      </c>
      <c r="E81" s="2"/>
      <c r="F81" s="19"/>
      <c r="G81" s="2"/>
      <c r="H81" s="2">
        <f>--1405129.68</f>
        <v>1405129.68</v>
      </c>
      <c r="I81" s="2"/>
      <c r="J81" s="19"/>
      <c r="K81" s="2"/>
      <c r="L81" s="2">
        <f t="shared" si="0"/>
        <v>-1303663.96</v>
      </c>
      <c r="M81" s="2"/>
      <c r="N81" s="19">
        <f t="shared" si="1"/>
        <v>-0.92778907068563243</v>
      </c>
      <c r="O81" s="11"/>
      <c r="P81" s="2">
        <f>--542894.76</f>
        <v>542894.76</v>
      </c>
      <c r="Q81" s="2"/>
      <c r="R81" s="19"/>
      <c r="S81" s="2"/>
      <c r="T81" s="2">
        <f>--6379082.52</f>
        <v>6379082.5199999996</v>
      </c>
      <c r="U81" s="2"/>
      <c r="V81" s="19"/>
      <c r="W81" s="2"/>
      <c r="X81" s="2">
        <f t="shared" si="2"/>
        <v>-5836187.7599999998</v>
      </c>
      <c r="Y81" s="2"/>
      <c r="Z81" s="19">
        <f t="shared" si="3"/>
        <v>-0.91489453878392535</v>
      </c>
    </row>
    <row r="82" spans="1:26" s="24" customFormat="1" hidden="1" outlineLevel="1" x14ac:dyDescent="0.25">
      <c r="A82" s="44"/>
      <c r="B82" s="11" t="str">
        <f>CONCATENATE("          ", "4152", " - ", "NON-TAXABLE SALES-FOOD")</f>
        <v xml:space="preserve">          4152 - NON-TAXABLE SALES-FOOD</v>
      </c>
      <c r="C82" s="11"/>
      <c r="D82" s="2">
        <f>0</f>
        <v>0</v>
      </c>
      <c r="E82" s="2"/>
      <c r="F82" s="19"/>
      <c r="G82" s="2"/>
      <c r="H82" s="2">
        <f>--5402.66</f>
        <v>5402.66</v>
      </c>
      <c r="I82" s="2"/>
      <c r="J82" s="19"/>
      <c r="K82" s="2"/>
      <c r="L82" s="2">
        <f t="shared" si="0"/>
        <v>-5402.66</v>
      </c>
      <c r="M82" s="2"/>
      <c r="N82" s="19">
        <f t="shared" si="1"/>
        <v>-1</v>
      </c>
      <c r="O82" s="11"/>
      <c r="P82" s="2">
        <f>0</f>
        <v>0</v>
      </c>
      <c r="Q82" s="2"/>
      <c r="R82" s="19"/>
      <c r="S82" s="2"/>
      <c r="T82" s="2">
        <f>--30341.45</f>
        <v>30341.45</v>
      </c>
      <c r="U82" s="2"/>
      <c r="V82" s="19"/>
      <c r="W82" s="2"/>
      <c r="X82" s="2">
        <f t="shared" si="2"/>
        <v>-30341.45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"4153", " - ", "NON-TAXABLE SALES-FOOD")</f>
        <v xml:space="preserve">          4153 - NON-TAXABLE SALES-FOOD</v>
      </c>
      <c r="C83" s="11"/>
      <c r="D83" s="2">
        <f>--10357.28</f>
        <v>10357.280000000001</v>
      </c>
      <c r="E83" s="2"/>
      <c r="F83" s="19"/>
      <c r="G83" s="2"/>
      <c r="H83" s="2">
        <f>--23754.6</f>
        <v>23754.6</v>
      </c>
      <c r="I83" s="2"/>
      <c r="J83" s="19"/>
      <c r="K83" s="2"/>
      <c r="L83" s="2">
        <f t="shared" si="0"/>
        <v>-13397.319999999998</v>
      </c>
      <c r="M83" s="2"/>
      <c r="N83" s="19">
        <f t="shared" si="1"/>
        <v>-0.56398844855312225</v>
      </c>
      <c r="O83" s="11"/>
      <c r="P83" s="2">
        <f>--26233.86</f>
        <v>26233.86</v>
      </c>
      <c r="Q83" s="2"/>
      <c r="R83" s="19"/>
      <c r="S83" s="2"/>
      <c r="T83" s="2">
        <f>--218823.16</f>
        <v>218823.16</v>
      </c>
      <c r="U83" s="2"/>
      <c r="V83" s="19"/>
      <c r="W83" s="2"/>
      <c r="X83" s="2">
        <f t="shared" si="2"/>
        <v>-192589.3</v>
      </c>
      <c r="Y83" s="2"/>
      <c r="Z83" s="19">
        <f t="shared" si="3"/>
        <v>-0.88011387825676213</v>
      </c>
    </row>
    <row r="84" spans="1:26" s="24" customFormat="1" hidden="1" outlineLevel="1" x14ac:dyDescent="0.25">
      <c r="A84" s="44"/>
      <c r="B84" s="11" t="str">
        <f>CONCATENATE("          ", "4155", " - ", "NON-TAXABLE SALES-FOOD")</f>
        <v xml:space="preserve">          4155 - NON-TAXABLE SALES-FOOD</v>
      </c>
      <c r="C84" s="11"/>
      <c r="D84" s="2">
        <f t="shared" ref="D84:D85" si="15">0</f>
        <v>0</v>
      </c>
      <c r="E84" s="2"/>
      <c r="F84" s="19"/>
      <c r="G84" s="2"/>
      <c r="H84" s="2">
        <f>--90106.86</f>
        <v>90106.86</v>
      </c>
      <c r="I84" s="2"/>
      <c r="J84" s="19"/>
      <c r="K84" s="2"/>
      <c r="L84" s="2">
        <f t="shared" si="0"/>
        <v>-90106.86</v>
      </c>
      <c r="M84" s="2"/>
      <c r="N84" s="19">
        <f t="shared" si="1"/>
        <v>-1</v>
      </c>
      <c r="O84" s="11"/>
      <c r="P84" s="2">
        <f t="shared" ref="P84:P85" si="16">0</f>
        <v>0</v>
      </c>
      <c r="Q84" s="2"/>
      <c r="R84" s="19"/>
      <c r="S84" s="2"/>
      <c r="T84" s="2">
        <f>--424497</f>
        <v>424497</v>
      </c>
      <c r="U84" s="2"/>
      <c r="V84" s="19"/>
      <c r="W84" s="2"/>
      <c r="X84" s="2">
        <f t="shared" si="2"/>
        <v>-424497</v>
      </c>
      <c r="Y84" s="2"/>
      <c r="Z84" s="19">
        <f t="shared" si="3"/>
        <v>-1</v>
      </c>
    </row>
    <row r="85" spans="1:26" s="24" customFormat="1" hidden="1" outlineLevel="1" x14ac:dyDescent="0.25">
      <c r="A85" s="44"/>
      <c r="B85" s="11" t="str">
        <f>CONCATENATE("          ", "4158", " - ", "NON-TAXABLE SALES-FOOD")</f>
        <v xml:space="preserve">          4158 - NON-TAXABLE SALES-FOOD</v>
      </c>
      <c r="C85" s="11"/>
      <c r="D85" s="2">
        <f t="shared" si="15"/>
        <v>0</v>
      </c>
      <c r="E85" s="2"/>
      <c r="F85" s="19"/>
      <c r="G85" s="2"/>
      <c r="H85" s="2">
        <f>--65166.99</f>
        <v>65166.99</v>
      </c>
      <c r="I85" s="2"/>
      <c r="J85" s="19"/>
      <c r="K85" s="2"/>
      <c r="L85" s="2">
        <f t="shared" si="0"/>
        <v>-65166.99</v>
      </c>
      <c r="M85" s="2"/>
      <c r="N85" s="19">
        <f t="shared" si="1"/>
        <v>-1</v>
      </c>
      <c r="O85" s="11"/>
      <c r="P85" s="2">
        <f t="shared" si="16"/>
        <v>0</v>
      </c>
      <c r="Q85" s="2"/>
      <c r="R85" s="19"/>
      <c r="S85" s="2"/>
      <c r="T85" s="2">
        <f>--272887.26</f>
        <v>272887.26</v>
      </c>
      <c r="U85" s="2"/>
      <c r="V85" s="19"/>
      <c r="W85" s="2"/>
      <c r="X85" s="2">
        <f t="shared" si="2"/>
        <v>-272887.26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"4181", " - ", "NON-TAXABLE SALES-ELECTRONICS")</f>
        <v xml:space="preserve">          4181 - NON-TAXABLE SALES-ELECTRONICS</v>
      </c>
      <c r="C86" s="11"/>
      <c r="D86" s="2">
        <f>--29.99</f>
        <v>29.99</v>
      </c>
      <c r="E86" s="2"/>
      <c r="F86" s="19"/>
      <c r="G86" s="2"/>
      <c r="H86" s="2">
        <f>0</f>
        <v>0</v>
      </c>
      <c r="I86" s="2"/>
      <c r="J86" s="19"/>
      <c r="K86" s="2"/>
      <c r="L86" s="2">
        <f t="shared" si="0"/>
        <v>29.99</v>
      </c>
      <c r="M86" s="2"/>
      <c r="N86" s="19">
        <f t="shared" si="1"/>
        <v>0</v>
      </c>
      <c r="O86" s="11"/>
      <c r="P86" s="2">
        <f>--3534.12</f>
        <v>3534.12</v>
      </c>
      <c r="Q86" s="2"/>
      <c r="R86" s="19"/>
      <c r="S86" s="2"/>
      <c r="T86" s="2">
        <f>--1462.51</f>
        <v>1462.51</v>
      </c>
      <c r="U86" s="2"/>
      <c r="V86" s="19"/>
      <c r="W86" s="2"/>
      <c r="X86" s="2">
        <f t="shared" si="2"/>
        <v>2071.6099999999997</v>
      </c>
      <c r="Y86" s="2"/>
      <c r="Z86" s="19">
        <f t="shared" si="3"/>
        <v>1.4164757847809586</v>
      </c>
    </row>
    <row r="87" spans="1:26" s="24" customFormat="1" hidden="1" outlineLevel="1" x14ac:dyDescent="0.25">
      <c r="A87" s="44"/>
      <c r="B87" s="11" t="str">
        <f>CONCATENATE("          ", "4182", " - ", "NON-TAXABLE SALES-COMPUTER HAR")</f>
        <v xml:space="preserve">          4182 - NON-TAXABLE SALES-COMPUTER HAR</v>
      </c>
      <c r="C87" s="11"/>
      <c r="D87" s="2">
        <f>--9499.97</f>
        <v>9499.9699999999993</v>
      </c>
      <c r="E87" s="2"/>
      <c r="F87" s="19"/>
      <c r="G87" s="2"/>
      <c r="H87" s="2">
        <f>--5749</f>
        <v>5749</v>
      </c>
      <c r="I87" s="2"/>
      <c r="J87" s="19"/>
      <c r="K87" s="2"/>
      <c r="L87" s="2">
        <f t="shared" si="0"/>
        <v>3750.9699999999993</v>
      </c>
      <c r="M87" s="2"/>
      <c r="N87" s="19">
        <f t="shared" si="1"/>
        <v>0.6524560793181422</v>
      </c>
      <c r="O87" s="11"/>
      <c r="P87" s="2">
        <f>--154794.35</f>
        <v>154794.35</v>
      </c>
      <c r="Q87" s="2"/>
      <c r="R87" s="19"/>
      <c r="S87" s="2"/>
      <c r="T87" s="2">
        <f>--62309</f>
        <v>62309</v>
      </c>
      <c r="U87" s="2"/>
      <c r="V87" s="19"/>
      <c r="W87" s="2"/>
      <c r="X87" s="2">
        <f t="shared" si="2"/>
        <v>92485.35</v>
      </c>
      <c r="Y87" s="2"/>
      <c r="Z87" s="19">
        <f t="shared" si="3"/>
        <v>1.4843016257683481</v>
      </c>
    </row>
    <row r="88" spans="1:26" s="24" customFormat="1" hidden="1" outlineLevel="1" x14ac:dyDescent="0.25">
      <c r="A88" s="44"/>
      <c r="B88" s="11" t="str">
        <f>CONCATENATE("          ", "4183", " - ", "NON-TAXABLE SALES-COMPUTER EQU")</f>
        <v xml:space="preserve">          4183 - NON-TAXABLE SALES-COMPUTER EQU</v>
      </c>
      <c r="C88" s="11"/>
      <c r="D88" s="2">
        <f>--1033.89</f>
        <v>1033.8900000000001</v>
      </c>
      <c r="E88" s="2"/>
      <c r="F88" s="19"/>
      <c r="G88" s="2"/>
      <c r="H88" s="2">
        <f>--249.96</f>
        <v>249.96</v>
      </c>
      <c r="I88" s="2"/>
      <c r="J88" s="19"/>
      <c r="K88" s="2"/>
      <c r="L88" s="2">
        <f t="shared" si="0"/>
        <v>783.93000000000006</v>
      </c>
      <c r="M88" s="2"/>
      <c r="N88" s="19">
        <f t="shared" si="1"/>
        <v>3.1362217954872782</v>
      </c>
      <c r="O88" s="11"/>
      <c r="P88" s="2">
        <f>--7370.28</f>
        <v>7370.28</v>
      </c>
      <c r="Q88" s="2"/>
      <c r="R88" s="19"/>
      <c r="S88" s="2"/>
      <c r="T88" s="2">
        <f>--3304.88</f>
        <v>3304.88</v>
      </c>
      <c r="U88" s="2"/>
      <c r="V88" s="19"/>
      <c r="W88" s="2"/>
      <c r="X88" s="2">
        <f t="shared" si="2"/>
        <v>4065.3999999999996</v>
      </c>
      <c r="Y88" s="2"/>
      <c r="Z88" s="19">
        <f t="shared" si="3"/>
        <v>1.2301203069400399</v>
      </c>
    </row>
    <row r="89" spans="1:26" s="24" customFormat="1" hidden="1" outlineLevel="1" x14ac:dyDescent="0.25">
      <c r="A89" s="44"/>
      <c r="B89" s="11" t="str">
        <f>CONCATENATE("          ", "4184", " - ", "NON-TAXABLE SALES-SOFTWARE LIC")</f>
        <v xml:space="preserve">          4184 - NON-TAXABLE SALES-SOFTWARE LIC</v>
      </c>
      <c r="C89" s="11"/>
      <c r="D89" s="2">
        <f>0</f>
        <v>0</v>
      </c>
      <c r="E89" s="2"/>
      <c r="F89" s="19"/>
      <c r="G89" s="2"/>
      <c r="H89" s="2">
        <f>--1206</f>
        <v>1206</v>
      </c>
      <c r="I89" s="2"/>
      <c r="J89" s="19"/>
      <c r="K89" s="2"/>
      <c r="L89" s="2">
        <f t="shared" si="0"/>
        <v>-1206</v>
      </c>
      <c r="M89" s="2"/>
      <c r="N89" s="19">
        <f t="shared" si="1"/>
        <v>-1</v>
      </c>
      <c r="O89" s="11"/>
      <c r="P89" s="2">
        <f>0</f>
        <v>0</v>
      </c>
      <c r="Q89" s="2"/>
      <c r="R89" s="19"/>
      <c r="S89" s="2"/>
      <c r="T89" s="2">
        <f>--2728</f>
        <v>2728</v>
      </c>
      <c r="U89" s="2"/>
      <c r="V89" s="19"/>
      <c r="W89" s="2"/>
      <c r="X89" s="2">
        <f t="shared" si="2"/>
        <v>-2728</v>
      </c>
      <c r="Y89" s="2"/>
      <c r="Z89" s="19">
        <f t="shared" si="3"/>
        <v>-1</v>
      </c>
    </row>
    <row r="90" spans="1:26" s="24" customFormat="1" hidden="1" outlineLevel="1" x14ac:dyDescent="0.25">
      <c r="A90" s="44"/>
      <c r="B90" s="11" t="str">
        <f>CONCATENATE("          ", "4185", " - ", "NON-TAXABLE SALES-SOFTWARE")</f>
        <v xml:space="preserve">          4185 - NON-TAXABLE SALES-SOFTWARE</v>
      </c>
      <c r="C90" s="11"/>
      <c r="D90" s="2">
        <f>--1989.89</f>
        <v>1989.89</v>
      </c>
      <c r="E90" s="2"/>
      <c r="F90" s="19"/>
      <c r="G90" s="2"/>
      <c r="H90" s="2">
        <f>--495.98</f>
        <v>495.98</v>
      </c>
      <c r="I90" s="2"/>
      <c r="J90" s="19"/>
      <c r="K90" s="2"/>
      <c r="L90" s="2">
        <f t="shared" si="0"/>
        <v>1493.91</v>
      </c>
      <c r="M90" s="2"/>
      <c r="N90" s="19">
        <f t="shared" si="1"/>
        <v>3.0120367756764388</v>
      </c>
      <c r="O90" s="11"/>
      <c r="P90" s="2">
        <f>--25806.74</f>
        <v>25806.74</v>
      </c>
      <c r="Q90" s="2"/>
      <c r="R90" s="19"/>
      <c r="S90" s="2"/>
      <c r="T90" s="2">
        <f>--8963.87</f>
        <v>8963.8700000000008</v>
      </c>
      <c r="U90" s="2"/>
      <c r="V90" s="19"/>
      <c r="W90" s="2"/>
      <c r="X90" s="2">
        <f t="shared" si="2"/>
        <v>16842.870000000003</v>
      </c>
      <c r="Y90" s="2"/>
      <c r="Z90" s="19">
        <f t="shared" si="3"/>
        <v>1.8789730328529977</v>
      </c>
    </row>
    <row r="91" spans="1:26" s="24" customFormat="1" hidden="1" outlineLevel="1" x14ac:dyDescent="0.25">
      <c r="A91" s="44"/>
      <c r="B91" s="11" t="str">
        <f>CONCATENATE("          ", "4186", " - ", "NON-TAXABLE SALES-COMPUTER SUP")</f>
        <v xml:space="preserve">          4186 - NON-TAXABLE SALES-COMPUTER SUP</v>
      </c>
      <c r="C91" s="11"/>
      <c r="D91" s="2">
        <f>--44</f>
        <v>44</v>
      </c>
      <c r="E91" s="2"/>
      <c r="F91" s="19"/>
      <c r="G91" s="2"/>
      <c r="H91" s="2">
        <f>--49.99</f>
        <v>49.99</v>
      </c>
      <c r="I91" s="2"/>
      <c r="J91" s="19"/>
      <c r="K91" s="2"/>
      <c r="L91" s="2">
        <f t="shared" si="0"/>
        <v>-5.990000000000002</v>
      </c>
      <c r="M91" s="2"/>
      <c r="N91" s="19">
        <f t="shared" si="1"/>
        <v>-0.11982396479295862</v>
      </c>
      <c r="O91" s="11"/>
      <c r="P91" s="2">
        <f>--1773.77</f>
        <v>1773.77</v>
      </c>
      <c r="Q91" s="2"/>
      <c r="R91" s="19"/>
      <c r="S91" s="2"/>
      <c r="T91" s="2">
        <f>--1572.4</f>
        <v>1572.4</v>
      </c>
      <c r="U91" s="2"/>
      <c r="V91" s="19"/>
      <c r="W91" s="2"/>
      <c r="X91" s="2">
        <f t="shared" si="2"/>
        <v>201.36999999999989</v>
      </c>
      <c r="Y91" s="2"/>
      <c r="Z91" s="19">
        <f t="shared" si="3"/>
        <v>0.12806537776647156</v>
      </c>
    </row>
    <row r="92" spans="1:26" s="24" customFormat="1" hidden="1" outlineLevel="1" x14ac:dyDescent="0.25">
      <c r="A92" s="44"/>
      <c r="B92" s="11" t="str">
        <f>CONCATENATE("          ", "4188", " - ", "NON-TAXABLE SALES-MUSIC")</f>
        <v xml:space="preserve">          4188 - NON-TAXABLE SALES-MUSIC</v>
      </c>
      <c r="C92" s="11"/>
      <c r="D92" s="2">
        <f>0</f>
        <v>0</v>
      </c>
      <c r="E92" s="2"/>
      <c r="F92" s="19"/>
      <c r="G92" s="2"/>
      <c r="H92" s="2">
        <f>0</f>
        <v>0</v>
      </c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0</f>
        <v>0</v>
      </c>
      <c r="Q92" s="2"/>
      <c r="R92" s="19"/>
      <c r="S92" s="2"/>
      <c r="T92" s="2">
        <f>--219.96</f>
        <v>219.96</v>
      </c>
      <c r="U92" s="2"/>
      <c r="V92" s="19"/>
      <c r="W92" s="2"/>
      <c r="X92" s="2">
        <f t="shared" si="2"/>
        <v>-219.96</v>
      </c>
      <c r="Y92" s="2"/>
      <c r="Z92" s="19">
        <f t="shared" si="3"/>
        <v>-1</v>
      </c>
    </row>
    <row r="93" spans="1:26" s="24" customFormat="1" hidden="1" outlineLevel="1" x14ac:dyDescent="0.25">
      <c r="A93" s="44"/>
      <c r="B93" s="11" t="str">
        <f>CONCATENATE("          ", "4201", " - ", "SALES RETURN TAXABLE-NEW TEXT")</f>
        <v xml:space="preserve">          4201 - SALES RETURN TAXABLE-NEW TEXT</v>
      </c>
      <c r="C93" s="11"/>
      <c r="D93" s="2">
        <f>-1333.42</f>
        <v>-1333.42</v>
      </c>
      <c r="E93" s="2"/>
      <c r="F93" s="19"/>
      <c r="G93" s="2"/>
      <c r="H93" s="2">
        <f>-314.9</f>
        <v>-314.89999999999998</v>
      </c>
      <c r="I93" s="2"/>
      <c r="J93" s="19"/>
      <c r="K93" s="2"/>
      <c r="L93" s="2">
        <f t="shared" si="0"/>
        <v>-1018.5200000000001</v>
      </c>
      <c r="M93" s="2"/>
      <c r="N93" s="19">
        <f t="shared" si="1"/>
        <v>3.2344236265481112</v>
      </c>
      <c r="O93" s="11"/>
      <c r="P93" s="2">
        <f>-35094.66</f>
        <v>-35094.660000000003</v>
      </c>
      <c r="Q93" s="2"/>
      <c r="R93" s="19"/>
      <c r="S93" s="2"/>
      <c r="T93" s="2">
        <f>-78098.57</f>
        <v>-78098.570000000007</v>
      </c>
      <c r="U93" s="2"/>
      <c r="V93" s="19"/>
      <c r="W93" s="2"/>
      <c r="X93" s="2">
        <f t="shared" si="2"/>
        <v>43003.91</v>
      </c>
      <c r="Y93" s="2"/>
      <c r="Z93" s="19">
        <f t="shared" si="3"/>
        <v>-0.55063633047314442</v>
      </c>
    </row>
    <row r="94" spans="1:26" s="24" customFormat="1" hidden="1" outlineLevel="1" x14ac:dyDescent="0.25">
      <c r="A94" s="44"/>
      <c r="B94" s="11" t="str">
        <f>CONCATENATE("          ", "4202", " - ", "SALES RETURN TAXABLE-USED TEXT")</f>
        <v xml:space="preserve">          4202 - SALES RETURN TAXABLE-USED TEXT</v>
      </c>
      <c r="C94" s="11"/>
      <c r="D94" s="2">
        <f>-3274.35</f>
        <v>-3274.35</v>
      </c>
      <c r="E94" s="2"/>
      <c r="F94" s="19"/>
      <c r="G94" s="2"/>
      <c r="H94" s="2">
        <f>-113.2</f>
        <v>-113.2</v>
      </c>
      <c r="I94" s="2"/>
      <c r="J94" s="19"/>
      <c r="K94" s="2"/>
      <c r="L94" s="2">
        <f t="shared" si="0"/>
        <v>-3161.15</v>
      </c>
      <c r="M94" s="2"/>
      <c r="N94" s="19">
        <f t="shared" si="1"/>
        <v>27.925353356890458</v>
      </c>
      <c r="O94" s="11"/>
      <c r="P94" s="2">
        <f>-13803.35</f>
        <v>-13803.35</v>
      </c>
      <c r="Q94" s="2"/>
      <c r="R94" s="19"/>
      <c r="S94" s="2"/>
      <c r="T94" s="2">
        <f>-27042.2</f>
        <v>-27042.2</v>
      </c>
      <c r="U94" s="2"/>
      <c r="V94" s="19"/>
      <c r="W94" s="2"/>
      <c r="X94" s="2">
        <f t="shared" si="2"/>
        <v>13238.85</v>
      </c>
      <c r="Y94" s="2"/>
      <c r="Z94" s="19">
        <f t="shared" si="3"/>
        <v>-0.48956260955099806</v>
      </c>
    </row>
    <row r="95" spans="1:26" s="24" customFormat="1" hidden="1" outlineLevel="1" x14ac:dyDescent="0.25">
      <c r="A95" s="44"/>
      <c r="B95" s="11" t="str">
        <f>CONCATENATE("          ", "4203", " - ", "SALES RETURN TAXABLE-RENTAL TE")</f>
        <v xml:space="preserve">          4203 - SALES RETURN TAXABLE-RENTAL TE</v>
      </c>
      <c r="C95" s="11"/>
      <c r="D95" s="2">
        <f t="shared" ref="D95:D101" si="17">0</f>
        <v>0</v>
      </c>
      <c r="E95" s="2"/>
      <c r="F95" s="19"/>
      <c r="G95" s="2"/>
      <c r="H95" s="2">
        <f>0</f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0</f>
        <v>0</v>
      </c>
      <c r="Q95" s="2"/>
      <c r="R95" s="19"/>
      <c r="S95" s="2"/>
      <c r="T95" s="2">
        <f>-144.99</f>
        <v>-144.99</v>
      </c>
      <c r="U95" s="2"/>
      <c r="V95" s="19"/>
      <c r="W95" s="2"/>
      <c r="X95" s="2">
        <f t="shared" si="2"/>
        <v>144.99</v>
      </c>
      <c r="Y95" s="2"/>
      <c r="Z95" s="19">
        <f t="shared" si="3"/>
        <v>-1</v>
      </c>
    </row>
    <row r="96" spans="1:26" s="24" customFormat="1" hidden="1" outlineLevel="1" x14ac:dyDescent="0.25">
      <c r="A96" s="44"/>
      <c r="B96" s="11" t="str">
        <f>CONCATENATE("          ", "4204", " - ", "SALES RETURN TAXABLE-DIGITAL T")</f>
        <v xml:space="preserve">          4204 - SALES RETURN TAXABLE-DIGITAL T</v>
      </c>
      <c r="C96" s="11"/>
      <c r="D96" s="2">
        <f t="shared" si="17"/>
        <v>0</v>
      </c>
      <c r="E96" s="2"/>
      <c r="F96" s="19"/>
      <c r="G96" s="2"/>
      <c r="H96" s="2">
        <f>-119.4</f>
        <v>-119.4</v>
      </c>
      <c r="I96" s="2"/>
      <c r="J96" s="19"/>
      <c r="K96" s="2"/>
      <c r="L96" s="2">
        <f t="shared" si="0"/>
        <v>119.4</v>
      </c>
      <c r="M96" s="2"/>
      <c r="N96" s="19">
        <f t="shared" si="1"/>
        <v>-1</v>
      </c>
      <c r="O96" s="11"/>
      <c r="P96" s="2">
        <f>-1630.85</f>
        <v>-1630.85</v>
      </c>
      <c r="Q96" s="2"/>
      <c r="R96" s="19"/>
      <c r="S96" s="2"/>
      <c r="T96" s="2">
        <f>-11369.46</f>
        <v>-11369.46</v>
      </c>
      <c r="U96" s="2"/>
      <c r="V96" s="19"/>
      <c r="W96" s="2"/>
      <c r="X96" s="2">
        <f t="shared" si="2"/>
        <v>9738.6099999999988</v>
      </c>
      <c r="Y96" s="2"/>
      <c r="Z96" s="19">
        <f t="shared" si="3"/>
        <v>-0.85655871079189327</v>
      </c>
    </row>
    <row r="97" spans="1:26" s="24" customFormat="1" hidden="1" outlineLevel="1" x14ac:dyDescent="0.25">
      <c r="A97" s="44"/>
      <c r="B97" s="11" t="str">
        <f>CONCATENATE("          ", "4213", " - ", "NON-TAXABLE SALES-TRADE BOOKS")</f>
        <v xml:space="preserve">          4213 - NON-TAXABLE SALES-TRADE BOOKS</v>
      </c>
      <c r="C97" s="11"/>
      <c r="D97" s="2">
        <f t="shared" si="17"/>
        <v>0</v>
      </c>
      <c r="E97" s="2"/>
      <c r="F97" s="19"/>
      <c r="G97" s="2"/>
      <c r="H97" s="2">
        <f>-67.34</f>
        <v>-67.34</v>
      </c>
      <c r="I97" s="2"/>
      <c r="J97" s="19"/>
      <c r="K97" s="2"/>
      <c r="L97" s="2">
        <f t="shared" si="0"/>
        <v>67.34</v>
      </c>
      <c r="M97" s="2"/>
      <c r="N97" s="19">
        <f t="shared" si="1"/>
        <v>-1</v>
      </c>
      <c r="O97" s="11"/>
      <c r="P97" s="2">
        <f t="shared" ref="P97:P100" si="18">0</f>
        <v>0</v>
      </c>
      <c r="Q97" s="2"/>
      <c r="R97" s="19"/>
      <c r="S97" s="2"/>
      <c r="T97" s="2">
        <f>-102.71</f>
        <v>-102.71</v>
      </c>
      <c r="U97" s="2"/>
      <c r="V97" s="19"/>
      <c r="W97" s="2"/>
      <c r="X97" s="2">
        <f t="shared" si="2"/>
        <v>102.71</v>
      </c>
      <c r="Y97" s="2"/>
      <c r="Z97" s="19">
        <f t="shared" si="3"/>
        <v>-1</v>
      </c>
    </row>
    <row r="98" spans="1:26" s="24" customFormat="1" hidden="1" outlineLevel="1" x14ac:dyDescent="0.25">
      <c r="A98" s="44"/>
      <c r="B98" s="11" t="str">
        <f>CONCATENATE("          ", "4217", " - ", "NON-TAXABLE SALES-DORM/HOUSEWA")</f>
        <v xml:space="preserve">          4217 - NON-TAXABLE SALES-DORM/HOUSEWA</v>
      </c>
      <c r="C98" s="11"/>
      <c r="D98" s="2">
        <f t="shared" si="17"/>
        <v>0</v>
      </c>
      <c r="E98" s="2"/>
      <c r="F98" s="19"/>
      <c r="G98" s="2"/>
      <c r="H98" s="2">
        <f t="shared" ref="H98:H99" si="19">0</f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 t="shared" si="18"/>
        <v>0</v>
      </c>
      <c r="Q98" s="2"/>
      <c r="R98" s="19"/>
      <c r="S98" s="2"/>
      <c r="T98" s="2">
        <f>-2.98</f>
        <v>-2.98</v>
      </c>
      <c r="U98" s="2"/>
      <c r="V98" s="19"/>
      <c r="W98" s="2"/>
      <c r="X98" s="2">
        <f t="shared" si="2"/>
        <v>2.98</v>
      </c>
      <c r="Y98" s="2"/>
      <c r="Z98" s="19">
        <f t="shared" si="3"/>
        <v>-1</v>
      </c>
    </row>
    <row r="99" spans="1:26" s="24" customFormat="1" hidden="1" outlineLevel="1" x14ac:dyDescent="0.25">
      <c r="A99" s="44"/>
      <c r="B99" s="11" t="str">
        <f>CONCATENATE("          ", "4218", " - ", "SALES RETURN TAXABLE-STUDY GUI")</f>
        <v xml:space="preserve">          4218 - SALES RETURN TAXABLE-STUDY GUI</v>
      </c>
      <c r="C99" s="11"/>
      <c r="D99" s="2">
        <f t="shared" si="17"/>
        <v>0</v>
      </c>
      <c r="E99" s="2"/>
      <c r="F99" s="19"/>
      <c r="G99" s="2"/>
      <c r="H99" s="2">
        <f t="shared" si="19"/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 t="shared" si="18"/>
        <v>0</v>
      </c>
      <c r="Q99" s="2"/>
      <c r="R99" s="19"/>
      <c r="S99" s="2"/>
      <c r="T99" s="2">
        <f>-32.75</f>
        <v>-32.75</v>
      </c>
      <c r="U99" s="2"/>
      <c r="V99" s="19"/>
      <c r="W99" s="2"/>
      <c r="X99" s="2">
        <f t="shared" si="2"/>
        <v>32.75</v>
      </c>
      <c r="Y99" s="2"/>
      <c r="Z99" s="19">
        <f t="shared" si="3"/>
        <v>-1</v>
      </c>
    </row>
    <row r="100" spans="1:26" s="24" customFormat="1" hidden="1" outlineLevel="1" x14ac:dyDescent="0.25">
      <c r="A100" s="44"/>
      <c r="B100" s="11" t="str">
        <f>CONCATENATE("          ", "4225", " - ", "SALES RETURN TAXABLE-TEST FORM")</f>
        <v xml:space="preserve">          4225 - SALES RETURN TAXABLE-TEST FORM</v>
      </c>
      <c r="C100" s="11"/>
      <c r="D100" s="2">
        <f t="shared" si="17"/>
        <v>0</v>
      </c>
      <c r="E100" s="2"/>
      <c r="F100" s="19"/>
      <c r="G100" s="2"/>
      <c r="H100" s="2">
        <f>-23.91</f>
        <v>-23.91</v>
      </c>
      <c r="I100" s="2"/>
      <c r="J100" s="19"/>
      <c r="K100" s="2"/>
      <c r="L100" s="2">
        <f t="shared" si="0"/>
        <v>23.91</v>
      </c>
      <c r="M100" s="2"/>
      <c r="N100" s="19">
        <f t="shared" si="1"/>
        <v>-1</v>
      </c>
      <c r="O100" s="11"/>
      <c r="P100" s="2">
        <f t="shared" si="18"/>
        <v>0</v>
      </c>
      <c r="Q100" s="2"/>
      <c r="R100" s="19"/>
      <c r="S100" s="2"/>
      <c r="T100" s="2">
        <f>-65.46</f>
        <v>-65.459999999999994</v>
      </c>
      <c r="U100" s="2"/>
      <c r="V100" s="19"/>
      <c r="W100" s="2"/>
      <c r="X100" s="2">
        <f t="shared" si="2"/>
        <v>65.459999999999994</v>
      </c>
      <c r="Y100" s="2"/>
      <c r="Z100" s="19">
        <f t="shared" si="3"/>
        <v>-1</v>
      </c>
    </row>
    <row r="101" spans="1:26" s="24" customFormat="1" hidden="1" outlineLevel="1" x14ac:dyDescent="0.25">
      <c r="A101" s="44"/>
      <c r="B101" s="11" t="str">
        <f>CONCATENATE("          ", "4226", " - ", "SALES RETURN TAXABLE-WRITING I")</f>
        <v xml:space="preserve">          4226 - SALES RETURN TAXABLE-WRITING I</v>
      </c>
      <c r="C101" s="11"/>
      <c r="D101" s="2">
        <f t="shared" si="17"/>
        <v>0</v>
      </c>
      <c r="E101" s="2"/>
      <c r="F101" s="19"/>
      <c r="G101" s="2"/>
      <c r="H101" s="2">
        <f>-13.74</f>
        <v>-13.74</v>
      </c>
      <c r="I101" s="2"/>
      <c r="J101" s="19"/>
      <c r="K101" s="2"/>
      <c r="L101" s="2">
        <f t="shared" si="0"/>
        <v>13.74</v>
      </c>
      <c r="M101" s="2"/>
      <c r="N101" s="19">
        <f t="shared" si="1"/>
        <v>-1</v>
      </c>
      <c r="O101" s="11"/>
      <c r="P101" s="2">
        <f>-34.23</f>
        <v>-34.229999999999997</v>
      </c>
      <c r="Q101" s="2"/>
      <c r="R101" s="19"/>
      <c r="S101" s="2"/>
      <c r="T101" s="2">
        <f>-489.71</f>
        <v>-489.71</v>
      </c>
      <c r="U101" s="2"/>
      <c r="V101" s="19"/>
      <c r="W101" s="2"/>
      <c r="X101" s="2">
        <f t="shared" si="2"/>
        <v>455.47999999999996</v>
      </c>
      <c r="Y101" s="2"/>
      <c r="Z101" s="19">
        <f t="shared" si="3"/>
        <v>-0.93010148863613151</v>
      </c>
    </row>
    <row r="102" spans="1:26" s="24" customFormat="1" hidden="1" outlineLevel="1" x14ac:dyDescent="0.25">
      <c r="A102" s="44"/>
      <c r="B102" s="11" t="str">
        <f>CONCATENATE("          ", "4227", " - ", "SALES RETURN TAXABLE-SCHOOL SU")</f>
        <v xml:space="preserve">          4227 - SALES RETURN TAXABLE-SCHOOL SU</v>
      </c>
      <c r="C102" s="11"/>
      <c r="D102" s="2">
        <f>-31.98</f>
        <v>-31.98</v>
      </c>
      <c r="E102" s="2"/>
      <c r="F102" s="19"/>
      <c r="G102" s="2"/>
      <c r="H102" s="2">
        <f>-917.34</f>
        <v>-917.34</v>
      </c>
      <c r="I102" s="2"/>
      <c r="J102" s="19"/>
      <c r="K102" s="2"/>
      <c r="L102" s="2">
        <f t="shared" si="0"/>
        <v>885.36</v>
      </c>
      <c r="M102" s="2"/>
      <c r="N102" s="19">
        <f t="shared" si="1"/>
        <v>-0.96513833475047417</v>
      </c>
      <c r="O102" s="11"/>
      <c r="P102" s="2">
        <f>-610.64</f>
        <v>-610.64</v>
      </c>
      <c r="Q102" s="2"/>
      <c r="R102" s="19"/>
      <c r="S102" s="2"/>
      <c r="T102" s="2">
        <f>-5743.82</f>
        <v>-5743.82</v>
      </c>
      <c r="U102" s="2"/>
      <c r="V102" s="19"/>
      <c r="W102" s="2"/>
      <c r="X102" s="2">
        <f t="shared" si="2"/>
        <v>5133.1799999999994</v>
      </c>
      <c r="Y102" s="2"/>
      <c r="Z102" s="19">
        <f t="shared" si="3"/>
        <v>-0.8936874762788527</v>
      </c>
    </row>
    <row r="103" spans="1:26" s="24" customFormat="1" hidden="1" outlineLevel="1" x14ac:dyDescent="0.25">
      <c r="A103" s="44"/>
      <c r="B103" s="11" t="str">
        <f>CONCATENATE("          ", "4228", " - ", "SALES RETURN TAXABLE-ART/TECH")</f>
        <v xml:space="preserve">          4228 - SALES RETURN TAXABLE-ART/TECH</v>
      </c>
      <c r="C103" s="11"/>
      <c r="D103" s="2">
        <f>-32.49</f>
        <v>-32.49</v>
      </c>
      <c r="E103" s="2"/>
      <c r="F103" s="19"/>
      <c r="G103" s="2"/>
      <c r="H103" s="2">
        <f>-441.03</f>
        <v>-441.03</v>
      </c>
      <c r="I103" s="2"/>
      <c r="J103" s="19"/>
      <c r="K103" s="2"/>
      <c r="L103" s="2">
        <f t="shared" si="0"/>
        <v>408.53999999999996</v>
      </c>
      <c r="M103" s="2"/>
      <c r="N103" s="19">
        <f t="shared" si="1"/>
        <v>-0.92633154207196788</v>
      </c>
      <c r="O103" s="11"/>
      <c r="P103" s="2">
        <f>-254.69</f>
        <v>-254.69</v>
      </c>
      <c r="Q103" s="2"/>
      <c r="R103" s="19"/>
      <c r="S103" s="2"/>
      <c r="T103" s="2">
        <f>-2871.29</f>
        <v>-2871.29</v>
      </c>
      <c r="U103" s="2"/>
      <c r="V103" s="19"/>
      <c r="W103" s="2"/>
      <c r="X103" s="2">
        <f t="shared" si="2"/>
        <v>2616.6</v>
      </c>
      <c r="Y103" s="2"/>
      <c r="Z103" s="19">
        <f t="shared" si="3"/>
        <v>-0.91129770939194576</v>
      </c>
    </row>
    <row r="104" spans="1:26" s="24" customFormat="1" hidden="1" outlineLevel="1" x14ac:dyDescent="0.25">
      <c r="A104" s="44"/>
      <c r="B104" s="11" t="str">
        <f>CONCATENATE("          ", "4233", " - ", "SALES RETURN TAXABLE-CANDY")</f>
        <v xml:space="preserve">          4233 - SALES RETURN TAXABLE-CANDY</v>
      </c>
      <c r="C104" s="11"/>
      <c r="D104" s="2">
        <f>0</f>
        <v>0</v>
      </c>
      <c r="E104" s="2"/>
      <c r="F104" s="19"/>
      <c r="G104" s="2"/>
      <c r="H104" s="2">
        <f>-1.29</f>
        <v>-1.29</v>
      </c>
      <c r="I104" s="2"/>
      <c r="J104" s="19"/>
      <c r="K104" s="2"/>
      <c r="L104" s="2">
        <f t="shared" si="0"/>
        <v>1.29</v>
      </c>
      <c r="M104" s="2"/>
      <c r="N104" s="19">
        <f t="shared" si="1"/>
        <v>-1</v>
      </c>
      <c r="O104" s="11"/>
      <c r="P104" s="2">
        <f>0</f>
        <v>0</v>
      </c>
      <c r="Q104" s="2"/>
      <c r="R104" s="19"/>
      <c r="S104" s="2"/>
      <c r="T104" s="2">
        <f>-1.29</f>
        <v>-1.29</v>
      </c>
      <c r="U104" s="2"/>
      <c r="V104" s="19"/>
      <c r="W104" s="2"/>
      <c r="X104" s="2">
        <f t="shared" si="2"/>
        <v>1.29</v>
      </c>
      <c r="Y104" s="2"/>
      <c r="Z104" s="19">
        <f t="shared" si="3"/>
        <v>-1</v>
      </c>
    </row>
    <row r="105" spans="1:26" s="24" customFormat="1" hidden="1" outlineLevel="1" x14ac:dyDescent="0.25">
      <c r="A105" s="44"/>
      <c r="B105" s="11" t="str">
        <f>CONCATENATE("          ", "4240", " - ", "SALES RETURN TAXABLE-LOGO CLOT")</f>
        <v xml:space="preserve">          4240 - SALES RETURN TAXABLE-LOGO CLOT</v>
      </c>
      <c r="C105" s="11"/>
      <c r="D105" s="2">
        <f>-1729.15</f>
        <v>-1729.15</v>
      </c>
      <c r="E105" s="2"/>
      <c r="F105" s="19"/>
      <c r="G105" s="2"/>
      <c r="H105" s="2">
        <f>-10814.23</f>
        <v>-10814.23</v>
      </c>
      <c r="I105" s="2"/>
      <c r="J105" s="19"/>
      <c r="K105" s="2"/>
      <c r="L105" s="2">
        <f t="shared" si="0"/>
        <v>9085.08</v>
      </c>
      <c r="M105" s="2"/>
      <c r="N105" s="19">
        <f t="shared" si="1"/>
        <v>-0.84010419604539577</v>
      </c>
      <c r="O105" s="11"/>
      <c r="P105" s="2">
        <f>-15578.67</f>
        <v>-15578.67</v>
      </c>
      <c r="Q105" s="2"/>
      <c r="R105" s="19"/>
      <c r="S105" s="2"/>
      <c r="T105" s="2">
        <f>-41109.03</f>
        <v>-41109.03</v>
      </c>
      <c r="U105" s="2"/>
      <c r="V105" s="19"/>
      <c r="W105" s="2"/>
      <c r="X105" s="2">
        <f t="shared" si="2"/>
        <v>25530.36</v>
      </c>
      <c r="Y105" s="2"/>
      <c r="Z105" s="19">
        <f t="shared" si="3"/>
        <v>-0.62104019481851069</v>
      </c>
    </row>
    <row r="106" spans="1:26" s="24" customFormat="1" hidden="1" outlineLevel="1" x14ac:dyDescent="0.25">
      <c r="A106" s="44"/>
      <c r="B106" s="11" t="str">
        <f>CONCATENATE("          ", "4241", " - ", "SALES RETURN TAXABLE-LOGO GIFT")</f>
        <v xml:space="preserve">          4241 - SALES RETURN TAXABLE-LOGO GIFT</v>
      </c>
      <c r="C106" s="11"/>
      <c r="D106" s="2">
        <f>-108.29</f>
        <v>-108.29</v>
      </c>
      <c r="E106" s="2"/>
      <c r="F106" s="19"/>
      <c r="G106" s="2"/>
      <c r="H106" s="2">
        <f>-491.64</f>
        <v>-491.64</v>
      </c>
      <c r="I106" s="2"/>
      <c r="J106" s="19"/>
      <c r="K106" s="2"/>
      <c r="L106" s="2">
        <f t="shared" si="0"/>
        <v>383.34999999999997</v>
      </c>
      <c r="M106" s="2"/>
      <c r="N106" s="19">
        <f t="shared" si="1"/>
        <v>-0.77973720608575381</v>
      </c>
      <c r="O106" s="11"/>
      <c r="P106" s="2">
        <f>-2804.85</f>
        <v>-2804.85</v>
      </c>
      <c r="Q106" s="2"/>
      <c r="R106" s="19"/>
      <c r="S106" s="2"/>
      <c r="T106" s="2">
        <f>-3209.59</f>
        <v>-3209.59</v>
      </c>
      <c r="U106" s="2"/>
      <c r="V106" s="19"/>
      <c r="W106" s="2"/>
      <c r="X106" s="2">
        <f t="shared" si="2"/>
        <v>404.74000000000024</v>
      </c>
      <c r="Y106" s="2"/>
      <c r="Z106" s="19">
        <f t="shared" si="3"/>
        <v>-0.12610333407070692</v>
      </c>
    </row>
    <row r="107" spans="1:26" s="24" customFormat="1" hidden="1" outlineLevel="1" x14ac:dyDescent="0.25">
      <c r="A107" s="44"/>
      <c r="B107" s="11" t="str">
        <f>CONCATENATE("          ", "4242", " - ", "SALES RETURN TAXABLE-EVERYDAY")</f>
        <v xml:space="preserve">          4242 - SALES RETURN TAXABLE-EVERYDAY</v>
      </c>
      <c r="C107" s="11"/>
      <c r="D107" s="2">
        <f>-7.48</f>
        <v>-7.48</v>
      </c>
      <c r="E107" s="2"/>
      <c r="F107" s="19"/>
      <c r="G107" s="2"/>
      <c r="H107" s="2">
        <f>-532.3</f>
        <v>-532.29999999999995</v>
      </c>
      <c r="I107" s="2"/>
      <c r="J107" s="19"/>
      <c r="K107" s="2"/>
      <c r="L107" s="2">
        <f t="shared" si="0"/>
        <v>524.81999999999994</v>
      </c>
      <c r="M107" s="2"/>
      <c r="N107" s="19">
        <f t="shared" si="1"/>
        <v>-0.98594777381176024</v>
      </c>
      <c r="O107" s="11"/>
      <c r="P107" s="2">
        <f>-1328.99</f>
        <v>-1328.99</v>
      </c>
      <c r="Q107" s="2"/>
      <c r="R107" s="19"/>
      <c r="S107" s="2"/>
      <c r="T107" s="2">
        <f>-1691.87</f>
        <v>-1691.87</v>
      </c>
      <c r="U107" s="2"/>
      <c r="V107" s="19"/>
      <c r="W107" s="2"/>
      <c r="X107" s="2">
        <f t="shared" si="2"/>
        <v>362.87999999999988</v>
      </c>
      <c r="Y107" s="2"/>
      <c r="Z107" s="19">
        <f t="shared" si="3"/>
        <v>-0.21448456441688776</v>
      </c>
    </row>
    <row r="108" spans="1:26" s="24" customFormat="1" hidden="1" outlineLevel="1" x14ac:dyDescent="0.25">
      <c r="A108" s="44"/>
      <c r="B108" s="11" t="str">
        <f>CONCATENATE("          ", "4243", " - ", "SALES RETURN TAXABLE-CARDS")</f>
        <v xml:space="preserve">          4243 - SALES RETURN TAXABLE-CARDS</v>
      </c>
      <c r="C108" s="11"/>
      <c r="D108" s="2">
        <f>-829.54</f>
        <v>-829.54</v>
      </c>
      <c r="E108" s="2"/>
      <c r="F108" s="19"/>
      <c r="G108" s="2"/>
      <c r="H108" s="2">
        <f>-316.34</f>
        <v>-316.33999999999997</v>
      </c>
      <c r="I108" s="2"/>
      <c r="J108" s="19"/>
      <c r="K108" s="2"/>
      <c r="L108" s="2">
        <f t="shared" si="0"/>
        <v>-513.20000000000005</v>
      </c>
      <c r="M108" s="2"/>
      <c r="N108" s="19">
        <f t="shared" si="1"/>
        <v>1.6223051147499528</v>
      </c>
      <c r="O108" s="11"/>
      <c r="P108" s="2">
        <f>-1812.46</f>
        <v>-1812.46</v>
      </c>
      <c r="Q108" s="2"/>
      <c r="R108" s="19"/>
      <c r="S108" s="2"/>
      <c r="T108" s="2">
        <f>-320.84</f>
        <v>-320.83999999999997</v>
      </c>
      <c r="U108" s="2"/>
      <c r="V108" s="19"/>
      <c r="W108" s="2"/>
      <c r="X108" s="2">
        <f t="shared" si="2"/>
        <v>-1491.6200000000001</v>
      </c>
      <c r="Y108" s="2"/>
      <c r="Z108" s="19">
        <f t="shared" si="3"/>
        <v>4.6491085899513784</v>
      </c>
    </row>
    <row r="109" spans="1:26" s="24" customFormat="1" hidden="1" outlineLevel="1" x14ac:dyDescent="0.25">
      <c r="A109" s="44"/>
      <c r="B109" s="11" t="str">
        <f>CONCATENATE("          ", "4244", " - ", "SALES RETURN TAXABLE-ACCESSORI")</f>
        <v xml:space="preserve">          4244 - SALES RETURN TAXABLE-ACCESSORI</v>
      </c>
      <c r="C109" s="11"/>
      <c r="D109" s="2">
        <f>-179.95</f>
        <v>-179.95</v>
      </c>
      <c r="E109" s="2"/>
      <c r="F109" s="19"/>
      <c r="G109" s="2"/>
      <c r="H109" s="2">
        <f>-96.7</f>
        <v>-96.7</v>
      </c>
      <c r="I109" s="2"/>
      <c r="J109" s="19"/>
      <c r="K109" s="2"/>
      <c r="L109" s="2">
        <f t="shared" si="0"/>
        <v>-83.249999999999986</v>
      </c>
      <c r="M109" s="2"/>
      <c r="N109" s="19">
        <f t="shared" si="1"/>
        <v>0.86091003102378472</v>
      </c>
      <c r="O109" s="11"/>
      <c r="P109" s="2">
        <f>-590.94</f>
        <v>-590.94000000000005</v>
      </c>
      <c r="Q109" s="2"/>
      <c r="R109" s="19"/>
      <c r="S109" s="2"/>
      <c r="T109" s="2">
        <f>-1529.06</f>
        <v>-1529.06</v>
      </c>
      <c r="U109" s="2"/>
      <c r="V109" s="19"/>
      <c r="W109" s="2"/>
      <c r="X109" s="2">
        <f t="shared" si="2"/>
        <v>938.11999999999989</v>
      </c>
      <c r="Y109" s="2"/>
      <c r="Z109" s="19">
        <f t="shared" si="3"/>
        <v>-0.61352726511713074</v>
      </c>
    </row>
    <row r="110" spans="1:26" s="24" customFormat="1" hidden="1" outlineLevel="1" x14ac:dyDescent="0.25">
      <c r="A110" s="44"/>
      <c r="B110" s="11" t="str">
        <f>CONCATENATE("          ", "4245", " - ", "SALES RETURN TAXABLE-SPECIAL O")</f>
        <v xml:space="preserve">          4245 - SALES RETURN TAXABLE-SPECIAL O</v>
      </c>
      <c r="C110" s="11"/>
      <c r="D110" s="2">
        <f>-45.89</f>
        <v>-45.89</v>
      </c>
      <c r="E110" s="2"/>
      <c r="F110" s="19"/>
      <c r="G110" s="2"/>
      <c r="H110" s="2">
        <f>0</f>
        <v>0</v>
      </c>
      <c r="I110" s="2"/>
      <c r="J110" s="19"/>
      <c r="K110" s="2"/>
      <c r="L110" s="2">
        <f t="shared" si="0"/>
        <v>-45.89</v>
      </c>
      <c r="M110" s="2"/>
      <c r="N110" s="19">
        <f t="shared" si="1"/>
        <v>0</v>
      </c>
      <c r="O110" s="11"/>
      <c r="P110" s="2">
        <f>-1592.82</f>
        <v>-1592.82</v>
      </c>
      <c r="Q110" s="2"/>
      <c r="R110" s="19"/>
      <c r="S110" s="2"/>
      <c r="T110" s="2">
        <f>-91.96</f>
        <v>-91.96</v>
      </c>
      <c r="U110" s="2"/>
      <c r="V110" s="19"/>
      <c r="W110" s="2"/>
      <c r="X110" s="2">
        <f t="shared" si="2"/>
        <v>-1500.86</v>
      </c>
      <c r="Y110" s="2"/>
      <c r="Z110" s="19">
        <f t="shared" si="3"/>
        <v>16.320791648542844</v>
      </c>
    </row>
    <row r="111" spans="1:26" s="24" customFormat="1" hidden="1" outlineLevel="1" x14ac:dyDescent="0.25">
      <c r="A111" s="44"/>
      <c r="B111" s="11" t="str">
        <f>CONCATENATE("          ", "4281", " - ", "SALES RETURN TAXABLE-ELECTRONI")</f>
        <v xml:space="preserve">          4281 - SALES RETURN TAXABLE-ELECTRONI</v>
      </c>
      <c r="C111" s="11"/>
      <c r="D111" s="2">
        <f>0</f>
        <v>0</v>
      </c>
      <c r="E111" s="2"/>
      <c r="F111" s="19"/>
      <c r="G111" s="2"/>
      <c r="H111" s="2">
        <f>-445.93</f>
        <v>-445.93</v>
      </c>
      <c r="I111" s="2"/>
      <c r="J111" s="19"/>
      <c r="K111" s="2"/>
      <c r="L111" s="2">
        <f t="shared" si="0"/>
        <v>445.93</v>
      </c>
      <c r="M111" s="2"/>
      <c r="N111" s="19">
        <f t="shared" si="1"/>
        <v>-1</v>
      </c>
      <c r="O111" s="11"/>
      <c r="P111" s="2">
        <f>-14632.15</f>
        <v>-14632.15</v>
      </c>
      <c r="Q111" s="2"/>
      <c r="R111" s="19"/>
      <c r="S111" s="2"/>
      <c r="T111" s="2">
        <f>-5047.06</f>
        <v>-5047.0600000000004</v>
      </c>
      <c r="U111" s="2"/>
      <c r="V111" s="19"/>
      <c r="W111" s="2"/>
      <c r="X111" s="2">
        <f t="shared" si="2"/>
        <v>-9585.09</v>
      </c>
      <c r="Y111" s="2"/>
      <c r="Z111" s="19">
        <f t="shared" si="3"/>
        <v>1.8991432636029688</v>
      </c>
    </row>
    <row r="112" spans="1:26" s="24" customFormat="1" hidden="1" outlineLevel="1" x14ac:dyDescent="0.25">
      <c r="A112" s="44"/>
      <c r="B112" s="11" t="str">
        <f>CONCATENATE("          ", "4282", " - ", "SALES RETURN TAXABLE-COMPUTER")</f>
        <v xml:space="preserve">          4282 - SALES RETURN TAXABLE-COMPUTER</v>
      </c>
      <c r="C112" s="11"/>
      <c r="D112" s="2">
        <f>-15761.01</f>
        <v>-15761.01</v>
      </c>
      <c r="E112" s="2"/>
      <c r="F112" s="19"/>
      <c r="G112" s="2"/>
      <c r="H112" s="2">
        <f>-10339.73</f>
        <v>-10339.73</v>
      </c>
      <c r="I112" s="2"/>
      <c r="J112" s="19"/>
      <c r="K112" s="2"/>
      <c r="L112" s="2">
        <f t="shared" si="0"/>
        <v>-5421.2800000000007</v>
      </c>
      <c r="M112" s="2"/>
      <c r="N112" s="19">
        <f t="shared" si="1"/>
        <v>0.52431543183429363</v>
      </c>
      <c r="O112" s="11"/>
      <c r="P112" s="2">
        <f>-84084.01</f>
        <v>-84084.01</v>
      </c>
      <c r="Q112" s="2"/>
      <c r="R112" s="19"/>
      <c r="S112" s="2"/>
      <c r="T112" s="2">
        <f>-180477.59</f>
        <v>-180477.59</v>
      </c>
      <c r="U112" s="2"/>
      <c r="V112" s="19"/>
      <c r="W112" s="2"/>
      <c r="X112" s="2">
        <f t="shared" si="2"/>
        <v>96393.58</v>
      </c>
      <c r="Y112" s="2"/>
      <c r="Z112" s="19">
        <f t="shared" si="3"/>
        <v>-0.53410276588910566</v>
      </c>
    </row>
    <row r="113" spans="1:26" s="24" customFormat="1" hidden="1" outlineLevel="1" x14ac:dyDescent="0.25">
      <c r="A113" s="44"/>
      <c r="B113" s="11" t="str">
        <f>CONCATENATE("          ", "4283", " - ", "SALES RETURN TAXABLE-COMPUTER")</f>
        <v xml:space="preserve">          4283 - SALES RETURN TAXABLE-COMPUTER</v>
      </c>
      <c r="C113" s="11"/>
      <c r="D113" s="2">
        <f>-678.96</f>
        <v>-678.96</v>
      </c>
      <c r="E113" s="2"/>
      <c r="F113" s="19"/>
      <c r="G113" s="2"/>
      <c r="H113" s="2">
        <f>-423.91</f>
        <v>-423.91</v>
      </c>
      <c r="I113" s="2"/>
      <c r="J113" s="19"/>
      <c r="K113" s="2"/>
      <c r="L113" s="2">
        <f t="shared" si="0"/>
        <v>-255.05</v>
      </c>
      <c r="M113" s="2"/>
      <c r="N113" s="19">
        <f t="shared" si="1"/>
        <v>0.60166072987190677</v>
      </c>
      <c r="O113" s="11"/>
      <c r="P113" s="2">
        <f>-3311.27</f>
        <v>-3311.27</v>
      </c>
      <c r="Q113" s="2"/>
      <c r="R113" s="19"/>
      <c r="S113" s="2"/>
      <c r="T113" s="2">
        <f>-2956.24</f>
        <v>-2956.24</v>
      </c>
      <c r="U113" s="2"/>
      <c r="V113" s="19"/>
      <c r="W113" s="2"/>
      <c r="X113" s="2">
        <f t="shared" si="2"/>
        <v>-355.0300000000002</v>
      </c>
      <c r="Y113" s="2"/>
      <c r="Z113" s="19">
        <f t="shared" si="3"/>
        <v>0.12009512082916145</v>
      </c>
    </row>
    <row r="114" spans="1:26" s="24" customFormat="1" hidden="1" outlineLevel="1" x14ac:dyDescent="0.25">
      <c r="A114" s="44"/>
      <c r="B114" s="11" t="str">
        <f>CONCATENATE("          ", "4284", " - ", "SALES RETURN TAXABLE-SOFTWARE")</f>
        <v xml:space="preserve">          4284 - SALES RETURN TAXABLE-SOFTWARE</v>
      </c>
      <c r="C114" s="11"/>
      <c r="D114" s="2">
        <f>0</f>
        <v>0</v>
      </c>
      <c r="E114" s="2"/>
      <c r="F114" s="19"/>
      <c r="G114" s="2"/>
      <c r="H114" s="2">
        <f t="shared" ref="H114:H115" si="20">0</f>
        <v>0</v>
      </c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>0</f>
        <v>0</v>
      </c>
      <c r="Q114" s="2"/>
      <c r="R114" s="19"/>
      <c r="S114" s="2"/>
      <c r="T114" s="2">
        <f>-129</f>
        <v>-129</v>
      </c>
      <c r="U114" s="2"/>
      <c r="V114" s="19"/>
      <c r="W114" s="2"/>
      <c r="X114" s="2">
        <f t="shared" si="2"/>
        <v>129</v>
      </c>
      <c r="Y114" s="2"/>
      <c r="Z114" s="19">
        <f t="shared" si="3"/>
        <v>-1</v>
      </c>
    </row>
    <row r="115" spans="1:26" s="24" customFormat="1" hidden="1" outlineLevel="1" x14ac:dyDescent="0.25">
      <c r="A115" s="44"/>
      <c r="B115" s="11" t="str">
        <f>CONCATENATE("          ", "4285", " - ", "SALES RETURN TAXABLE-SOFTWARE")</f>
        <v xml:space="preserve">          4285 - SALES RETURN TAXABLE-SOFTWARE</v>
      </c>
      <c r="C115" s="11"/>
      <c r="D115" s="2">
        <f>-139</f>
        <v>-139</v>
      </c>
      <c r="E115" s="2"/>
      <c r="F115" s="19"/>
      <c r="G115" s="2"/>
      <c r="H115" s="2">
        <f t="shared" si="20"/>
        <v>0</v>
      </c>
      <c r="I115" s="2"/>
      <c r="J115" s="19"/>
      <c r="K115" s="2"/>
      <c r="L115" s="2">
        <f t="shared" si="0"/>
        <v>-139</v>
      </c>
      <c r="M115" s="2"/>
      <c r="N115" s="19">
        <f t="shared" si="1"/>
        <v>0</v>
      </c>
      <c r="O115" s="11"/>
      <c r="P115" s="2">
        <f>-691.98</f>
        <v>-691.98</v>
      </c>
      <c r="Q115" s="2"/>
      <c r="R115" s="19"/>
      <c r="S115" s="2"/>
      <c r="T115" s="2">
        <f>-655.98</f>
        <v>-655.98</v>
      </c>
      <c r="U115" s="2"/>
      <c r="V115" s="19"/>
      <c r="W115" s="2"/>
      <c r="X115" s="2">
        <f t="shared" si="2"/>
        <v>-36</v>
      </c>
      <c r="Y115" s="2"/>
      <c r="Z115" s="19">
        <f t="shared" si="3"/>
        <v>5.4879721942742155E-2</v>
      </c>
    </row>
    <row r="116" spans="1:26" s="24" customFormat="1" hidden="1" outlineLevel="1" x14ac:dyDescent="0.25">
      <c r="A116" s="44"/>
      <c r="B116" s="11" t="str">
        <f>CONCATENATE("          ", "4286", " - ", "SALES RETURN TAXABLE-COMPUTER")</f>
        <v xml:space="preserve">          4286 - SALES RETURN TAXABLE-COMPUTER</v>
      </c>
      <c r="C116" s="11"/>
      <c r="D116" s="2">
        <f>-9.99</f>
        <v>-9.99</v>
      </c>
      <c r="E116" s="2"/>
      <c r="F116" s="19"/>
      <c r="G116" s="2"/>
      <c r="H116" s="2">
        <f>-340.39</f>
        <v>-340.39</v>
      </c>
      <c r="I116" s="2"/>
      <c r="J116" s="19"/>
      <c r="K116" s="2"/>
      <c r="L116" s="2">
        <f t="shared" si="0"/>
        <v>330.4</v>
      </c>
      <c r="M116" s="2"/>
      <c r="N116" s="19">
        <f t="shared" si="1"/>
        <v>-0.97065131173066188</v>
      </c>
      <c r="O116" s="11"/>
      <c r="P116" s="2">
        <f>-581.35</f>
        <v>-581.35</v>
      </c>
      <c r="Q116" s="2"/>
      <c r="R116" s="19"/>
      <c r="S116" s="2"/>
      <c r="T116" s="2">
        <f>-2791.99</f>
        <v>-2791.99</v>
      </c>
      <c r="U116" s="2"/>
      <c r="V116" s="19"/>
      <c r="W116" s="2"/>
      <c r="X116" s="2">
        <f t="shared" si="2"/>
        <v>2210.64</v>
      </c>
      <c r="Y116" s="2"/>
      <c r="Z116" s="19">
        <f t="shared" si="3"/>
        <v>-0.79177934018388318</v>
      </c>
    </row>
    <row r="117" spans="1:26" s="24" customFormat="1" hidden="1" outlineLevel="1" x14ac:dyDescent="0.25">
      <c r="A117" s="44"/>
      <c r="B117" s="11" t="str">
        <f>CONCATENATE("          ", "4288", " - ", "TAXABLE SALES RETURN-MUSIC")</f>
        <v xml:space="preserve">          4288 - TAXABLE SALES RETURN-MUSIC</v>
      </c>
      <c r="C117" s="11"/>
      <c r="D117" s="2">
        <f t="shared" ref="D117:D120" si="21">0</f>
        <v>0</v>
      </c>
      <c r="E117" s="2"/>
      <c r="F117" s="19"/>
      <c r="G117" s="2"/>
      <c r="H117" s="2">
        <f>0</f>
        <v>0</v>
      </c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1"/>
      <c r="P117" s="2">
        <f t="shared" ref="P117:P119" si="22">0</f>
        <v>0</v>
      </c>
      <c r="Q117" s="2"/>
      <c r="R117" s="19"/>
      <c r="S117" s="2"/>
      <c r="T117" s="2">
        <f>-3.99</f>
        <v>-3.99</v>
      </c>
      <c r="U117" s="2"/>
      <c r="V117" s="19"/>
      <c r="W117" s="2"/>
      <c r="X117" s="2">
        <f t="shared" si="2"/>
        <v>3.99</v>
      </c>
      <c r="Y117" s="2"/>
      <c r="Z117" s="19">
        <f t="shared" si="3"/>
        <v>-1</v>
      </c>
    </row>
    <row r="118" spans="1:26" s="24" customFormat="1" hidden="1" outlineLevel="1" x14ac:dyDescent="0.25">
      <c r="A118" s="44"/>
      <c r="B118" s="11" t="str">
        <f>CONCATENATE("          ", "4292", " - ", "SALES RETURN TAXABLE-GRAD MERC")</f>
        <v xml:space="preserve">          4292 - SALES RETURN TAXABLE-GRAD MERC</v>
      </c>
      <c r="C118" s="11"/>
      <c r="D118" s="2">
        <f t="shared" si="21"/>
        <v>0</v>
      </c>
      <c r="E118" s="2"/>
      <c r="F118" s="19"/>
      <c r="G118" s="2"/>
      <c r="H118" s="2">
        <f>-9.95</f>
        <v>-9.9499999999999993</v>
      </c>
      <c r="I118" s="2"/>
      <c r="J118" s="19"/>
      <c r="K118" s="2"/>
      <c r="L118" s="2">
        <f t="shared" si="0"/>
        <v>9.9499999999999993</v>
      </c>
      <c r="M118" s="2"/>
      <c r="N118" s="19">
        <f t="shared" si="1"/>
        <v>-1</v>
      </c>
      <c r="O118" s="11"/>
      <c r="P118" s="2">
        <f t="shared" si="22"/>
        <v>0</v>
      </c>
      <c r="Q118" s="2"/>
      <c r="R118" s="19"/>
      <c r="S118" s="2"/>
      <c r="T118" s="2">
        <f>-419.05</f>
        <v>-419.05</v>
      </c>
      <c r="U118" s="2"/>
      <c r="V118" s="19"/>
      <c r="W118" s="2"/>
      <c r="X118" s="2">
        <f t="shared" si="2"/>
        <v>419.05</v>
      </c>
      <c r="Y118" s="2"/>
      <c r="Z118" s="19">
        <f t="shared" si="3"/>
        <v>-1</v>
      </c>
    </row>
    <row r="119" spans="1:26" s="24" customFormat="1" hidden="1" outlineLevel="1" x14ac:dyDescent="0.25">
      <c r="A119" s="44"/>
      <c r="B119" s="11" t="str">
        <f>CONCATENATE("          ", "4295", " - ", "SALES RETURN TAXABLE-CUSTOMER")</f>
        <v xml:space="preserve">          4295 - SALES RETURN TAXABLE-CUSTOMER</v>
      </c>
      <c r="C119" s="11"/>
      <c r="D119" s="2">
        <f t="shared" si="21"/>
        <v>0</v>
      </c>
      <c r="E119" s="2"/>
      <c r="F119" s="19"/>
      <c r="G119" s="2"/>
      <c r="H119" s="2">
        <f t="shared" ref="H119:H122" si="23">0</f>
        <v>0</v>
      </c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 t="shared" si="22"/>
        <v>0</v>
      </c>
      <c r="Q119" s="2"/>
      <c r="R119" s="19"/>
      <c r="S119" s="2"/>
      <c r="T119" s="2">
        <f>--0.99</f>
        <v>0.99</v>
      </c>
      <c r="U119" s="2"/>
      <c r="V119" s="19"/>
      <c r="W119" s="2"/>
      <c r="X119" s="2">
        <f t="shared" si="2"/>
        <v>-0.99</v>
      </c>
      <c r="Y119" s="2"/>
      <c r="Z119" s="19">
        <f t="shared" si="3"/>
        <v>-1</v>
      </c>
    </row>
    <row r="120" spans="1:26" s="24" customFormat="1" hidden="1" outlineLevel="1" x14ac:dyDescent="0.25">
      <c r="A120" s="44"/>
      <c r="B120" s="11" t="str">
        <f>CONCATENATE("          ", "4301", " - ", "SALES RETURN NON TAXABLE-NEW T")</f>
        <v xml:space="preserve">          4301 - SALES RETURN NON TAXABLE-NEW T</v>
      </c>
      <c r="C120" s="11"/>
      <c r="D120" s="2">
        <f t="shared" si="21"/>
        <v>0</v>
      </c>
      <c r="E120" s="2"/>
      <c r="F120" s="19"/>
      <c r="G120" s="2"/>
      <c r="H120" s="2">
        <f t="shared" si="23"/>
        <v>0</v>
      </c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-2376.17</f>
        <v>-2376.17</v>
      </c>
      <c r="Q120" s="2"/>
      <c r="R120" s="19"/>
      <c r="S120" s="2"/>
      <c r="T120" s="2">
        <f>-12310.98</f>
        <v>-12310.98</v>
      </c>
      <c r="U120" s="2"/>
      <c r="V120" s="19"/>
      <c r="W120" s="2"/>
      <c r="X120" s="2">
        <f t="shared" si="2"/>
        <v>9934.81</v>
      </c>
      <c r="Y120" s="2"/>
      <c r="Z120" s="19">
        <f t="shared" si="3"/>
        <v>-0.80698774589837685</v>
      </c>
    </row>
    <row r="121" spans="1:26" s="24" customFormat="1" hidden="1" outlineLevel="1" x14ac:dyDescent="0.25">
      <c r="A121" s="44"/>
      <c r="B121" s="11" t="str">
        <f>CONCATENATE("          ", "4302", " - ", "SALES RETURN NON TAXABLE-TEXT")</f>
        <v xml:space="preserve">          4302 - SALES RETURN NON TAXABLE-TEXT</v>
      </c>
      <c r="C121" s="11"/>
      <c r="D121" s="2">
        <f>-76.05</f>
        <v>-76.05</v>
      </c>
      <c r="E121" s="2"/>
      <c r="F121" s="19"/>
      <c r="G121" s="2"/>
      <c r="H121" s="2">
        <f t="shared" si="23"/>
        <v>0</v>
      </c>
      <c r="I121" s="2"/>
      <c r="J121" s="19"/>
      <c r="K121" s="2"/>
      <c r="L121" s="2">
        <f t="shared" si="0"/>
        <v>-76.05</v>
      </c>
      <c r="M121" s="2"/>
      <c r="N121" s="19">
        <f t="shared" si="1"/>
        <v>0</v>
      </c>
      <c r="O121" s="11"/>
      <c r="P121" s="2">
        <f>-1392.85</f>
        <v>-1392.85</v>
      </c>
      <c r="Q121" s="2"/>
      <c r="R121" s="19"/>
      <c r="S121" s="2"/>
      <c r="T121" s="2">
        <f>-683.8</f>
        <v>-683.8</v>
      </c>
      <c r="U121" s="2"/>
      <c r="V121" s="19"/>
      <c r="W121" s="2"/>
      <c r="X121" s="2">
        <f t="shared" si="2"/>
        <v>-709.05</v>
      </c>
      <c r="Y121" s="2"/>
      <c r="Z121" s="19">
        <f t="shared" si="3"/>
        <v>1.0369260017548991</v>
      </c>
    </row>
    <row r="122" spans="1:26" s="24" customFormat="1" hidden="1" outlineLevel="1" x14ac:dyDescent="0.25">
      <c r="A122" s="44"/>
      <c r="B122" s="11" t="str">
        <f>CONCATENATE("          ", "4303", " - ", "SALES RETURN NON-TAXABLE-RENTA")</f>
        <v xml:space="preserve">          4303 - SALES RETURN NON-TAXABLE-RENTA</v>
      </c>
      <c r="C122" s="11"/>
      <c r="D122" s="2">
        <f>0</f>
        <v>0</v>
      </c>
      <c r="E122" s="2"/>
      <c r="F122" s="19"/>
      <c r="G122" s="2"/>
      <c r="H122" s="2">
        <f t="shared" si="23"/>
        <v>0</v>
      </c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1"/>
      <c r="P122" s="2">
        <f>0</f>
        <v>0</v>
      </c>
      <c r="Q122" s="2"/>
      <c r="R122" s="19"/>
      <c r="S122" s="2"/>
      <c r="T122" s="2">
        <f>-184.99</f>
        <v>-184.99</v>
      </c>
      <c r="U122" s="2"/>
      <c r="V122" s="19"/>
      <c r="W122" s="2"/>
      <c r="X122" s="2">
        <f t="shared" si="2"/>
        <v>184.99</v>
      </c>
      <c r="Y122" s="2"/>
      <c r="Z122" s="19">
        <f t="shared" si="3"/>
        <v>-1</v>
      </c>
    </row>
    <row r="123" spans="1:26" s="24" customFormat="1" hidden="1" outlineLevel="1" x14ac:dyDescent="0.25">
      <c r="A123" s="44"/>
      <c r="B123" s="11" t="str">
        <f>CONCATENATE("          ", "4304", " - ", "SALES RETURN NON TAXABLE-DIGIT")</f>
        <v xml:space="preserve">          4304 - SALES RETURN NON TAXABLE-DIGIT</v>
      </c>
      <c r="C123" s="11"/>
      <c r="D123" s="2">
        <f>-176.43</f>
        <v>-176.43</v>
      </c>
      <c r="E123" s="2"/>
      <c r="F123" s="19"/>
      <c r="G123" s="2"/>
      <c r="H123" s="2">
        <f>-70.58</f>
        <v>-70.58</v>
      </c>
      <c r="I123" s="2"/>
      <c r="J123" s="19"/>
      <c r="K123" s="2"/>
      <c r="L123" s="2">
        <f t="shared" si="0"/>
        <v>-105.85000000000001</v>
      </c>
      <c r="M123" s="2"/>
      <c r="N123" s="19">
        <f t="shared" si="1"/>
        <v>1.4997166336072543</v>
      </c>
      <c r="O123" s="11"/>
      <c r="P123" s="2">
        <f>-14278.54</f>
        <v>-14278.54</v>
      </c>
      <c r="Q123" s="2"/>
      <c r="R123" s="19"/>
      <c r="S123" s="2"/>
      <c r="T123" s="2">
        <f>-13203.87</f>
        <v>-13203.87</v>
      </c>
      <c r="U123" s="2"/>
      <c r="V123" s="19"/>
      <c r="W123" s="2"/>
      <c r="X123" s="2">
        <f t="shared" si="2"/>
        <v>-1074.67</v>
      </c>
      <c r="Y123" s="2"/>
      <c r="Z123" s="19">
        <f t="shared" si="3"/>
        <v>8.1390531715322859E-2</v>
      </c>
    </row>
    <row r="124" spans="1:26" s="24" customFormat="1" hidden="1" outlineLevel="1" x14ac:dyDescent="0.25">
      <c r="A124" s="44"/>
      <c r="B124" s="11" t="str">
        <f>CONCATENATE("          ", "4311", " - ", "SALES RETURN NON TAXABLE-NO VA")</f>
        <v xml:space="preserve">          4311 - SALES RETURN NON TAXABLE-NO VA</v>
      </c>
      <c r="C124" s="11"/>
      <c r="D124" s="2">
        <f t="shared" ref="D124:D125" si="24">0</f>
        <v>0</v>
      </c>
      <c r="E124" s="2"/>
      <c r="F124" s="19"/>
      <c r="G124" s="2"/>
      <c r="H124" s="2">
        <f t="shared" ref="H124:H125" si="25">0</f>
        <v>0</v>
      </c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1"/>
      <c r="P124" s="2">
        <f t="shared" ref="P124:P125" si="26">0</f>
        <v>0</v>
      </c>
      <c r="Q124" s="2"/>
      <c r="R124" s="19"/>
      <c r="S124" s="2"/>
      <c r="T124" s="2">
        <f>-387.96</f>
        <v>-387.96</v>
      </c>
      <c r="U124" s="2"/>
      <c r="V124" s="19"/>
      <c r="W124" s="2"/>
      <c r="X124" s="2">
        <f t="shared" si="2"/>
        <v>387.96</v>
      </c>
      <c r="Y124" s="2"/>
      <c r="Z124" s="19">
        <f t="shared" si="3"/>
        <v>-1</v>
      </c>
    </row>
    <row r="125" spans="1:26" s="24" customFormat="1" hidden="1" outlineLevel="1" x14ac:dyDescent="0.25">
      <c r="A125" s="44"/>
      <c r="B125" s="11" t="str">
        <f>CONCATENATE("          ", "4327", " - ", "SALES RETURN NON TAXABLE-SCHOO")</f>
        <v xml:space="preserve">          4327 - SALES RETURN NON TAXABLE-SCHOO</v>
      </c>
      <c r="C125" s="11"/>
      <c r="D125" s="2">
        <f t="shared" si="24"/>
        <v>0</v>
      </c>
      <c r="E125" s="2"/>
      <c r="F125" s="19"/>
      <c r="G125" s="2"/>
      <c r="H125" s="2">
        <f t="shared" si="25"/>
        <v>0</v>
      </c>
      <c r="I125" s="2"/>
      <c r="J125" s="19"/>
      <c r="K125" s="2"/>
      <c r="L125" s="2">
        <f t="shared" si="0"/>
        <v>0</v>
      </c>
      <c r="M125" s="2"/>
      <c r="N125" s="19">
        <f t="shared" si="1"/>
        <v>0</v>
      </c>
      <c r="O125" s="11"/>
      <c r="P125" s="2">
        <f t="shared" si="26"/>
        <v>0</v>
      </c>
      <c r="Q125" s="2"/>
      <c r="R125" s="19"/>
      <c r="S125" s="2"/>
      <c r="T125" s="2">
        <f>-21.87</f>
        <v>-21.87</v>
      </c>
      <c r="U125" s="2"/>
      <c r="V125" s="19"/>
      <c r="W125" s="2"/>
      <c r="X125" s="2">
        <f t="shared" si="2"/>
        <v>21.87</v>
      </c>
      <c r="Y125" s="2"/>
      <c r="Z125" s="19">
        <f t="shared" si="3"/>
        <v>-1</v>
      </c>
    </row>
    <row r="126" spans="1:26" s="24" customFormat="1" hidden="1" outlineLevel="1" x14ac:dyDescent="0.25">
      <c r="A126" s="44"/>
      <c r="B126" s="11" t="str">
        <f>CONCATENATE("          ", "4340", " - ", "SALES RETURN NON TAXABLE-LOGO")</f>
        <v xml:space="preserve">          4340 - SALES RETURN NON TAXABLE-LOGO</v>
      </c>
      <c r="C126" s="11"/>
      <c r="D126" s="2">
        <f>-203.75</f>
        <v>-203.75</v>
      </c>
      <c r="E126" s="2"/>
      <c r="F126" s="19"/>
      <c r="G126" s="2"/>
      <c r="H126" s="2">
        <f>-29.95</f>
        <v>-29.95</v>
      </c>
      <c r="I126" s="2"/>
      <c r="J126" s="19"/>
      <c r="K126" s="2"/>
      <c r="L126" s="2">
        <f t="shared" si="0"/>
        <v>-173.8</v>
      </c>
      <c r="M126" s="2"/>
      <c r="N126" s="19">
        <f t="shared" si="1"/>
        <v>5.8030050083472462</v>
      </c>
      <c r="O126" s="11"/>
      <c r="P126" s="2">
        <f>-940.48</f>
        <v>-940.48</v>
      </c>
      <c r="Q126" s="2"/>
      <c r="R126" s="19"/>
      <c r="S126" s="2"/>
      <c r="T126" s="2">
        <f>-323.4</f>
        <v>-323.39999999999998</v>
      </c>
      <c r="U126" s="2"/>
      <c r="V126" s="19"/>
      <c r="W126" s="2"/>
      <c r="X126" s="2">
        <f t="shared" si="2"/>
        <v>-617.08000000000004</v>
      </c>
      <c r="Y126" s="2"/>
      <c r="Z126" s="19">
        <f t="shared" si="3"/>
        <v>1.9081014223871369</v>
      </c>
    </row>
    <row r="127" spans="1:26" s="24" customFormat="1" hidden="1" outlineLevel="1" x14ac:dyDescent="0.25">
      <c r="A127" s="44"/>
      <c r="B127" s="11" t="str">
        <f>CONCATENATE("          ", "4341", " - ", "SALES RETURN NON TAXABLE-LOGO")</f>
        <v xml:space="preserve">          4341 - SALES RETURN NON TAXABLE-LOGO</v>
      </c>
      <c r="C127" s="11"/>
      <c r="D127" s="2">
        <f>-154.89</f>
        <v>-154.88999999999999</v>
      </c>
      <c r="E127" s="2"/>
      <c r="F127" s="19"/>
      <c r="G127" s="2"/>
      <c r="H127" s="2">
        <f>0</f>
        <v>0</v>
      </c>
      <c r="I127" s="2"/>
      <c r="J127" s="19"/>
      <c r="K127" s="2"/>
      <c r="L127" s="2">
        <f t="shared" si="0"/>
        <v>-154.88999999999999</v>
      </c>
      <c r="M127" s="2"/>
      <c r="N127" s="19">
        <f t="shared" si="1"/>
        <v>0</v>
      </c>
      <c r="O127" s="11"/>
      <c r="P127" s="2">
        <f>-301.79</f>
        <v>-301.79000000000002</v>
      </c>
      <c r="Q127" s="2"/>
      <c r="R127" s="19"/>
      <c r="S127" s="2"/>
      <c r="T127" s="2">
        <f>-10.9</f>
        <v>-10.9</v>
      </c>
      <c r="U127" s="2"/>
      <c r="V127" s="19"/>
      <c r="W127" s="2"/>
      <c r="X127" s="2">
        <f t="shared" si="2"/>
        <v>-290.89000000000004</v>
      </c>
      <c r="Y127" s="2"/>
      <c r="Z127" s="19">
        <f t="shared" si="3"/>
        <v>26.687155963302754</v>
      </c>
    </row>
    <row r="128" spans="1:26" s="24" customFormat="1" hidden="1" outlineLevel="1" x14ac:dyDescent="0.25">
      <c r="A128" s="44"/>
      <c r="B128" s="11" t="str">
        <f>CONCATENATE("          ", "4342", " - ", "SALES RETURN NON TAXABLE-EVERY")</f>
        <v xml:space="preserve">          4342 - SALES RETURN NON TAXABLE-EVERY</v>
      </c>
      <c r="C128" s="11"/>
      <c r="D128" s="2">
        <f t="shared" ref="D128:D132" si="27">0</f>
        <v>0</v>
      </c>
      <c r="E128" s="2"/>
      <c r="F128" s="19"/>
      <c r="G128" s="2"/>
      <c r="H128" s="2">
        <f>-6.95</f>
        <v>-6.95</v>
      </c>
      <c r="I128" s="2"/>
      <c r="J128" s="19"/>
      <c r="K128" s="2"/>
      <c r="L128" s="2">
        <f t="shared" si="0"/>
        <v>6.95</v>
      </c>
      <c r="M128" s="2"/>
      <c r="N128" s="19">
        <f t="shared" si="1"/>
        <v>-1</v>
      </c>
      <c r="O128" s="11"/>
      <c r="P128" s="2">
        <f>-118.7</f>
        <v>-118.7</v>
      </c>
      <c r="Q128" s="2"/>
      <c r="R128" s="19"/>
      <c r="S128" s="2"/>
      <c r="T128" s="2">
        <f>-109.8</f>
        <v>-109.8</v>
      </c>
      <c r="U128" s="2"/>
      <c r="V128" s="19"/>
      <c r="W128" s="2"/>
      <c r="X128" s="2">
        <f t="shared" si="2"/>
        <v>-8.9000000000000057</v>
      </c>
      <c r="Y128" s="2"/>
      <c r="Z128" s="19">
        <f t="shared" si="3"/>
        <v>8.1056466302367999E-2</v>
      </c>
    </row>
    <row r="129" spans="1:26" s="24" customFormat="1" hidden="1" outlineLevel="1" x14ac:dyDescent="0.25">
      <c r="A129" s="44"/>
      <c r="B129" s="11" t="str">
        <f>CONCATENATE("          ", "4346", " - ", "SALES RETURN NON TAXABLE-COIN-")</f>
        <v xml:space="preserve">          4346 - SALES RETURN NON TAXABLE-COIN-</v>
      </c>
      <c r="C129" s="11"/>
      <c r="D129" s="2">
        <f t="shared" si="27"/>
        <v>0</v>
      </c>
      <c r="E129" s="2"/>
      <c r="F129" s="19"/>
      <c r="G129" s="2"/>
      <c r="H129" s="2">
        <f t="shared" ref="H129:H132" si="28">0</f>
        <v>0</v>
      </c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1"/>
      <c r="P129" s="2">
        <f>0</f>
        <v>0</v>
      </c>
      <c r="Q129" s="2"/>
      <c r="R129" s="19"/>
      <c r="S129" s="2"/>
      <c r="T129" s="2">
        <f>-8.15</f>
        <v>-8.15</v>
      </c>
      <c r="U129" s="2"/>
      <c r="V129" s="19"/>
      <c r="W129" s="2"/>
      <c r="X129" s="2">
        <f t="shared" si="2"/>
        <v>8.15</v>
      </c>
      <c r="Y129" s="2"/>
      <c r="Z129" s="19">
        <f t="shared" si="3"/>
        <v>-1</v>
      </c>
    </row>
    <row r="130" spans="1:26" s="24" customFormat="1" hidden="1" outlineLevel="1" x14ac:dyDescent="0.25">
      <c r="A130" s="44"/>
      <c r="B130" s="11" t="str">
        <f>CONCATENATE("          ", "4381", " - ", "SALES RETURN NON TAXABLE-ELECT")</f>
        <v xml:space="preserve">          4381 - SALES RETURN NON TAXABLE-ELECT</v>
      </c>
      <c r="C130" s="11"/>
      <c r="D130" s="2">
        <f t="shared" si="27"/>
        <v>0</v>
      </c>
      <c r="E130" s="2"/>
      <c r="F130" s="19"/>
      <c r="G130" s="2"/>
      <c r="H130" s="2">
        <f t="shared" si="28"/>
        <v>0</v>
      </c>
      <c r="I130" s="2"/>
      <c r="J130" s="19"/>
      <c r="K130" s="2"/>
      <c r="L130" s="2">
        <f t="shared" si="0"/>
        <v>0</v>
      </c>
      <c r="M130" s="2"/>
      <c r="N130" s="19">
        <f t="shared" si="1"/>
        <v>0</v>
      </c>
      <c r="O130" s="11"/>
      <c r="P130" s="2">
        <f>-5624.15</f>
        <v>-5624.15</v>
      </c>
      <c r="Q130" s="2"/>
      <c r="R130" s="19"/>
      <c r="S130" s="2"/>
      <c r="T130" s="2">
        <f>-1279.84</f>
        <v>-1279.8399999999999</v>
      </c>
      <c r="U130" s="2"/>
      <c r="V130" s="19"/>
      <c r="W130" s="2"/>
      <c r="X130" s="2">
        <f t="shared" si="2"/>
        <v>-4344.3099999999995</v>
      </c>
      <c r="Y130" s="2"/>
      <c r="Z130" s="19">
        <f t="shared" si="3"/>
        <v>3.3944164895611948</v>
      </c>
    </row>
    <row r="131" spans="1:26" s="24" customFormat="1" hidden="1" outlineLevel="1" x14ac:dyDescent="0.25">
      <c r="A131" s="44"/>
      <c r="B131" s="11" t="str">
        <f>CONCATENATE("          ", "4383", " - ", "SALES RETURN NON TAXABLE-COMPU")</f>
        <v xml:space="preserve">          4383 - SALES RETURN NON TAXABLE-COMPU</v>
      </c>
      <c r="C131" s="11"/>
      <c r="D131" s="2">
        <f t="shared" si="27"/>
        <v>0</v>
      </c>
      <c r="E131" s="2"/>
      <c r="F131" s="19"/>
      <c r="G131" s="2"/>
      <c r="H131" s="2">
        <f t="shared" si="28"/>
        <v>0</v>
      </c>
      <c r="I131" s="2"/>
      <c r="J131" s="19"/>
      <c r="K131" s="2"/>
      <c r="L131" s="2">
        <f t="shared" si="0"/>
        <v>0</v>
      </c>
      <c r="M131" s="2"/>
      <c r="N131" s="19">
        <f t="shared" si="1"/>
        <v>0</v>
      </c>
      <c r="O131" s="11"/>
      <c r="P131" s="2">
        <f t="shared" ref="P131:P132" si="29">0</f>
        <v>0</v>
      </c>
      <c r="Q131" s="2"/>
      <c r="R131" s="19"/>
      <c r="S131" s="2"/>
      <c r="T131" s="2">
        <f>-49.98</f>
        <v>-49.98</v>
      </c>
      <c r="U131" s="2"/>
      <c r="V131" s="19"/>
      <c r="W131" s="2"/>
      <c r="X131" s="2">
        <f t="shared" si="2"/>
        <v>49.98</v>
      </c>
      <c r="Y131" s="2"/>
      <c r="Z131" s="19">
        <f t="shared" si="3"/>
        <v>-1</v>
      </c>
    </row>
    <row r="132" spans="1:26" s="24" customFormat="1" hidden="1" outlineLevel="1" x14ac:dyDescent="0.25">
      <c r="A132" s="44"/>
      <c r="B132" s="11" t="str">
        <f>CONCATENATE("          ", "4386", " - ", "SALES RETURN NON TAXABLE-COMPU")</f>
        <v xml:space="preserve">          4386 - SALES RETURN NON TAXABLE-COMPU</v>
      </c>
      <c r="C132" s="11"/>
      <c r="D132" s="2">
        <f t="shared" si="27"/>
        <v>0</v>
      </c>
      <c r="E132" s="2"/>
      <c r="F132" s="19"/>
      <c r="G132" s="2"/>
      <c r="H132" s="2">
        <f t="shared" si="28"/>
        <v>0</v>
      </c>
      <c r="I132" s="2"/>
      <c r="J132" s="19"/>
      <c r="K132" s="2"/>
      <c r="L132" s="2">
        <f t="shared" si="0"/>
        <v>0</v>
      </c>
      <c r="M132" s="2"/>
      <c r="N132" s="19">
        <f t="shared" si="1"/>
        <v>0</v>
      </c>
      <c r="O132" s="11"/>
      <c r="P132" s="2">
        <f t="shared" si="29"/>
        <v>0</v>
      </c>
      <c r="Q132" s="2"/>
      <c r="R132" s="19"/>
      <c r="S132" s="2"/>
      <c r="T132" s="2">
        <f>-54.97</f>
        <v>-54.97</v>
      </c>
      <c r="U132" s="2"/>
      <c r="V132" s="19"/>
      <c r="W132" s="2"/>
      <c r="X132" s="2">
        <f t="shared" si="2"/>
        <v>54.97</v>
      </c>
      <c r="Y132" s="2"/>
      <c r="Z132" s="19">
        <f t="shared" si="3"/>
        <v>-1</v>
      </c>
    </row>
    <row r="133" spans="1:26" x14ac:dyDescent="0.25">
      <c r="A133" s="9"/>
      <c r="B133" s="10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collapsed="1" x14ac:dyDescent="0.25">
      <c r="A134" s="10"/>
      <c r="B134" s="29" t="s">
        <v>8</v>
      </c>
      <c r="C134" s="10"/>
      <c r="D134" s="4">
        <f>SUM(OSRRefD16x_0)</f>
        <v>165810.11999999997</v>
      </c>
      <c r="E134" s="4"/>
      <c r="F134" s="12">
        <f t="shared" ref="F134:F193" si="30">IF(D$12=0,0,D134/D$12)</f>
        <v>0.41923460423280728</v>
      </c>
      <c r="G134" s="4"/>
      <c r="H134" s="4">
        <f>SUM(OSRRefH16x_0)</f>
        <v>943425.60999999987</v>
      </c>
      <c r="I134" s="4"/>
      <c r="J134" s="12">
        <f t="shared" ref="J134:J193" si="31">IF(H$12=0,0,H134/H$12)</f>
        <v>0.35776375418673478</v>
      </c>
      <c r="K134" s="4"/>
      <c r="L134" s="4">
        <f t="shared" ref="L134:L193" si="32">+D134-H134</f>
        <v>-777615.48999999987</v>
      </c>
      <c r="M134" s="4"/>
      <c r="N134" s="12">
        <f t="shared" ref="N134:N193" si="33">IF(H134=0,0,L134/H134)</f>
        <v>-0.82424674691627253</v>
      </c>
      <c r="O134" s="10"/>
      <c r="P134" s="4">
        <f>SUM(OSRRefP16x_0)</f>
        <v>2983164.63</v>
      </c>
      <c r="Q134" s="4"/>
      <c r="R134" s="12">
        <f t="shared" ref="R134:R193" si="34">IF(P$12=0,0,P134/P$12)</f>
        <v>0.6402486871966957</v>
      </c>
      <c r="S134" s="4"/>
      <c r="T134" s="4">
        <f>SUM(OSRRefT16x_0)</f>
        <v>7187714.1800000016</v>
      </c>
      <c r="U134" s="4"/>
      <c r="V134" s="12">
        <f t="shared" ref="V134:V193" si="35">IF(T$12=0,0,T134/T$12)</f>
        <v>0.44659693631912456</v>
      </c>
      <c r="W134" s="4"/>
      <c r="X134" s="4">
        <f t="shared" ref="X134:X193" si="36">+P134-T134</f>
        <v>-4204549.5500000017</v>
      </c>
      <c r="Y134" s="4"/>
      <c r="Z134" s="12">
        <f t="shared" ref="Z134:Z193" si="37">IF(T134=0,0,X134/T134)</f>
        <v>-0.58496337565832379</v>
      </c>
    </row>
    <row r="135" spans="1:26" s="24" customFormat="1" hidden="1" outlineLevel="1" x14ac:dyDescent="0.25">
      <c r="A135" s="44"/>
      <c r="B135" s="11" t="str">
        <f>CONCATENATE("          ", "5001", " - ", "PURCHASES @ COST-NEW TEXT")</f>
        <v xml:space="preserve">          5001 - PURCHASES @ COST-NEW TEXT</v>
      </c>
      <c r="C135" s="11"/>
      <c r="D135" s="2">
        <v>-108601.35</v>
      </c>
      <c r="E135" s="2"/>
      <c r="F135" s="19">
        <f t="shared" si="30"/>
        <v>-0.27458784775258949</v>
      </c>
      <c r="G135" s="2"/>
      <c r="H135" s="2">
        <v>-175297.72999999998</v>
      </c>
      <c r="I135" s="2"/>
      <c r="J135" s="19">
        <f t="shared" si="31"/>
        <v>-6.6476013922510124E-2</v>
      </c>
      <c r="K135" s="2"/>
      <c r="L135" s="2">
        <f t="shared" si="32"/>
        <v>66696.379999999976</v>
      </c>
      <c r="M135" s="2"/>
      <c r="N135" s="19">
        <f t="shared" si="33"/>
        <v>-0.38047486410691106</v>
      </c>
      <c r="O135" s="11"/>
      <c r="P135" s="2">
        <v>1240595.48</v>
      </c>
      <c r="Q135" s="2"/>
      <c r="R135" s="19">
        <f t="shared" si="34"/>
        <v>0.26625738969429741</v>
      </c>
      <c r="S135" s="2"/>
      <c r="T135" s="2">
        <v>1581850.69</v>
      </c>
      <c r="U135" s="2"/>
      <c r="V135" s="19">
        <f t="shared" si="35"/>
        <v>9.8285721187134495E-2</v>
      </c>
      <c r="W135" s="2"/>
      <c r="X135" s="2">
        <f t="shared" si="36"/>
        <v>-341255.20999999996</v>
      </c>
      <c r="Y135" s="2"/>
      <c r="Z135" s="19">
        <f t="shared" si="37"/>
        <v>-0.21573161876611754</v>
      </c>
    </row>
    <row r="136" spans="1:26" s="24" customFormat="1" hidden="1" outlineLevel="1" x14ac:dyDescent="0.25">
      <c r="A136" s="44"/>
      <c r="B136" s="11" t="str">
        <f>CONCATENATE("          ", "5002", " - ", "PURCHASES @ COST-USED TEXT")</f>
        <v xml:space="preserve">          5002 - PURCHASES @ COST-USED TEXT</v>
      </c>
      <c r="C136" s="11"/>
      <c r="D136" s="2">
        <v>-208829.28</v>
      </c>
      <c r="E136" s="2"/>
      <c r="F136" s="19">
        <f t="shared" si="30"/>
        <v>-0.52800432538751019</v>
      </c>
      <c r="G136" s="2"/>
      <c r="H136" s="2">
        <v>-155785.26999999999</v>
      </c>
      <c r="I136" s="2"/>
      <c r="J136" s="19">
        <f t="shared" si="31"/>
        <v>-5.9076542391290517E-2</v>
      </c>
      <c r="K136" s="2"/>
      <c r="L136" s="2">
        <f t="shared" si="32"/>
        <v>-53044.010000000009</v>
      </c>
      <c r="M136" s="2"/>
      <c r="N136" s="19">
        <f t="shared" si="33"/>
        <v>0.34049438692117689</v>
      </c>
      <c r="O136" s="11"/>
      <c r="P136" s="2">
        <v>94234.05</v>
      </c>
      <c r="Q136" s="2"/>
      <c r="R136" s="19">
        <f t="shared" si="34"/>
        <v>2.0224571649512951E-2</v>
      </c>
      <c r="S136" s="2"/>
      <c r="T136" s="2">
        <v>212247.9</v>
      </c>
      <c r="U136" s="2"/>
      <c r="V136" s="19">
        <f t="shared" si="35"/>
        <v>1.3187678239059846E-2</v>
      </c>
      <c r="W136" s="2"/>
      <c r="X136" s="2">
        <f t="shared" si="36"/>
        <v>-118013.84999999999</v>
      </c>
      <c r="Y136" s="2"/>
      <c r="Z136" s="19">
        <f t="shared" si="37"/>
        <v>-0.55601892880918957</v>
      </c>
    </row>
    <row r="137" spans="1:26" s="24" customFormat="1" hidden="1" outlineLevel="1" x14ac:dyDescent="0.25">
      <c r="A137" s="44"/>
      <c r="B137" s="11" t="str">
        <f>CONCATENATE("          ", "5003", " - ", "PURCHASES @ COST-RENTAL TEXT")</f>
        <v xml:space="preserve">          5003 - PURCHASES @ COST-RENTAL TEXT</v>
      </c>
      <c r="C137" s="11"/>
      <c r="D137" s="2">
        <v>517.92999999999995</v>
      </c>
      <c r="E137" s="2"/>
      <c r="F137" s="19">
        <f t="shared" si="30"/>
        <v>1.3095351391718304E-3</v>
      </c>
      <c r="G137" s="2"/>
      <c r="H137" s="2"/>
      <c r="I137" s="2"/>
      <c r="J137" s="19">
        <f t="shared" si="31"/>
        <v>0</v>
      </c>
      <c r="K137" s="2"/>
      <c r="L137" s="2">
        <f t="shared" si="32"/>
        <v>517.92999999999995</v>
      </c>
      <c r="M137" s="2"/>
      <c r="N137" s="19">
        <f t="shared" si="33"/>
        <v>0</v>
      </c>
      <c r="O137" s="11"/>
      <c r="P137" s="2">
        <v>32.520000000000003</v>
      </c>
      <c r="Q137" s="2"/>
      <c r="R137" s="19">
        <f t="shared" si="34"/>
        <v>6.9794630501624536E-6</v>
      </c>
      <c r="S137" s="2"/>
      <c r="T137" s="2">
        <v>-78.400000000000006</v>
      </c>
      <c r="U137" s="2"/>
      <c r="V137" s="19">
        <f t="shared" si="35"/>
        <v>-4.8712565539743485E-6</v>
      </c>
      <c r="W137" s="2"/>
      <c r="X137" s="2">
        <f t="shared" si="36"/>
        <v>110.92000000000002</v>
      </c>
      <c r="Y137" s="2"/>
      <c r="Z137" s="19">
        <f t="shared" si="37"/>
        <v>-1.4147959183673471</v>
      </c>
    </row>
    <row r="138" spans="1:26" s="24" customFormat="1" hidden="1" outlineLevel="1" x14ac:dyDescent="0.25">
      <c r="A138" s="44"/>
      <c r="B138" s="11" t="str">
        <f>CONCATENATE("          ", "5004", " - ", "PURCHASES @ COST-DIGITAL TEXT")</f>
        <v xml:space="preserve">          5004 - PURCHASES @ COST-DIGITAL TEXT</v>
      </c>
      <c r="C138" s="11"/>
      <c r="D138" s="2">
        <v>1418.58</v>
      </c>
      <c r="E138" s="2"/>
      <c r="F138" s="19">
        <f t="shared" si="30"/>
        <v>3.5867402114694558E-3</v>
      </c>
      <c r="G138" s="2"/>
      <c r="H138" s="2">
        <v>0.94</v>
      </c>
      <c r="I138" s="2"/>
      <c r="J138" s="19">
        <f t="shared" si="31"/>
        <v>3.5646470200817499E-7</v>
      </c>
      <c r="K138" s="2"/>
      <c r="L138" s="2">
        <f t="shared" si="32"/>
        <v>1417.6399999999999</v>
      </c>
      <c r="M138" s="2"/>
      <c r="N138" s="19">
        <f t="shared" si="33"/>
        <v>1508.127659574468</v>
      </c>
      <c r="O138" s="11"/>
      <c r="P138" s="2">
        <v>196938.11000000002</v>
      </c>
      <c r="Q138" s="2"/>
      <c r="R138" s="19">
        <f t="shared" si="34"/>
        <v>4.2266982223672471E-2</v>
      </c>
      <c r="S138" s="2"/>
      <c r="T138" s="2">
        <v>322779.97000000003</v>
      </c>
      <c r="U138" s="2"/>
      <c r="V138" s="19">
        <f t="shared" si="35"/>
        <v>2.0055408729006931E-2</v>
      </c>
      <c r="W138" s="2"/>
      <c r="X138" s="2">
        <f t="shared" si="36"/>
        <v>-125841.86000000002</v>
      </c>
      <c r="Y138" s="2"/>
      <c r="Z138" s="19">
        <f t="shared" si="37"/>
        <v>-0.3898688633002847</v>
      </c>
    </row>
    <row r="139" spans="1:26" s="24" customFormat="1" hidden="1" outlineLevel="1" x14ac:dyDescent="0.25">
      <c r="A139" s="44"/>
      <c r="B139" s="11" t="str">
        <f>CONCATENATE("          ", "5011", " - ", "PURCHASES @ COST-NO VALUE TEXT")</f>
        <v xml:space="preserve">          5011 - PURCHASES @ COST-NO VALUE TEXT</v>
      </c>
      <c r="C139" s="11"/>
      <c r="D139" s="2"/>
      <c r="E139" s="2"/>
      <c r="F139" s="19">
        <f t="shared" si="30"/>
        <v>0</v>
      </c>
      <c r="G139" s="2"/>
      <c r="H139" s="2">
        <v>66</v>
      </c>
      <c r="I139" s="2"/>
      <c r="J139" s="19">
        <f t="shared" si="31"/>
        <v>2.5028372694191011E-5</v>
      </c>
      <c r="K139" s="2"/>
      <c r="L139" s="2">
        <f t="shared" si="32"/>
        <v>-66</v>
      </c>
      <c r="M139" s="2"/>
      <c r="N139" s="19">
        <f t="shared" si="33"/>
        <v>-1</v>
      </c>
      <c r="O139" s="11"/>
      <c r="P139" s="2">
        <v>67.17</v>
      </c>
      <c r="Q139" s="2"/>
      <c r="R139" s="19">
        <f t="shared" si="34"/>
        <v>1.4416068052872447E-5</v>
      </c>
      <c r="S139" s="2"/>
      <c r="T139" s="2">
        <v>3741</v>
      </c>
      <c r="U139" s="2"/>
      <c r="V139" s="19">
        <f t="shared" si="35"/>
        <v>2.3244095367880147E-4</v>
      </c>
      <c r="W139" s="2"/>
      <c r="X139" s="2">
        <f t="shared" si="36"/>
        <v>-3673.83</v>
      </c>
      <c r="Y139" s="2"/>
      <c r="Z139" s="19">
        <f t="shared" si="37"/>
        <v>-0.98204490777866882</v>
      </c>
    </row>
    <row r="140" spans="1:26" s="24" customFormat="1" hidden="1" outlineLevel="1" x14ac:dyDescent="0.25">
      <c r="A140" s="44"/>
      <c r="B140" s="11" t="str">
        <f>CONCATENATE("          ", "5013", " - ", "PURCHASES @ COST-TRADE BOOKS")</f>
        <v xml:space="preserve">          5013 - PURCHASES @ COST-TRADE BOOKS</v>
      </c>
      <c r="C140" s="11"/>
      <c r="D140" s="2">
        <v>611.1</v>
      </c>
      <c r="E140" s="2"/>
      <c r="F140" s="19">
        <f t="shared" si="30"/>
        <v>1.5451063339600056E-3</v>
      </c>
      <c r="G140" s="2"/>
      <c r="H140" s="2">
        <v>10.79</v>
      </c>
      <c r="I140" s="2"/>
      <c r="J140" s="19">
        <f t="shared" si="31"/>
        <v>4.0917597177321361E-6</v>
      </c>
      <c r="K140" s="2"/>
      <c r="L140" s="2">
        <f t="shared" si="32"/>
        <v>600.31000000000006</v>
      </c>
      <c r="M140" s="2"/>
      <c r="N140" s="19">
        <f t="shared" si="33"/>
        <v>55.63577386468954</v>
      </c>
      <c r="O140" s="11"/>
      <c r="P140" s="2">
        <v>2094.7399999999998</v>
      </c>
      <c r="Q140" s="2"/>
      <c r="R140" s="19">
        <f t="shared" si="34"/>
        <v>4.4957442895748141E-4</v>
      </c>
      <c r="S140" s="2"/>
      <c r="T140" s="2">
        <v>698.14</v>
      </c>
      <c r="U140" s="2"/>
      <c r="V140" s="19">
        <f t="shared" si="35"/>
        <v>4.3377794012648614E-5</v>
      </c>
      <c r="W140" s="2"/>
      <c r="X140" s="2">
        <f t="shared" si="36"/>
        <v>1396.6</v>
      </c>
      <c r="Y140" s="2"/>
      <c r="Z140" s="19">
        <f t="shared" si="37"/>
        <v>2.0004583607872344</v>
      </c>
    </row>
    <row r="141" spans="1:26" s="24" customFormat="1" hidden="1" outlineLevel="1" x14ac:dyDescent="0.25">
      <c r="A141" s="44"/>
      <c r="B141" s="11" t="str">
        <f>CONCATENATE("          ", "5014", " - ", "PURCHASES @ COST-REMAINDERS")</f>
        <v xml:space="preserve">          5014 - PURCHASES @ COST-REMAINDERS</v>
      </c>
      <c r="C141" s="11"/>
      <c r="D141" s="2"/>
      <c r="E141" s="2"/>
      <c r="F141" s="19">
        <f t="shared" si="30"/>
        <v>0</v>
      </c>
      <c r="G141" s="2"/>
      <c r="H141" s="2">
        <v>114.84</v>
      </c>
      <c r="I141" s="2"/>
      <c r="J141" s="19">
        <f t="shared" si="31"/>
        <v>4.3549368487892366E-5</v>
      </c>
      <c r="K141" s="2"/>
      <c r="L141" s="2">
        <f t="shared" si="32"/>
        <v>-114.84</v>
      </c>
      <c r="M141" s="2"/>
      <c r="N141" s="19">
        <f t="shared" si="33"/>
        <v>-1</v>
      </c>
      <c r="O141" s="11"/>
      <c r="P141" s="2">
        <v>90.41</v>
      </c>
      <c r="Q141" s="2"/>
      <c r="R141" s="19">
        <f t="shared" si="34"/>
        <v>1.9403851610245614E-5</v>
      </c>
      <c r="S141" s="2"/>
      <c r="T141" s="2">
        <v>456.81</v>
      </c>
      <c r="U141" s="2"/>
      <c r="V141" s="19">
        <f t="shared" si="35"/>
        <v>2.8383146765574258E-5</v>
      </c>
      <c r="W141" s="2"/>
      <c r="X141" s="2">
        <f t="shared" si="36"/>
        <v>-366.4</v>
      </c>
      <c r="Y141" s="2"/>
      <c r="Z141" s="19">
        <f t="shared" si="37"/>
        <v>-0.80208401742518765</v>
      </c>
    </row>
    <row r="142" spans="1:26" s="24" customFormat="1" hidden="1" outlineLevel="1" x14ac:dyDescent="0.25">
      <c r="A142" s="44"/>
      <c r="B142" s="11" t="str">
        <f>CONCATENATE("          ", "5017", " - ", "PURCHASES @ COST-DORM/HOUSEWAR")</f>
        <v xml:space="preserve">          5017 - PURCHASES @ COST-DORM/HOUSEWAR</v>
      </c>
      <c r="C142" s="11"/>
      <c r="D142" s="2"/>
      <c r="E142" s="2"/>
      <c r="F142" s="19">
        <f t="shared" si="30"/>
        <v>0</v>
      </c>
      <c r="G142" s="2"/>
      <c r="H142" s="2"/>
      <c r="I142" s="2"/>
      <c r="J142" s="19">
        <f t="shared" si="31"/>
        <v>0</v>
      </c>
      <c r="K142" s="2"/>
      <c r="L142" s="2">
        <f t="shared" si="32"/>
        <v>0</v>
      </c>
      <c r="M142" s="2"/>
      <c r="N142" s="19">
        <f t="shared" si="33"/>
        <v>0</v>
      </c>
      <c r="O142" s="11"/>
      <c r="P142" s="2"/>
      <c r="Q142" s="2"/>
      <c r="R142" s="19">
        <f t="shared" si="34"/>
        <v>0</v>
      </c>
      <c r="S142" s="2"/>
      <c r="T142" s="2">
        <v>0</v>
      </c>
      <c r="U142" s="2"/>
      <c r="V142" s="19">
        <f t="shared" si="35"/>
        <v>0</v>
      </c>
      <c r="W142" s="2"/>
      <c r="X142" s="2">
        <f t="shared" si="36"/>
        <v>0</v>
      </c>
      <c r="Y142" s="2"/>
      <c r="Z142" s="19">
        <f t="shared" si="37"/>
        <v>0</v>
      </c>
    </row>
    <row r="143" spans="1:26" s="24" customFormat="1" hidden="1" outlineLevel="1" x14ac:dyDescent="0.25">
      <c r="A143" s="44"/>
      <c r="B143" s="11" t="str">
        <f>CONCATENATE("          ", "5018", " - ", "PURCHASES @ COST-STUDY GUIDES")</f>
        <v xml:space="preserve">          5018 - PURCHASES @ COST-STUDY GUIDES</v>
      </c>
      <c r="C143" s="11"/>
      <c r="D143" s="2">
        <v>106.34</v>
      </c>
      <c r="E143" s="2"/>
      <c r="F143" s="19">
        <f t="shared" si="30"/>
        <v>2.6887024636443622E-4</v>
      </c>
      <c r="G143" s="2"/>
      <c r="H143" s="2"/>
      <c r="I143" s="2"/>
      <c r="J143" s="19">
        <f t="shared" si="31"/>
        <v>0</v>
      </c>
      <c r="K143" s="2"/>
      <c r="L143" s="2">
        <f t="shared" si="32"/>
        <v>106.34</v>
      </c>
      <c r="M143" s="2"/>
      <c r="N143" s="19">
        <f t="shared" si="33"/>
        <v>0</v>
      </c>
      <c r="O143" s="11"/>
      <c r="P143" s="2">
        <v>106.34</v>
      </c>
      <c r="Q143" s="2"/>
      <c r="R143" s="19">
        <f t="shared" si="34"/>
        <v>2.2822758325777223E-5</v>
      </c>
      <c r="S143" s="2"/>
      <c r="T143" s="2">
        <v>802.09</v>
      </c>
      <c r="U143" s="2"/>
      <c r="V143" s="19">
        <f t="shared" si="35"/>
        <v>4.9836558282873532E-5</v>
      </c>
      <c r="W143" s="2"/>
      <c r="X143" s="2">
        <f t="shared" si="36"/>
        <v>-695.75</v>
      </c>
      <c r="Y143" s="2"/>
      <c r="Z143" s="19">
        <f t="shared" si="37"/>
        <v>-0.86742136169257811</v>
      </c>
    </row>
    <row r="144" spans="1:26" s="24" customFormat="1" hidden="1" outlineLevel="1" x14ac:dyDescent="0.25">
      <c r="A144" s="44"/>
      <c r="B144" s="11" t="str">
        <f>CONCATENATE("          ", "5025", " - ", "PURCHASES @ COST-TEST FORMS")</f>
        <v xml:space="preserve">          5025 - PURCHASES @ COST-TEST FORMS</v>
      </c>
      <c r="C144" s="11"/>
      <c r="D144" s="2"/>
      <c r="E144" s="2"/>
      <c r="F144" s="19">
        <f t="shared" si="30"/>
        <v>0</v>
      </c>
      <c r="G144" s="2"/>
      <c r="H144" s="2">
        <v>18846</v>
      </c>
      <c r="I144" s="2"/>
      <c r="J144" s="19">
        <f t="shared" si="31"/>
        <v>7.1467380574958151E-3</v>
      </c>
      <c r="K144" s="2"/>
      <c r="L144" s="2">
        <f t="shared" si="32"/>
        <v>-18846</v>
      </c>
      <c r="M144" s="2"/>
      <c r="N144" s="19">
        <f t="shared" si="33"/>
        <v>-1</v>
      </c>
      <c r="O144" s="11"/>
      <c r="P144" s="2">
        <v>599.29</v>
      </c>
      <c r="Q144" s="2"/>
      <c r="R144" s="19">
        <f t="shared" si="34"/>
        <v>1.2862000034845805E-4</v>
      </c>
      <c r="S144" s="2"/>
      <c r="T144" s="2">
        <v>22098.390000000003</v>
      </c>
      <c r="U144" s="2"/>
      <c r="V144" s="19">
        <f t="shared" si="35"/>
        <v>1.3730475397931276E-3</v>
      </c>
      <c r="W144" s="2"/>
      <c r="X144" s="2">
        <f t="shared" si="36"/>
        <v>-21499.100000000002</v>
      </c>
      <c r="Y144" s="2"/>
      <c r="Z144" s="19">
        <f t="shared" si="37"/>
        <v>-0.97288082977990697</v>
      </c>
    </row>
    <row r="145" spans="1:26" s="24" customFormat="1" hidden="1" outlineLevel="1" x14ac:dyDescent="0.25">
      <c r="A145" s="44"/>
      <c r="B145" s="11" t="str">
        <f>CONCATENATE("          ", "5026", " - ", "PURCHASES @ COST-WRITING INSTR")</f>
        <v xml:space="preserve">          5026 - PURCHASES @ COST-WRITING INSTR</v>
      </c>
      <c r="C145" s="11"/>
      <c r="D145" s="2"/>
      <c r="E145" s="2"/>
      <c r="F145" s="19">
        <f t="shared" si="30"/>
        <v>0</v>
      </c>
      <c r="G145" s="2"/>
      <c r="H145" s="2">
        <v>4633</v>
      </c>
      <c r="I145" s="2"/>
      <c r="J145" s="19">
        <f t="shared" si="31"/>
        <v>1.7569159195785903E-3</v>
      </c>
      <c r="K145" s="2"/>
      <c r="L145" s="2">
        <f t="shared" si="32"/>
        <v>-4633</v>
      </c>
      <c r="M145" s="2"/>
      <c r="N145" s="19">
        <f t="shared" si="33"/>
        <v>-1</v>
      </c>
      <c r="O145" s="11"/>
      <c r="P145" s="2">
        <v>380.02</v>
      </c>
      <c r="Q145" s="2"/>
      <c r="R145" s="19">
        <f t="shared" si="34"/>
        <v>8.1560133712261232E-5</v>
      </c>
      <c r="S145" s="2"/>
      <c r="T145" s="2">
        <v>29950.57</v>
      </c>
      <c r="U145" s="2"/>
      <c r="V145" s="19">
        <f t="shared" si="35"/>
        <v>1.8609299796909118E-3</v>
      </c>
      <c r="W145" s="2"/>
      <c r="X145" s="2">
        <f t="shared" si="36"/>
        <v>-29570.55</v>
      </c>
      <c r="Y145" s="2"/>
      <c r="Z145" s="19">
        <f t="shared" si="37"/>
        <v>-0.98731176067767656</v>
      </c>
    </row>
    <row r="146" spans="1:26" s="24" customFormat="1" hidden="1" outlineLevel="1" x14ac:dyDescent="0.25">
      <c r="A146" s="44"/>
      <c r="B146" s="11" t="str">
        <f>CONCATENATE("          ", "5027", " - ", "PURCHASES @ COST-SCHOOL SUPPLI")</f>
        <v xml:space="preserve">          5027 - PURCHASES @ COST-SCHOOL SUPPLI</v>
      </c>
      <c r="C146" s="11"/>
      <c r="D146" s="2"/>
      <c r="E146" s="2"/>
      <c r="F146" s="19">
        <f t="shared" si="30"/>
        <v>0</v>
      </c>
      <c r="G146" s="2"/>
      <c r="H146" s="2">
        <v>3483.98</v>
      </c>
      <c r="I146" s="2"/>
      <c r="J146" s="19">
        <f t="shared" si="31"/>
        <v>1.3211871196834486E-3</v>
      </c>
      <c r="K146" s="2"/>
      <c r="L146" s="2">
        <f t="shared" si="32"/>
        <v>-3483.98</v>
      </c>
      <c r="M146" s="2"/>
      <c r="N146" s="19">
        <f t="shared" si="33"/>
        <v>-1</v>
      </c>
      <c r="O146" s="11"/>
      <c r="P146" s="2">
        <v>19071.350000000002</v>
      </c>
      <c r="Q146" s="2"/>
      <c r="R146" s="19">
        <f t="shared" si="34"/>
        <v>4.093105247285231E-3</v>
      </c>
      <c r="S146" s="2"/>
      <c r="T146" s="2">
        <v>75506.36</v>
      </c>
      <c r="U146" s="2"/>
      <c r="V146" s="19">
        <f t="shared" si="35"/>
        <v>4.691464936438094E-3</v>
      </c>
      <c r="W146" s="2"/>
      <c r="X146" s="2">
        <f t="shared" si="36"/>
        <v>-56435.009999999995</v>
      </c>
      <c r="Y146" s="2"/>
      <c r="Z146" s="19">
        <f t="shared" si="37"/>
        <v>-0.74742061463431686</v>
      </c>
    </row>
    <row r="147" spans="1:26" s="24" customFormat="1" hidden="1" outlineLevel="1" x14ac:dyDescent="0.25">
      <c r="A147" s="44"/>
      <c r="B147" s="11" t="str">
        <f>CONCATENATE("          ", "5028", " - ", "PURCHASES @ COST-ART/TECH")</f>
        <v xml:space="preserve">          5028 - PURCHASES @ COST-ART/TECH</v>
      </c>
      <c r="C147" s="11"/>
      <c r="D147" s="2">
        <v>15.89</v>
      </c>
      <c r="E147" s="2"/>
      <c r="F147" s="19">
        <f t="shared" si="30"/>
        <v>4.0176304445466351E-5</v>
      </c>
      <c r="G147" s="2"/>
      <c r="H147" s="2">
        <v>4931.4399999999996</v>
      </c>
      <c r="I147" s="2"/>
      <c r="J147" s="19">
        <f t="shared" si="31"/>
        <v>1.8700896702885047E-3</v>
      </c>
      <c r="K147" s="2"/>
      <c r="L147" s="2">
        <f t="shared" si="32"/>
        <v>-4915.5499999999993</v>
      </c>
      <c r="M147" s="2"/>
      <c r="N147" s="19">
        <f t="shared" si="33"/>
        <v>-0.99677781743263627</v>
      </c>
      <c r="O147" s="11"/>
      <c r="P147" s="2">
        <v>41358.449999999997</v>
      </c>
      <c r="Q147" s="2"/>
      <c r="R147" s="19">
        <f t="shared" si="34"/>
        <v>8.8763768015679978E-3</v>
      </c>
      <c r="S147" s="2"/>
      <c r="T147" s="2">
        <v>95270.51</v>
      </c>
      <c r="U147" s="2"/>
      <c r="V147" s="19">
        <f t="shared" si="35"/>
        <v>5.919478268341564E-3</v>
      </c>
      <c r="W147" s="2"/>
      <c r="X147" s="2">
        <f t="shared" si="36"/>
        <v>-53912.06</v>
      </c>
      <c r="Y147" s="2"/>
      <c r="Z147" s="19">
        <f t="shared" si="37"/>
        <v>-0.5658840285414658</v>
      </c>
    </row>
    <row r="148" spans="1:26" s="24" customFormat="1" hidden="1" outlineLevel="1" x14ac:dyDescent="0.25">
      <c r="A148" s="44"/>
      <c r="B148" s="11" t="str">
        <f>CONCATENATE("          ", "5031", " - ", "PURCHASES @ COST-FOOD")</f>
        <v xml:space="preserve">          5031 - PURCHASES @ COST-FOOD</v>
      </c>
      <c r="C148" s="11"/>
      <c r="D148" s="2"/>
      <c r="E148" s="2"/>
      <c r="F148" s="19">
        <f t="shared" si="30"/>
        <v>0</v>
      </c>
      <c r="G148" s="2"/>
      <c r="H148" s="2">
        <v>4825.3999999999996</v>
      </c>
      <c r="I148" s="2"/>
      <c r="J148" s="19">
        <f t="shared" si="31"/>
        <v>1.8298774181598379E-3</v>
      </c>
      <c r="K148" s="2"/>
      <c r="L148" s="2">
        <f t="shared" si="32"/>
        <v>-4825.3999999999996</v>
      </c>
      <c r="M148" s="2"/>
      <c r="N148" s="19">
        <f t="shared" si="33"/>
        <v>-1</v>
      </c>
      <c r="O148" s="11"/>
      <c r="P148" s="2">
        <v>8535.1</v>
      </c>
      <c r="Q148" s="2"/>
      <c r="R148" s="19">
        <f t="shared" si="34"/>
        <v>1.8318085817786455E-3</v>
      </c>
      <c r="S148" s="2"/>
      <c r="T148" s="2">
        <v>20814.489999999998</v>
      </c>
      <c r="U148" s="2"/>
      <c r="V148" s="19">
        <f t="shared" si="35"/>
        <v>1.293274500384356E-3</v>
      </c>
      <c r="W148" s="2"/>
      <c r="X148" s="2">
        <f t="shared" si="36"/>
        <v>-12279.389999999998</v>
      </c>
      <c r="Y148" s="2"/>
      <c r="Z148" s="19">
        <f t="shared" si="37"/>
        <v>-0.58994431283207027</v>
      </c>
    </row>
    <row r="149" spans="1:26" s="24" customFormat="1" hidden="1" outlineLevel="1" x14ac:dyDescent="0.25">
      <c r="A149" s="44"/>
      <c r="B149" s="11" t="str">
        <f>CONCATENATE("          ", "5032", " - ", "PURCHASES @ COST-JUICE")</f>
        <v xml:space="preserve">          5032 - PURCHASES @ COST-JUICE</v>
      </c>
      <c r="C149" s="11"/>
      <c r="D149" s="2"/>
      <c r="E149" s="2"/>
      <c r="F149" s="19">
        <f t="shared" si="30"/>
        <v>0</v>
      </c>
      <c r="G149" s="2"/>
      <c r="H149" s="2">
        <v>1278.21</v>
      </c>
      <c r="I149" s="2"/>
      <c r="J149" s="19">
        <f t="shared" si="31"/>
        <v>4.8471994335518021E-4</v>
      </c>
      <c r="K149" s="2"/>
      <c r="L149" s="2">
        <f t="shared" si="32"/>
        <v>-1278.21</v>
      </c>
      <c r="M149" s="2"/>
      <c r="N149" s="19">
        <f t="shared" si="33"/>
        <v>-1</v>
      </c>
      <c r="O149" s="11"/>
      <c r="P149" s="2"/>
      <c r="Q149" s="2"/>
      <c r="R149" s="19">
        <f t="shared" si="34"/>
        <v>0</v>
      </c>
      <c r="S149" s="2"/>
      <c r="T149" s="2">
        <v>4662.49</v>
      </c>
      <c r="U149" s="2"/>
      <c r="V149" s="19">
        <f t="shared" si="35"/>
        <v>2.8969623686657978E-4</v>
      </c>
      <c r="W149" s="2"/>
      <c r="X149" s="2">
        <f t="shared" si="36"/>
        <v>-4662.49</v>
      </c>
      <c r="Y149" s="2"/>
      <c r="Z149" s="19">
        <f t="shared" si="37"/>
        <v>-1</v>
      </c>
    </row>
    <row r="150" spans="1:26" s="24" customFormat="1" hidden="1" outlineLevel="1" x14ac:dyDescent="0.25">
      <c r="A150" s="44"/>
      <c r="B150" s="11" t="str">
        <f>CONCATENATE("          ", "5033", " - ", "PURCHASES @ COST-CANDY")</f>
        <v xml:space="preserve">          5033 - PURCHASES @ COST-CANDY</v>
      </c>
      <c r="C150" s="11"/>
      <c r="D150" s="2"/>
      <c r="E150" s="2"/>
      <c r="F150" s="19">
        <f t="shared" si="30"/>
        <v>0</v>
      </c>
      <c r="G150" s="2"/>
      <c r="H150" s="2">
        <v>1482.54</v>
      </c>
      <c r="I150" s="2"/>
      <c r="J150" s="19">
        <f t="shared" si="31"/>
        <v>5.62205509909787E-4</v>
      </c>
      <c r="K150" s="2"/>
      <c r="L150" s="2">
        <f t="shared" si="32"/>
        <v>-1482.54</v>
      </c>
      <c r="M150" s="2"/>
      <c r="N150" s="19">
        <f t="shared" si="33"/>
        <v>-1</v>
      </c>
      <c r="O150" s="11"/>
      <c r="P150" s="2"/>
      <c r="Q150" s="2"/>
      <c r="R150" s="19">
        <f t="shared" si="34"/>
        <v>0</v>
      </c>
      <c r="S150" s="2"/>
      <c r="T150" s="2">
        <v>5937.74</v>
      </c>
      <c r="U150" s="2"/>
      <c r="V150" s="19">
        <f t="shared" si="35"/>
        <v>3.6893182258667913E-4</v>
      </c>
      <c r="W150" s="2"/>
      <c r="X150" s="2">
        <f t="shared" si="36"/>
        <v>-5937.74</v>
      </c>
      <c r="Y150" s="2"/>
      <c r="Z150" s="19">
        <f t="shared" si="37"/>
        <v>-1</v>
      </c>
    </row>
    <row r="151" spans="1:26" s="24" customFormat="1" hidden="1" outlineLevel="1" x14ac:dyDescent="0.25">
      <c r="A151" s="44"/>
      <c r="B151" s="11" t="str">
        <f>CONCATENATE("          ", "5034", " - ", "PURCHASES @ COST-SODA")</f>
        <v xml:space="preserve">          5034 - PURCHASES @ COST-SODA</v>
      </c>
      <c r="C151" s="11"/>
      <c r="D151" s="2"/>
      <c r="E151" s="2"/>
      <c r="F151" s="19">
        <f t="shared" si="30"/>
        <v>0</v>
      </c>
      <c r="G151" s="2"/>
      <c r="H151" s="2">
        <v>587.38</v>
      </c>
      <c r="I151" s="2"/>
      <c r="J151" s="19">
        <f t="shared" si="31"/>
        <v>2.2274493262293814E-4</v>
      </c>
      <c r="K151" s="2"/>
      <c r="L151" s="2">
        <f t="shared" si="32"/>
        <v>-587.38</v>
      </c>
      <c r="M151" s="2"/>
      <c r="N151" s="19">
        <f t="shared" si="33"/>
        <v>-1</v>
      </c>
      <c r="O151" s="11"/>
      <c r="P151" s="2"/>
      <c r="Q151" s="2"/>
      <c r="R151" s="19">
        <f t="shared" si="34"/>
        <v>0</v>
      </c>
      <c r="S151" s="2"/>
      <c r="T151" s="2">
        <v>2081.92</v>
      </c>
      <c r="U151" s="2"/>
      <c r="V151" s="19">
        <f t="shared" si="35"/>
        <v>1.2935671485778412E-4</v>
      </c>
      <c r="W151" s="2"/>
      <c r="X151" s="2">
        <f t="shared" si="36"/>
        <v>-2081.92</v>
      </c>
      <c r="Y151" s="2"/>
      <c r="Z151" s="19">
        <f t="shared" si="37"/>
        <v>-1</v>
      </c>
    </row>
    <row r="152" spans="1:26" s="24" customFormat="1" hidden="1" outlineLevel="1" x14ac:dyDescent="0.25">
      <c r="A152" s="44"/>
      <c r="B152" s="11" t="str">
        <f>CONCATENATE("          ", "5035", " - ", "PURCHASES @ COST-HEALTH &amp; BEAU")</f>
        <v xml:space="preserve">          5035 - PURCHASES @ COST-HEALTH &amp; BEAU</v>
      </c>
      <c r="C152" s="11"/>
      <c r="D152" s="2"/>
      <c r="E152" s="2"/>
      <c r="F152" s="19">
        <f t="shared" si="30"/>
        <v>0</v>
      </c>
      <c r="G152" s="2"/>
      <c r="H152" s="2">
        <v>222.52</v>
      </c>
      <c r="I152" s="2"/>
      <c r="J152" s="19">
        <f t="shared" si="31"/>
        <v>8.4383537756233093E-5</v>
      </c>
      <c r="K152" s="2"/>
      <c r="L152" s="2">
        <f t="shared" si="32"/>
        <v>-222.52</v>
      </c>
      <c r="M152" s="2"/>
      <c r="N152" s="19">
        <f t="shared" si="33"/>
        <v>-1</v>
      </c>
      <c r="O152" s="11"/>
      <c r="P152" s="2"/>
      <c r="Q152" s="2"/>
      <c r="R152" s="19">
        <f t="shared" si="34"/>
        <v>0</v>
      </c>
      <c r="S152" s="2"/>
      <c r="T152" s="2">
        <v>801.21</v>
      </c>
      <c r="U152" s="2"/>
      <c r="V152" s="19">
        <f t="shared" si="35"/>
        <v>4.9781880913390149E-5</v>
      </c>
      <c r="W152" s="2"/>
      <c r="X152" s="2">
        <f t="shared" si="36"/>
        <v>-801.21</v>
      </c>
      <c r="Y152" s="2"/>
      <c r="Z152" s="19">
        <f t="shared" si="37"/>
        <v>-1</v>
      </c>
    </row>
    <row r="153" spans="1:26" s="24" customFormat="1" hidden="1" outlineLevel="1" x14ac:dyDescent="0.25">
      <c r="A153" s="44"/>
      <c r="B153" s="11" t="str">
        <f>CONCATENATE("          ", "5037", " - ", "PURCHASES @ COST-WATER")</f>
        <v xml:space="preserve">          5037 - PURCHASES @ COST-WATER</v>
      </c>
      <c r="C153" s="11"/>
      <c r="D153" s="2"/>
      <c r="E153" s="2"/>
      <c r="F153" s="19">
        <f t="shared" si="30"/>
        <v>0</v>
      </c>
      <c r="G153" s="2"/>
      <c r="H153" s="2">
        <v>667.52</v>
      </c>
      <c r="I153" s="2"/>
      <c r="J153" s="19">
        <f t="shared" si="31"/>
        <v>2.5313544455797554E-4</v>
      </c>
      <c r="K153" s="2"/>
      <c r="L153" s="2">
        <f t="shared" si="32"/>
        <v>-667.52</v>
      </c>
      <c r="M153" s="2"/>
      <c r="N153" s="19">
        <f t="shared" si="33"/>
        <v>-1</v>
      </c>
      <c r="O153" s="11"/>
      <c r="P153" s="2"/>
      <c r="Q153" s="2"/>
      <c r="R153" s="19">
        <f t="shared" si="34"/>
        <v>0</v>
      </c>
      <c r="S153" s="2"/>
      <c r="T153" s="2">
        <v>3523.37</v>
      </c>
      <c r="U153" s="2"/>
      <c r="V153" s="19">
        <f t="shared" si="35"/>
        <v>2.1891886740531375E-4</v>
      </c>
      <c r="W153" s="2"/>
      <c r="X153" s="2">
        <f t="shared" si="36"/>
        <v>-3523.37</v>
      </c>
      <c r="Y153" s="2"/>
      <c r="Z153" s="19">
        <f t="shared" si="37"/>
        <v>-1</v>
      </c>
    </row>
    <row r="154" spans="1:26" s="24" customFormat="1" hidden="1" outlineLevel="1" x14ac:dyDescent="0.25">
      <c r="A154" s="44"/>
      <c r="B154" s="11" t="str">
        <f>CONCATENATE("          ", "5040", " - ", "PURCHASES @ COST-LOGO CLOTHING")</f>
        <v xml:space="preserve">          5040 - PURCHASES @ COST-LOGO CLOTHING</v>
      </c>
      <c r="C154" s="11"/>
      <c r="D154" s="2">
        <v>55124.33</v>
      </c>
      <c r="E154" s="2"/>
      <c r="F154" s="19">
        <f t="shared" si="30"/>
        <v>0.13937645465275986</v>
      </c>
      <c r="G154" s="2"/>
      <c r="H154" s="2">
        <v>105691.4</v>
      </c>
      <c r="I154" s="2"/>
      <c r="J154" s="19">
        <f t="shared" si="31"/>
        <v>4.0080056814709393E-2</v>
      </c>
      <c r="K154" s="2"/>
      <c r="L154" s="2">
        <f t="shared" si="32"/>
        <v>-50567.069999999992</v>
      </c>
      <c r="M154" s="2"/>
      <c r="N154" s="19">
        <f t="shared" si="33"/>
        <v>-0.47844072460010934</v>
      </c>
      <c r="O154" s="11"/>
      <c r="P154" s="2">
        <v>94295.28</v>
      </c>
      <c r="Q154" s="2"/>
      <c r="R154" s="19">
        <f t="shared" si="34"/>
        <v>2.0237712870993928E-2</v>
      </c>
      <c r="S154" s="2"/>
      <c r="T154" s="2">
        <v>618292.30999999994</v>
      </c>
      <c r="U154" s="2"/>
      <c r="V154" s="19">
        <f t="shared" si="35"/>
        <v>3.8416587593870392E-2</v>
      </c>
      <c r="W154" s="2"/>
      <c r="X154" s="2">
        <f t="shared" si="36"/>
        <v>-523997.02999999991</v>
      </c>
      <c r="Y154" s="2"/>
      <c r="Z154" s="19">
        <f t="shared" si="37"/>
        <v>-0.84749077665222772</v>
      </c>
    </row>
    <row r="155" spans="1:26" s="24" customFormat="1" hidden="1" outlineLevel="1" x14ac:dyDescent="0.25">
      <c r="A155" s="44"/>
      <c r="B155" s="11" t="str">
        <f>CONCATENATE("          ", "5041", " - ", "PURCHASES @ COST-LOGO GIFTS")</f>
        <v xml:space="preserve">          5041 - PURCHASES @ COST-LOGO GIFTS</v>
      </c>
      <c r="C155" s="11"/>
      <c r="D155" s="2">
        <v>9354.43</v>
      </c>
      <c r="E155" s="2"/>
      <c r="F155" s="19">
        <f t="shared" si="30"/>
        <v>2.365175755782277E-2</v>
      </c>
      <c r="G155" s="2"/>
      <c r="H155" s="2">
        <v>18340.09</v>
      </c>
      <c r="I155" s="2"/>
      <c r="J155" s="19">
        <f t="shared" si="31"/>
        <v>6.9548879964394794E-3</v>
      </c>
      <c r="K155" s="2"/>
      <c r="L155" s="2">
        <f t="shared" si="32"/>
        <v>-8985.66</v>
      </c>
      <c r="M155" s="2"/>
      <c r="N155" s="19">
        <f t="shared" si="33"/>
        <v>-0.48994634159374351</v>
      </c>
      <c r="O155" s="11"/>
      <c r="P155" s="2">
        <v>26641.769999999997</v>
      </c>
      <c r="Q155" s="2"/>
      <c r="R155" s="19">
        <f t="shared" si="34"/>
        <v>5.7178735948931894E-3</v>
      </c>
      <c r="S155" s="2"/>
      <c r="T155" s="2">
        <v>88796.55</v>
      </c>
      <c r="U155" s="2"/>
      <c r="V155" s="19">
        <f t="shared" si="35"/>
        <v>5.51722928772718E-3</v>
      </c>
      <c r="W155" s="2"/>
      <c r="X155" s="2">
        <f t="shared" si="36"/>
        <v>-62154.780000000006</v>
      </c>
      <c r="Y155" s="2"/>
      <c r="Z155" s="19">
        <f t="shared" si="37"/>
        <v>-0.69996841093488438</v>
      </c>
    </row>
    <row r="156" spans="1:26" s="24" customFormat="1" hidden="1" outlineLevel="1" x14ac:dyDescent="0.25">
      <c r="A156" s="44"/>
      <c r="B156" s="11" t="str">
        <f>CONCATENATE("          ", "5042", " - ", "PURCHASES @ COST-EVERYDAY GIFT")</f>
        <v xml:space="preserve">          5042 - PURCHASES @ COST-EVERYDAY GIFT</v>
      </c>
      <c r="C156" s="11"/>
      <c r="D156" s="2"/>
      <c r="E156" s="2"/>
      <c r="F156" s="19">
        <f t="shared" si="30"/>
        <v>0</v>
      </c>
      <c r="G156" s="2"/>
      <c r="H156" s="2">
        <v>31316.85</v>
      </c>
      <c r="I156" s="2"/>
      <c r="J156" s="19">
        <f t="shared" si="31"/>
        <v>1.1875905960728421E-2</v>
      </c>
      <c r="K156" s="2"/>
      <c r="L156" s="2">
        <f t="shared" si="32"/>
        <v>-31316.85</v>
      </c>
      <c r="M156" s="2"/>
      <c r="N156" s="19">
        <f t="shared" si="33"/>
        <v>-1</v>
      </c>
      <c r="O156" s="11"/>
      <c r="P156" s="2">
        <v>10912.68</v>
      </c>
      <c r="Q156" s="2"/>
      <c r="R156" s="19">
        <f t="shared" si="34"/>
        <v>2.3420863111392005E-3</v>
      </c>
      <c r="S156" s="2"/>
      <c r="T156" s="2">
        <v>80565.319999999992</v>
      </c>
      <c r="U156" s="2"/>
      <c r="V156" s="19">
        <f t="shared" si="35"/>
        <v>5.0057951922581707E-3</v>
      </c>
      <c r="W156" s="2"/>
      <c r="X156" s="2">
        <f t="shared" si="36"/>
        <v>-69652.639999999985</v>
      </c>
      <c r="Y156" s="2"/>
      <c r="Z156" s="19">
        <f t="shared" si="37"/>
        <v>-0.8645486668457345</v>
      </c>
    </row>
    <row r="157" spans="1:26" s="24" customFormat="1" hidden="1" outlineLevel="1" x14ac:dyDescent="0.25">
      <c r="A157" s="44"/>
      <c r="B157" s="11" t="str">
        <f>CONCATENATE("          ", "5043", " - ", "PURCHASES @ COST-CARDS")</f>
        <v xml:space="preserve">          5043 - PURCHASES @ COST-CARDS</v>
      </c>
      <c r="C157" s="11"/>
      <c r="D157" s="2">
        <v>38530.230000000003</v>
      </c>
      <c r="E157" s="2"/>
      <c r="F157" s="19">
        <f t="shared" si="30"/>
        <v>9.7419902506849662E-2</v>
      </c>
      <c r="G157" s="2"/>
      <c r="H157" s="2">
        <v>2188.66</v>
      </c>
      <c r="I157" s="2"/>
      <c r="J157" s="19">
        <f t="shared" si="31"/>
        <v>8.2997876031618326E-4</v>
      </c>
      <c r="K157" s="2"/>
      <c r="L157" s="2">
        <f t="shared" si="32"/>
        <v>36341.570000000007</v>
      </c>
      <c r="M157" s="2"/>
      <c r="N157" s="19">
        <f t="shared" si="33"/>
        <v>16.604484022187094</v>
      </c>
      <c r="O157" s="11"/>
      <c r="P157" s="2">
        <v>44173.23</v>
      </c>
      <c r="Q157" s="2"/>
      <c r="R157" s="19">
        <f t="shared" si="34"/>
        <v>9.4804866725500484E-3</v>
      </c>
      <c r="S157" s="2"/>
      <c r="T157" s="2">
        <v>3528.74</v>
      </c>
      <c r="U157" s="2"/>
      <c r="V157" s="19">
        <f t="shared" si="35"/>
        <v>2.1925252362591121E-4</v>
      </c>
      <c r="W157" s="2"/>
      <c r="X157" s="2">
        <f t="shared" si="36"/>
        <v>40644.490000000005</v>
      </c>
      <c r="Y157" s="2"/>
      <c r="Z157" s="19">
        <f t="shared" si="37"/>
        <v>11.518131117622723</v>
      </c>
    </row>
    <row r="158" spans="1:26" s="24" customFormat="1" hidden="1" outlineLevel="1" x14ac:dyDescent="0.25">
      <c r="A158" s="44"/>
      <c r="B158" s="11" t="str">
        <f>CONCATENATE("          ", "5044", " - ", "PURCHASES @ COST-ACCESSORIES")</f>
        <v xml:space="preserve">          5044 - PURCHASES @ COST-ACCESSORIES</v>
      </c>
      <c r="C158" s="11"/>
      <c r="D158" s="2">
        <v>282.33</v>
      </c>
      <c r="E158" s="2"/>
      <c r="F158" s="19">
        <f t="shared" si="30"/>
        <v>7.1384367741274474E-4</v>
      </c>
      <c r="G158" s="2"/>
      <c r="H158" s="2">
        <v>-6895.55</v>
      </c>
      <c r="I158" s="2"/>
      <c r="J158" s="19">
        <f t="shared" si="31"/>
        <v>-2.6149150807792247E-3</v>
      </c>
      <c r="K158" s="2"/>
      <c r="L158" s="2">
        <f t="shared" si="32"/>
        <v>7177.88</v>
      </c>
      <c r="M158" s="2"/>
      <c r="N158" s="19">
        <f t="shared" si="33"/>
        <v>-1.0409437970865267</v>
      </c>
      <c r="O158" s="11"/>
      <c r="P158" s="2">
        <v>282.33</v>
      </c>
      <c r="Q158" s="2"/>
      <c r="R158" s="19">
        <f t="shared" si="34"/>
        <v>6.0593843879224021E-5</v>
      </c>
      <c r="S158" s="2"/>
      <c r="T158" s="2">
        <v>17255.580000000002</v>
      </c>
      <c r="U158" s="2"/>
      <c r="V158" s="19">
        <f t="shared" si="35"/>
        <v>1.0721474128524066E-3</v>
      </c>
      <c r="W158" s="2"/>
      <c r="X158" s="2">
        <f t="shared" si="36"/>
        <v>-16973.25</v>
      </c>
      <c r="Y158" s="2"/>
      <c r="Z158" s="19">
        <f t="shared" si="37"/>
        <v>-0.98363833612083729</v>
      </c>
    </row>
    <row r="159" spans="1:26" s="24" customFormat="1" hidden="1" outlineLevel="1" x14ac:dyDescent="0.25">
      <c r="A159" s="44"/>
      <c r="B159" s="11" t="str">
        <f>CONCATENATE("          ", "5045", " - ", "PURCHASES @ COST-SPECIAL ORDER")</f>
        <v xml:space="preserve">          5045 - PURCHASES @ COST-SPECIAL ORDER</v>
      </c>
      <c r="C159" s="11"/>
      <c r="D159" s="2">
        <v>5678</v>
      </c>
      <c r="E159" s="2"/>
      <c r="F159" s="19">
        <f t="shared" si="30"/>
        <v>1.4356265364465572E-2</v>
      </c>
      <c r="G159" s="2"/>
      <c r="H159" s="2">
        <v>14163.29</v>
      </c>
      <c r="I159" s="2"/>
      <c r="J159" s="19">
        <f t="shared" si="31"/>
        <v>5.3709712226652825E-3</v>
      </c>
      <c r="K159" s="2"/>
      <c r="L159" s="2">
        <f t="shared" si="32"/>
        <v>-8485.2900000000009</v>
      </c>
      <c r="M159" s="2"/>
      <c r="N159" s="19">
        <f t="shared" si="33"/>
        <v>-0.59910444536544827</v>
      </c>
      <c r="O159" s="11"/>
      <c r="P159" s="2">
        <v>76932.51999999999</v>
      </c>
      <c r="Q159" s="2"/>
      <c r="R159" s="19">
        <f t="shared" si="34"/>
        <v>1.6511306294461372E-2</v>
      </c>
      <c r="S159" s="2"/>
      <c r="T159" s="2">
        <v>42226.49</v>
      </c>
      <c r="U159" s="2"/>
      <c r="V159" s="19">
        <f t="shared" si="35"/>
        <v>2.623674313314187E-3</v>
      </c>
      <c r="W159" s="2"/>
      <c r="X159" s="2">
        <f t="shared" si="36"/>
        <v>34706.029999999992</v>
      </c>
      <c r="Y159" s="2"/>
      <c r="Z159" s="19">
        <f t="shared" si="37"/>
        <v>0.82190184407939171</v>
      </c>
    </row>
    <row r="160" spans="1:26" s="24" customFormat="1" hidden="1" outlineLevel="1" x14ac:dyDescent="0.25">
      <c r="A160" s="44"/>
      <c r="B160" s="11" t="str">
        <f>CONCATENATE("          ", "5053", " - ", "PURCHASES @ COST-FOOD")</f>
        <v xml:space="preserve">          5053 - PURCHASES @ COST-FOOD</v>
      </c>
      <c r="C160" s="11"/>
      <c r="D160" s="2">
        <v>39551.18</v>
      </c>
      <c r="E160" s="2"/>
      <c r="F160" s="19">
        <f t="shared" si="30"/>
        <v>0.10000127431450219</v>
      </c>
      <c r="G160" s="2"/>
      <c r="H160" s="2">
        <v>556128.4</v>
      </c>
      <c r="I160" s="2"/>
      <c r="J160" s="19">
        <f t="shared" si="31"/>
        <v>0.21089377062157785</v>
      </c>
      <c r="K160" s="2"/>
      <c r="L160" s="2">
        <f t="shared" si="32"/>
        <v>-516577.22000000003</v>
      </c>
      <c r="M160" s="2"/>
      <c r="N160" s="19">
        <f t="shared" si="33"/>
        <v>-0.92888120800879803</v>
      </c>
      <c r="O160" s="11"/>
      <c r="P160" s="2">
        <v>232232.47</v>
      </c>
      <c r="Q160" s="2"/>
      <c r="R160" s="19">
        <f t="shared" si="34"/>
        <v>4.9841880178750318E-2</v>
      </c>
      <c r="S160" s="2"/>
      <c r="T160" s="2">
        <v>2894729.38</v>
      </c>
      <c r="U160" s="2"/>
      <c r="V160" s="19">
        <f t="shared" si="35"/>
        <v>0.17985930439167219</v>
      </c>
      <c r="W160" s="2"/>
      <c r="X160" s="2">
        <f t="shared" si="36"/>
        <v>-2662496.9099999997</v>
      </c>
      <c r="Y160" s="2"/>
      <c r="Z160" s="19">
        <f t="shared" si="37"/>
        <v>-0.91977403082840159</v>
      </c>
    </row>
    <row r="161" spans="1:26" s="24" customFormat="1" hidden="1" outlineLevel="1" x14ac:dyDescent="0.25">
      <c r="A161" s="44"/>
      <c r="B161" s="11" t="str">
        <f>CONCATENATE("          ", "5059", " - ", "PURCHASES @ COST-FOOD")</f>
        <v xml:space="preserve">          5059 - PURCHASES @ COST-FOOD</v>
      </c>
      <c r="C161" s="11"/>
      <c r="D161" s="2">
        <v>4551</v>
      </c>
      <c r="E161" s="2"/>
      <c r="F161" s="19">
        <f t="shared" si="30"/>
        <v>1.1506756546967738E-2</v>
      </c>
      <c r="G161" s="2"/>
      <c r="H161" s="2">
        <v>39806.47</v>
      </c>
      <c r="I161" s="2"/>
      <c r="J161" s="19">
        <f t="shared" si="31"/>
        <v>1.5095320709092936E-2</v>
      </c>
      <c r="K161" s="2"/>
      <c r="L161" s="2">
        <f t="shared" si="32"/>
        <v>-35255.47</v>
      </c>
      <c r="M161" s="2"/>
      <c r="N161" s="19">
        <f t="shared" si="33"/>
        <v>-0.88567185183715114</v>
      </c>
      <c r="O161" s="11"/>
      <c r="P161" s="2">
        <v>7519.29</v>
      </c>
      <c r="Q161" s="2"/>
      <c r="R161" s="19">
        <f t="shared" si="34"/>
        <v>1.6137947945404684E-3</v>
      </c>
      <c r="S161" s="2"/>
      <c r="T161" s="2">
        <v>-69780.160000000003</v>
      </c>
      <c r="U161" s="2"/>
      <c r="V161" s="19">
        <f t="shared" si="35"/>
        <v>-4.3356768078747273E-3</v>
      </c>
      <c r="W161" s="2"/>
      <c r="X161" s="2">
        <f t="shared" si="36"/>
        <v>77299.45</v>
      </c>
      <c r="Y161" s="2"/>
      <c r="Z161" s="19">
        <f t="shared" si="37"/>
        <v>-1.1077568466452354</v>
      </c>
    </row>
    <row r="162" spans="1:26" s="24" customFormat="1" hidden="1" outlineLevel="1" x14ac:dyDescent="0.25">
      <c r="A162" s="44"/>
      <c r="B162" s="11" t="str">
        <f>CONCATENATE("          ", "5081", " - ", "PURCHASES @ COST-ELECTRONICS")</f>
        <v xml:space="preserve">          5081 - PURCHASES @ COST-ELECTRONICS</v>
      </c>
      <c r="C162" s="11"/>
      <c r="D162" s="2">
        <v>2367.86</v>
      </c>
      <c r="E162" s="2"/>
      <c r="F162" s="19">
        <f t="shared" si="30"/>
        <v>5.986901462822024E-3</v>
      </c>
      <c r="G162" s="2"/>
      <c r="H162" s="2">
        <v>16915.849999999999</v>
      </c>
      <c r="I162" s="2"/>
      <c r="J162" s="19">
        <f t="shared" si="31"/>
        <v>6.4147908824095604E-3</v>
      </c>
      <c r="K162" s="2"/>
      <c r="L162" s="2">
        <f t="shared" si="32"/>
        <v>-14547.989999999998</v>
      </c>
      <c r="M162" s="2"/>
      <c r="N162" s="19">
        <f t="shared" si="33"/>
        <v>-0.86002122269942094</v>
      </c>
      <c r="O162" s="11"/>
      <c r="P162" s="2">
        <v>24315.070000000003</v>
      </c>
      <c r="Q162" s="2"/>
      <c r="R162" s="19">
        <f t="shared" si="34"/>
        <v>5.2185157634413769E-3</v>
      </c>
      <c r="S162" s="2"/>
      <c r="T162" s="2">
        <v>186052.53999999998</v>
      </c>
      <c r="U162" s="2"/>
      <c r="V162" s="19">
        <f t="shared" si="35"/>
        <v>1.1560072128298142E-2</v>
      </c>
      <c r="W162" s="2"/>
      <c r="X162" s="2">
        <f t="shared" si="36"/>
        <v>-161737.46999999997</v>
      </c>
      <c r="Y162" s="2"/>
      <c r="Z162" s="19">
        <f t="shared" si="37"/>
        <v>-0.8693107334089607</v>
      </c>
    </row>
    <row r="163" spans="1:26" s="24" customFormat="1" hidden="1" outlineLevel="1" x14ac:dyDescent="0.25">
      <c r="A163" s="44"/>
      <c r="B163" s="11" t="str">
        <f>CONCATENATE("          ", "5082", " - ", "PURCHASES @ COST-COMPUTER HARD")</f>
        <v xml:space="preserve">          5082 - PURCHASES @ COST-COMPUTER HARD</v>
      </c>
      <c r="C163" s="11"/>
      <c r="D163" s="2">
        <v>71242.03</v>
      </c>
      <c r="E163" s="2"/>
      <c r="F163" s="19">
        <f t="shared" si="30"/>
        <v>0.1801284761858431</v>
      </c>
      <c r="G163" s="2"/>
      <c r="H163" s="2">
        <v>62807.55999999999</v>
      </c>
      <c r="I163" s="2"/>
      <c r="J163" s="19">
        <f t="shared" si="31"/>
        <v>2.3817742722617628E-2</v>
      </c>
      <c r="K163" s="2"/>
      <c r="L163" s="2">
        <f t="shared" si="32"/>
        <v>8434.4700000000084</v>
      </c>
      <c r="M163" s="2"/>
      <c r="N163" s="19">
        <f t="shared" si="33"/>
        <v>0.1342906809307671</v>
      </c>
      <c r="O163" s="11"/>
      <c r="P163" s="2">
        <v>960020.1100000001</v>
      </c>
      <c r="Q163" s="2"/>
      <c r="R163" s="19">
        <f t="shared" si="34"/>
        <v>0.20604012561986146</v>
      </c>
      <c r="S163" s="2"/>
      <c r="T163" s="2">
        <v>958594.8600000001</v>
      </c>
      <c r="U163" s="2"/>
      <c r="V163" s="19">
        <f t="shared" si="35"/>
        <v>5.9560733346697994E-2</v>
      </c>
      <c r="W163" s="2"/>
      <c r="X163" s="2">
        <f t="shared" si="36"/>
        <v>1425.25</v>
      </c>
      <c r="Y163" s="2"/>
      <c r="Z163" s="19">
        <f t="shared" si="37"/>
        <v>1.4868116442852612E-3</v>
      </c>
    </row>
    <row r="164" spans="1:26" s="24" customFormat="1" hidden="1" outlineLevel="1" x14ac:dyDescent="0.25">
      <c r="A164" s="44"/>
      <c r="B164" s="11" t="str">
        <f>CONCATENATE("          ", "5083", " - ", "PURCHASES @ COST-COMPUTER EQUI")</f>
        <v xml:space="preserve">          5083 - PURCHASES @ COST-COMPUTER EQUI</v>
      </c>
      <c r="C164" s="11"/>
      <c r="D164" s="2">
        <v>2620.17</v>
      </c>
      <c r="E164" s="2"/>
      <c r="F164" s="19">
        <f t="shared" si="30"/>
        <v>6.6248425184944979E-3</v>
      </c>
      <c r="G164" s="2"/>
      <c r="H164" s="2">
        <v>7127.48</v>
      </c>
      <c r="I164" s="2"/>
      <c r="J164" s="19">
        <f t="shared" si="31"/>
        <v>2.7028670577332204E-3</v>
      </c>
      <c r="K164" s="2"/>
      <c r="L164" s="2">
        <f t="shared" si="32"/>
        <v>-4507.3099999999995</v>
      </c>
      <c r="M164" s="2"/>
      <c r="N164" s="19">
        <f t="shared" si="33"/>
        <v>-0.63238479799311953</v>
      </c>
      <c r="O164" s="11"/>
      <c r="P164" s="2">
        <v>75893.119999999995</v>
      </c>
      <c r="Q164" s="2"/>
      <c r="R164" s="19">
        <f t="shared" si="34"/>
        <v>1.6288229606443574E-2</v>
      </c>
      <c r="S164" s="2"/>
      <c r="T164" s="2">
        <v>49168.32</v>
      </c>
      <c r="U164" s="2"/>
      <c r="V164" s="19">
        <f t="shared" si="35"/>
        <v>3.0549936358151533E-3</v>
      </c>
      <c r="W164" s="2"/>
      <c r="X164" s="2">
        <f t="shared" si="36"/>
        <v>26724.799999999996</v>
      </c>
      <c r="Y164" s="2"/>
      <c r="Z164" s="19">
        <f t="shared" si="37"/>
        <v>0.54353697665488665</v>
      </c>
    </row>
    <row r="165" spans="1:26" s="24" customFormat="1" hidden="1" outlineLevel="1" x14ac:dyDescent="0.25">
      <c r="A165" s="44"/>
      <c r="B165" s="11" t="str">
        <f>CONCATENATE("          ", "5084", " - ", "PURCHASES @ COST-SOFTWARE LICE")</f>
        <v xml:space="preserve">          5084 - PURCHASES @ COST-SOFTWARE LICE</v>
      </c>
      <c r="C165" s="11"/>
      <c r="D165" s="2"/>
      <c r="E165" s="2"/>
      <c r="F165" s="19">
        <f t="shared" si="30"/>
        <v>0</v>
      </c>
      <c r="G165" s="2"/>
      <c r="H165" s="2"/>
      <c r="I165" s="2"/>
      <c r="J165" s="19">
        <f t="shared" si="31"/>
        <v>0</v>
      </c>
      <c r="K165" s="2"/>
      <c r="L165" s="2">
        <f t="shared" si="32"/>
        <v>0</v>
      </c>
      <c r="M165" s="2"/>
      <c r="N165" s="19">
        <f t="shared" si="33"/>
        <v>0</v>
      </c>
      <c r="O165" s="11"/>
      <c r="P165" s="2"/>
      <c r="Q165" s="2"/>
      <c r="R165" s="19">
        <f t="shared" si="34"/>
        <v>0</v>
      </c>
      <c r="S165" s="2"/>
      <c r="T165" s="2">
        <v>2728</v>
      </c>
      <c r="U165" s="2"/>
      <c r="V165" s="19">
        <f t="shared" si="35"/>
        <v>1.6949984539849517E-4</v>
      </c>
      <c r="W165" s="2"/>
      <c r="X165" s="2">
        <f t="shared" si="36"/>
        <v>-2728</v>
      </c>
      <c r="Y165" s="2"/>
      <c r="Z165" s="19">
        <f t="shared" si="37"/>
        <v>-1</v>
      </c>
    </row>
    <row r="166" spans="1:26" s="24" customFormat="1" hidden="1" outlineLevel="1" x14ac:dyDescent="0.25">
      <c r="A166" s="44"/>
      <c r="B166" s="11" t="str">
        <f>CONCATENATE("          ", "5085", " - ", "PURCHASES @ COST-SOFTWARE")</f>
        <v xml:space="preserve">          5085 - PURCHASES @ COST-SOFTWARE</v>
      </c>
      <c r="C166" s="11"/>
      <c r="D166" s="2">
        <v>3394.72</v>
      </c>
      <c r="E166" s="2"/>
      <c r="F166" s="19">
        <f t="shared" si="30"/>
        <v>8.583216125054343E-3</v>
      </c>
      <c r="G166" s="2"/>
      <c r="H166" s="2">
        <v>148.36000000000001</v>
      </c>
      <c r="I166" s="2"/>
      <c r="J166" s="19">
        <f t="shared" si="31"/>
        <v>5.6260748074396652E-5</v>
      </c>
      <c r="K166" s="2"/>
      <c r="L166" s="2">
        <f t="shared" si="32"/>
        <v>3246.3599999999997</v>
      </c>
      <c r="M166" s="2"/>
      <c r="N166" s="19">
        <f t="shared" si="33"/>
        <v>21.881639255864108</v>
      </c>
      <c r="O166" s="11"/>
      <c r="P166" s="2">
        <v>24075.919999999998</v>
      </c>
      <c r="Q166" s="2"/>
      <c r="R166" s="19">
        <f t="shared" si="34"/>
        <v>5.167189238581402E-3</v>
      </c>
      <c r="S166" s="2"/>
      <c r="T166" s="2">
        <v>7080.4</v>
      </c>
      <c r="U166" s="2"/>
      <c r="V166" s="19">
        <f t="shared" si="35"/>
        <v>4.3992914419336697E-4</v>
      </c>
      <c r="W166" s="2"/>
      <c r="X166" s="2">
        <f t="shared" si="36"/>
        <v>16995.519999999997</v>
      </c>
      <c r="Y166" s="2"/>
      <c r="Z166" s="19">
        <f t="shared" si="37"/>
        <v>2.4003615614937006</v>
      </c>
    </row>
    <row r="167" spans="1:26" s="24" customFormat="1" hidden="1" outlineLevel="1" x14ac:dyDescent="0.25">
      <c r="A167" s="44"/>
      <c r="B167" s="11" t="str">
        <f>CONCATENATE("          ", "5086", " - ", "PURCHASES @ COST-COMPUTER SUPP")</f>
        <v xml:space="preserve">          5086 - PURCHASES @ COST-COMPUTER SUPP</v>
      </c>
      <c r="C167" s="11"/>
      <c r="D167" s="2">
        <v>189.17</v>
      </c>
      <c r="E167" s="2"/>
      <c r="F167" s="19">
        <f t="shared" si="30"/>
        <v>4.7829776664247127E-4</v>
      </c>
      <c r="G167" s="2"/>
      <c r="H167" s="2">
        <v>913.55</v>
      </c>
      <c r="I167" s="2"/>
      <c r="J167" s="19">
        <f t="shared" si="31"/>
        <v>3.4643439204209389E-4</v>
      </c>
      <c r="K167" s="2"/>
      <c r="L167" s="2">
        <f t="shared" si="32"/>
        <v>-724.38</v>
      </c>
      <c r="M167" s="2"/>
      <c r="N167" s="19">
        <f t="shared" si="33"/>
        <v>-0.79292868480105083</v>
      </c>
      <c r="O167" s="11"/>
      <c r="P167" s="2">
        <v>22718.609999999997</v>
      </c>
      <c r="Q167" s="2"/>
      <c r="R167" s="19">
        <f t="shared" si="34"/>
        <v>4.8758825044911188E-3</v>
      </c>
      <c r="S167" s="2"/>
      <c r="T167" s="2">
        <v>19422.649999999998</v>
      </c>
      <c r="U167" s="2"/>
      <c r="V167" s="19">
        <f t="shared" si="35"/>
        <v>1.2067947845414522E-3</v>
      </c>
      <c r="W167" s="2"/>
      <c r="X167" s="2">
        <f t="shared" si="36"/>
        <v>3295.9599999999991</v>
      </c>
      <c r="Y167" s="2"/>
      <c r="Z167" s="19">
        <f t="shared" si="37"/>
        <v>0.16969672006652026</v>
      </c>
    </row>
    <row r="168" spans="1:26" s="24" customFormat="1" hidden="1" outlineLevel="1" x14ac:dyDescent="0.25">
      <c r="A168" s="44"/>
      <c r="B168" s="11" t="str">
        <f>CONCATENATE("          ", "5088", " - ", "PURCHASES @ COST-MUSIC")</f>
        <v xml:space="preserve">          5088 - PURCHASES @ COST-MUSIC</v>
      </c>
      <c r="C168" s="11"/>
      <c r="D168" s="2"/>
      <c r="E168" s="2"/>
      <c r="F168" s="19">
        <f t="shared" si="30"/>
        <v>0</v>
      </c>
      <c r="G168" s="2"/>
      <c r="H168" s="2"/>
      <c r="I168" s="2"/>
      <c r="J168" s="19">
        <f t="shared" si="31"/>
        <v>0</v>
      </c>
      <c r="K168" s="2"/>
      <c r="L168" s="2">
        <f t="shared" si="32"/>
        <v>0</v>
      </c>
      <c r="M168" s="2"/>
      <c r="N168" s="19">
        <f t="shared" si="33"/>
        <v>0</v>
      </c>
      <c r="O168" s="11"/>
      <c r="P168" s="2"/>
      <c r="Q168" s="2"/>
      <c r="R168" s="19">
        <f t="shared" si="34"/>
        <v>0</v>
      </c>
      <c r="S168" s="2"/>
      <c r="T168" s="2">
        <v>88.75</v>
      </c>
      <c r="U168" s="2"/>
      <c r="V168" s="19">
        <f t="shared" si="35"/>
        <v>5.5143369791482573E-6</v>
      </c>
      <c r="W168" s="2"/>
      <c r="X168" s="2">
        <f t="shared" si="36"/>
        <v>-88.75</v>
      </c>
      <c r="Y168" s="2"/>
      <c r="Z168" s="19">
        <f t="shared" si="37"/>
        <v>-1</v>
      </c>
    </row>
    <row r="169" spans="1:26" s="24" customFormat="1" hidden="1" outlineLevel="1" x14ac:dyDescent="0.25">
      <c r="A169" s="44"/>
      <c r="B169" s="11" t="str">
        <f>CONCATENATE("          ", "5092", " - ", "PURCHASES @ COST-GRAD MERCH")</f>
        <v xml:space="preserve">          5092 - PURCHASES @ COST-GRAD MERCH</v>
      </c>
      <c r="C169" s="11"/>
      <c r="D169" s="2"/>
      <c r="E169" s="2"/>
      <c r="F169" s="19">
        <f t="shared" si="30"/>
        <v>0</v>
      </c>
      <c r="G169" s="2"/>
      <c r="H169" s="2">
        <v>628</v>
      </c>
      <c r="I169" s="2"/>
      <c r="J169" s="19">
        <f t="shared" si="31"/>
        <v>2.3814875836290842E-4</v>
      </c>
      <c r="K169" s="2"/>
      <c r="L169" s="2">
        <f t="shared" si="32"/>
        <v>-628</v>
      </c>
      <c r="M169" s="2"/>
      <c r="N169" s="19">
        <f t="shared" si="33"/>
        <v>-1</v>
      </c>
      <c r="O169" s="11"/>
      <c r="P169" s="2"/>
      <c r="Q169" s="2"/>
      <c r="R169" s="19">
        <f t="shared" si="34"/>
        <v>0</v>
      </c>
      <c r="S169" s="2"/>
      <c r="T169" s="2">
        <v>1924.14</v>
      </c>
      <c r="U169" s="2"/>
      <c r="V169" s="19">
        <f t="shared" si="35"/>
        <v>1.1955331104291075E-4</v>
      </c>
      <c r="W169" s="2"/>
      <c r="X169" s="2">
        <f t="shared" si="36"/>
        <v>-1924.14</v>
      </c>
      <c r="Y169" s="2"/>
      <c r="Z169" s="19">
        <f t="shared" si="37"/>
        <v>-1</v>
      </c>
    </row>
    <row r="170" spans="1:26" s="24" customFormat="1" hidden="1" outlineLevel="1" x14ac:dyDescent="0.25">
      <c r="A170" s="44"/>
      <c r="B170" s="11" t="str">
        <f>CONCATENATE("          ", "5095", " - ", "PURCHASES @ COST-CUSTOMER SERV")</f>
        <v xml:space="preserve">          5095 - PURCHASES @ COST-CUSTOMER SERV</v>
      </c>
      <c r="C170" s="11"/>
      <c r="D170" s="2"/>
      <c r="E170" s="2"/>
      <c r="F170" s="19">
        <f t="shared" si="30"/>
        <v>0</v>
      </c>
      <c r="G170" s="2"/>
      <c r="H170" s="2"/>
      <c r="I170" s="2"/>
      <c r="J170" s="19">
        <f t="shared" si="31"/>
        <v>0</v>
      </c>
      <c r="K170" s="2"/>
      <c r="L170" s="2">
        <f t="shared" si="32"/>
        <v>0</v>
      </c>
      <c r="M170" s="2"/>
      <c r="N170" s="19">
        <f t="shared" si="33"/>
        <v>0</v>
      </c>
      <c r="O170" s="11"/>
      <c r="P170" s="2"/>
      <c r="Q170" s="2"/>
      <c r="R170" s="19">
        <f t="shared" si="34"/>
        <v>0</v>
      </c>
      <c r="S170" s="2"/>
      <c r="T170" s="2">
        <v>0</v>
      </c>
      <c r="U170" s="2"/>
      <c r="V170" s="19">
        <f t="shared" si="35"/>
        <v>0</v>
      </c>
      <c r="W170" s="2"/>
      <c r="X170" s="2">
        <f t="shared" si="36"/>
        <v>0</v>
      </c>
      <c r="Y170" s="2"/>
      <c r="Z170" s="19">
        <f t="shared" si="37"/>
        <v>0</v>
      </c>
    </row>
    <row r="171" spans="1:26" s="24" customFormat="1" hidden="1" outlineLevel="1" x14ac:dyDescent="0.25">
      <c r="A171" s="44"/>
      <c r="B171" s="11" t="str">
        <f>CONCATENATE("          ", "5200", " - ", "PURCHASES OFFSET")</f>
        <v xml:space="preserve">          5200 - PURCHASES OFFSET</v>
      </c>
      <c r="C171" s="11"/>
      <c r="D171" s="2">
        <v>120893.79999999999</v>
      </c>
      <c r="E171" s="2"/>
      <c r="F171" s="19">
        <f t="shared" si="30"/>
        <v>0.30566810033790554</v>
      </c>
      <c r="G171" s="2"/>
      <c r="H171" s="2">
        <v>27177</v>
      </c>
      <c r="I171" s="2"/>
      <c r="J171" s="19">
        <f t="shared" si="31"/>
        <v>1.0306001283485289E-2</v>
      </c>
      <c r="K171" s="2"/>
      <c r="L171" s="2">
        <f t="shared" si="32"/>
        <v>93716.799999999988</v>
      </c>
      <c r="M171" s="2"/>
      <c r="N171" s="19">
        <f t="shared" si="33"/>
        <v>3.4483865032932255</v>
      </c>
      <c r="O171" s="11"/>
      <c r="P171" s="2">
        <v>-2675815.56</v>
      </c>
      <c r="Q171" s="2"/>
      <c r="R171" s="19">
        <f t="shared" si="34"/>
        <v>-0.57428523462699121</v>
      </c>
      <c r="S171" s="2"/>
      <c r="T171" s="2">
        <v>-3845644</v>
      </c>
      <c r="U171" s="2"/>
      <c r="V171" s="19">
        <f t="shared" si="35"/>
        <v>-0.23894283851086898</v>
      </c>
      <c r="W171" s="2"/>
      <c r="X171" s="2">
        <f t="shared" si="36"/>
        <v>1169828.44</v>
      </c>
      <c r="Y171" s="2"/>
      <c r="Z171" s="19">
        <f t="shared" si="37"/>
        <v>-0.30419571858445554</v>
      </c>
    </row>
    <row r="172" spans="1:26" s="24" customFormat="1" hidden="1" outlineLevel="1" x14ac:dyDescent="0.25">
      <c r="A172" s="44"/>
      <c r="B172" s="11" t="str">
        <f>CONCATENATE("          ", "5300", " - ", "COG$ OFFSET")</f>
        <v xml:space="preserve">          5300 - COG$ OFFSET</v>
      </c>
      <c r="C172" s="11"/>
      <c r="D172" s="2">
        <v>117369</v>
      </c>
      <c r="E172" s="2"/>
      <c r="F172" s="19">
        <f t="shared" si="30"/>
        <v>0.29675598970798867</v>
      </c>
      <c r="G172" s="2"/>
      <c r="H172" s="2">
        <v>346925</v>
      </c>
      <c r="I172" s="2"/>
      <c r="J172" s="19">
        <f t="shared" si="31"/>
        <v>0.13156012419594268</v>
      </c>
      <c r="K172" s="2"/>
      <c r="L172" s="2">
        <f t="shared" si="32"/>
        <v>-229556</v>
      </c>
      <c r="M172" s="2"/>
      <c r="N172" s="19">
        <f t="shared" si="33"/>
        <v>-0.66168768465806727</v>
      </c>
      <c r="O172" s="11"/>
      <c r="P172" s="2">
        <v>2394333</v>
      </c>
      <c r="Q172" s="2"/>
      <c r="R172" s="19">
        <f t="shared" si="34"/>
        <v>0.51387326885869056</v>
      </c>
      <c r="S172" s="2"/>
      <c r="T172" s="2">
        <v>3679397</v>
      </c>
      <c r="U172" s="2"/>
      <c r="V172" s="19">
        <f t="shared" si="35"/>
        <v>0.22861335141484124</v>
      </c>
      <c r="W172" s="2"/>
      <c r="X172" s="2">
        <f t="shared" si="36"/>
        <v>-1285064</v>
      </c>
      <c r="Y172" s="2"/>
      <c r="Z172" s="19">
        <f t="shared" si="37"/>
        <v>-0.34925940310328024</v>
      </c>
    </row>
    <row r="173" spans="1:26" s="24" customFormat="1" hidden="1" outlineLevel="1" x14ac:dyDescent="0.25">
      <c r="A173" s="44"/>
      <c r="B173" s="11" t="str">
        <f>CONCATENATE("          ", "5500", " - ", "FREIGHT-IN")</f>
        <v xml:space="preserve">          5500 - FREIGHT-IN</v>
      </c>
      <c r="C173" s="11"/>
      <c r="D173" s="2"/>
      <c r="E173" s="2"/>
      <c r="F173" s="19">
        <f t="shared" si="30"/>
        <v>0</v>
      </c>
      <c r="G173" s="2"/>
      <c r="H173" s="2"/>
      <c r="I173" s="2"/>
      <c r="J173" s="19">
        <f t="shared" si="31"/>
        <v>0</v>
      </c>
      <c r="K173" s="2"/>
      <c r="L173" s="2">
        <f t="shared" si="32"/>
        <v>0</v>
      </c>
      <c r="M173" s="2"/>
      <c r="N173" s="19">
        <f t="shared" si="33"/>
        <v>0</v>
      </c>
      <c r="O173" s="11"/>
      <c r="P173" s="2"/>
      <c r="Q173" s="2"/>
      <c r="R173" s="19">
        <f t="shared" si="34"/>
        <v>0</v>
      </c>
      <c r="S173" s="2"/>
      <c r="T173" s="2">
        <v>35.229999999999997</v>
      </c>
      <c r="U173" s="2"/>
      <c r="V173" s="19">
        <f t="shared" si="35"/>
        <v>2.1889587805678095E-6</v>
      </c>
      <c r="W173" s="2"/>
      <c r="X173" s="2">
        <f t="shared" si="36"/>
        <v>-35.229999999999997</v>
      </c>
      <c r="Y173" s="2"/>
      <c r="Z173" s="19">
        <f t="shared" si="37"/>
        <v>-1</v>
      </c>
    </row>
    <row r="174" spans="1:26" s="24" customFormat="1" hidden="1" outlineLevel="1" x14ac:dyDescent="0.25">
      <c r="A174" s="44"/>
      <c r="B174" s="11" t="str">
        <f>CONCATENATE("          ", "5501", " - ", "FREIGHT-IN-NEW TEXT")</f>
        <v xml:space="preserve">          5501 - FREIGHT-IN-NEW TEXT</v>
      </c>
      <c r="C174" s="11"/>
      <c r="D174" s="2">
        <v>990.19</v>
      </c>
      <c r="E174" s="2"/>
      <c r="F174" s="19">
        <f t="shared" si="30"/>
        <v>2.5035981685875598E-3</v>
      </c>
      <c r="G174" s="2"/>
      <c r="H174" s="2">
        <v>490.07</v>
      </c>
      <c r="I174" s="2"/>
      <c r="J174" s="19">
        <f t="shared" si="31"/>
        <v>1.8584325160973014E-4</v>
      </c>
      <c r="K174" s="2"/>
      <c r="L174" s="2">
        <f t="shared" si="32"/>
        <v>500.12000000000006</v>
      </c>
      <c r="M174" s="2"/>
      <c r="N174" s="19">
        <f t="shared" si="33"/>
        <v>1.020507274470994</v>
      </c>
      <c r="O174" s="11"/>
      <c r="P174" s="2">
        <v>35048.81</v>
      </c>
      <c r="Q174" s="2"/>
      <c r="R174" s="19">
        <f t="shared" si="34"/>
        <v>7.5221978581538826E-3</v>
      </c>
      <c r="S174" s="2"/>
      <c r="T174" s="2">
        <v>34507.550000000003</v>
      </c>
      <c r="U174" s="2"/>
      <c r="V174" s="19">
        <f t="shared" si="35"/>
        <v>2.1440705242231827E-3</v>
      </c>
      <c r="W174" s="2"/>
      <c r="X174" s="2">
        <f t="shared" si="36"/>
        <v>541.25999999999476</v>
      </c>
      <c r="Y174" s="2"/>
      <c r="Z174" s="19">
        <f t="shared" si="37"/>
        <v>1.5685263080108404E-2</v>
      </c>
    </row>
    <row r="175" spans="1:26" s="24" customFormat="1" hidden="1" outlineLevel="1" x14ac:dyDescent="0.25">
      <c r="A175" s="44"/>
      <c r="B175" s="11" t="str">
        <f>CONCATENATE("          ", "5502", " - ", "FREIGHT-IN-USED TEXT")</f>
        <v xml:space="preserve">          5502 - FREIGHT-IN-USED TEXT</v>
      </c>
      <c r="C175" s="11"/>
      <c r="D175" s="2">
        <v>388.37</v>
      </c>
      <c r="E175" s="2"/>
      <c r="F175" s="19">
        <f t="shared" si="30"/>
        <v>9.8195540324013623E-4</v>
      </c>
      <c r="G175" s="2"/>
      <c r="H175" s="2">
        <v>237.65</v>
      </c>
      <c r="I175" s="2"/>
      <c r="J175" s="19">
        <f t="shared" si="31"/>
        <v>9.0121102587492334E-5</v>
      </c>
      <c r="K175" s="2"/>
      <c r="L175" s="2">
        <f t="shared" si="32"/>
        <v>150.72</v>
      </c>
      <c r="M175" s="2"/>
      <c r="N175" s="19">
        <f t="shared" si="33"/>
        <v>0.63420997264885337</v>
      </c>
      <c r="O175" s="11"/>
      <c r="P175" s="2">
        <v>11133.09</v>
      </c>
      <c r="Q175" s="2"/>
      <c r="R175" s="19">
        <f t="shared" si="34"/>
        <v>2.3893908452992958E-3</v>
      </c>
      <c r="S175" s="2"/>
      <c r="T175" s="2">
        <v>7090.12</v>
      </c>
      <c r="U175" s="2"/>
      <c r="V175" s="19">
        <f t="shared" si="35"/>
        <v>4.4053308059266075E-4</v>
      </c>
      <c r="W175" s="2"/>
      <c r="X175" s="2">
        <f t="shared" si="36"/>
        <v>4042.9700000000003</v>
      </c>
      <c r="Y175" s="2"/>
      <c r="Z175" s="19">
        <f t="shared" si="37"/>
        <v>0.57022589180437011</v>
      </c>
    </row>
    <row r="176" spans="1:26" s="24" customFormat="1" hidden="1" outlineLevel="1" x14ac:dyDescent="0.25">
      <c r="A176" s="44"/>
      <c r="B176" s="11" t="str">
        <f>CONCATENATE("          ", "5504", " - ", "FREIGHT-IN-DIGITAL TEXT")</f>
        <v xml:space="preserve">          5504 - FREIGHT-IN-DIGITAL TEXT</v>
      </c>
      <c r="C176" s="11"/>
      <c r="D176" s="2"/>
      <c r="E176" s="2"/>
      <c r="F176" s="19">
        <f t="shared" si="30"/>
        <v>0</v>
      </c>
      <c r="G176" s="2"/>
      <c r="H176" s="2">
        <v>5</v>
      </c>
      <c r="I176" s="2"/>
      <c r="J176" s="19">
        <f t="shared" si="31"/>
        <v>1.896088840469016E-6</v>
      </c>
      <c r="K176" s="2"/>
      <c r="L176" s="2">
        <f t="shared" si="32"/>
        <v>-5</v>
      </c>
      <c r="M176" s="2"/>
      <c r="N176" s="19">
        <f t="shared" si="33"/>
        <v>-1</v>
      </c>
      <c r="O176" s="11"/>
      <c r="P176" s="2">
        <v>21.98</v>
      </c>
      <c r="Q176" s="2"/>
      <c r="R176" s="19">
        <f t="shared" si="34"/>
        <v>4.7173615572746226E-6</v>
      </c>
      <c r="S176" s="2"/>
      <c r="T176" s="2">
        <v>105.97</v>
      </c>
      <c r="U176" s="2"/>
      <c r="V176" s="19">
        <f t="shared" si="35"/>
        <v>6.5842736865390512E-6</v>
      </c>
      <c r="W176" s="2"/>
      <c r="X176" s="2">
        <f t="shared" si="36"/>
        <v>-83.99</v>
      </c>
      <c r="Y176" s="2"/>
      <c r="Z176" s="19">
        <f t="shared" si="37"/>
        <v>-0.79258280645465695</v>
      </c>
    </row>
    <row r="177" spans="1:26" s="24" customFormat="1" hidden="1" outlineLevel="1" x14ac:dyDescent="0.25">
      <c r="A177" s="44"/>
      <c r="B177" s="11" t="str">
        <f>CONCATENATE("          ", "5513", " - ", "FREIGHT-IN-TRADE BOOKS")</f>
        <v xml:space="preserve">          5513 - FREIGHT-IN-TRADE BOOKS</v>
      </c>
      <c r="C177" s="11"/>
      <c r="D177" s="2">
        <v>26.46</v>
      </c>
      <c r="E177" s="2"/>
      <c r="F177" s="19">
        <f t="shared" si="30"/>
        <v>6.6901511367340442E-5</v>
      </c>
      <c r="G177" s="2"/>
      <c r="H177" s="2">
        <v>12.33</v>
      </c>
      <c r="I177" s="2"/>
      <c r="J177" s="19">
        <f t="shared" si="31"/>
        <v>4.675755080596594E-6</v>
      </c>
      <c r="K177" s="2"/>
      <c r="L177" s="2">
        <f t="shared" si="32"/>
        <v>14.13</v>
      </c>
      <c r="M177" s="2"/>
      <c r="N177" s="19">
        <f t="shared" si="33"/>
        <v>1.1459854014598541</v>
      </c>
      <c r="O177" s="11"/>
      <c r="P177" s="2">
        <v>26.46</v>
      </c>
      <c r="Q177" s="2"/>
      <c r="R177" s="19">
        <f t="shared" si="34"/>
        <v>5.6788620020694499E-6</v>
      </c>
      <c r="S177" s="2"/>
      <c r="T177" s="2">
        <v>12.33</v>
      </c>
      <c r="U177" s="2"/>
      <c r="V177" s="19">
        <f t="shared" si="35"/>
        <v>7.661045065115269E-7</v>
      </c>
      <c r="W177" s="2"/>
      <c r="X177" s="2">
        <f t="shared" si="36"/>
        <v>14.13</v>
      </c>
      <c r="Y177" s="2"/>
      <c r="Z177" s="19">
        <f t="shared" si="37"/>
        <v>1.1459854014598541</v>
      </c>
    </row>
    <row r="178" spans="1:26" s="24" customFormat="1" hidden="1" outlineLevel="1" x14ac:dyDescent="0.25">
      <c r="A178" s="44"/>
      <c r="B178" s="11" t="str">
        <f>CONCATENATE("          ", "5518", " - ", "FREIGHT-IN-STUDY GUIDES")</f>
        <v xml:space="preserve">          5518 - FREIGHT-IN-STUDY GUIDES</v>
      </c>
      <c r="C178" s="11"/>
      <c r="D178" s="2"/>
      <c r="E178" s="2"/>
      <c r="F178" s="19">
        <f t="shared" si="30"/>
        <v>0</v>
      </c>
      <c r="G178" s="2"/>
      <c r="H178" s="2">
        <v>12.26</v>
      </c>
      <c r="I178" s="2"/>
      <c r="J178" s="19">
        <f t="shared" si="31"/>
        <v>4.6492098368300271E-6</v>
      </c>
      <c r="K178" s="2"/>
      <c r="L178" s="2">
        <f t="shared" si="32"/>
        <v>-12.26</v>
      </c>
      <c r="M178" s="2"/>
      <c r="N178" s="19">
        <f t="shared" si="33"/>
        <v>-1</v>
      </c>
      <c r="O178" s="11"/>
      <c r="P178" s="2"/>
      <c r="Q178" s="2"/>
      <c r="R178" s="19">
        <f t="shared" si="34"/>
        <v>0</v>
      </c>
      <c r="S178" s="2"/>
      <c r="T178" s="2">
        <v>12.26</v>
      </c>
      <c r="U178" s="2"/>
      <c r="V178" s="19">
        <f t="shared" si="35"/>
        <v>7.6175517030262122E-7</v>
      </c>
      <c r="W178" s="2"/>
      <c r="X178" s="2">
        <f t="shared" si="36"/>
        <v>-12.26</v>
      </c>
      <c r="Y178" s="2"/>
      <c r="Z178" s="19">
        <f t="shared" si="37"/>
        <v>-1</v>
      </c>
    </row>
    <row r="179" spans="1:26" s="24" customFormat="1" hidden="1" outlineLevel="1" x14ac:dyDescent="0.25">
      <c r="A179" s="44"/>
      <c r="B179" s="11" t="str">
        <f>CONCATENATE("          ", "5525", " - ", "FREIGHT-IN-TEST FORMS")</f>
        <v xml:space="preserve">          5525 - FREIGHT-IN-TEST FORMS</v>
      </c>
      <c r="C179" s="11"/>
      <c r="D179" s="2"/>
      <c r="E179" s="2"/>
      <c r="F179" s="19">
        <f t="shared" si="30"/>
        <v>0</v>
      </c>
      <c r="G179" s="2"/>
      <c r="H179" s="2">
        <v>335.7</v>
      </c>
      <c r="I179" s="2"/>
      <c r="J179" s="19">
        <f t="shared" si="31"/>
        <v>1.2730340474908974E-4</v>
      </c>
      <c r="K179" s="2"/>
      <c r="L179" s="2">
        <f t="shared" si="32"/>
        <v>-335.7</v>
      </c>
      <c r="M179" s="2"/>
      <c r="N179" s="19">
        <f t="shared" si="33"/>
        <v>-1</v>
      </c>
      <c r="O179" s="11"/>
      <c r="P179" s="2">
        <v>48.14</v>
      </c>
      <c r="Q179" s="2"/>
      <c r="R179" s="19">
        <f t="shared" si="34"/>
        <v>1.0331837368844418E-5</v>
      </c>
      <c r="S179" s="2"/>
      <c r="T179" s="2">
        <v>374.92</v>
      </c>
      <c r="U179" s="2"/>
      <c r="V179" s="19">
        <f t="shared" si="35"/>
        <v>2.3295044734898758E-5</v>
      </c>
      <c r="W179" s="2"/>
      <c r="X179" s="2">
        <f t="shared" si="36"/>
        <v>-326.78000000000003</v>
      </c>
      <c r="Y179" s="2"/>
      <c r="Z179" s="19">
        <f t="shared" si="37"/>
        <v>-0.87159927451189589</v>
      </c>
    </row>
    <row r="180" spans="1:26" s="24" customFormat="1" hidden="1" outlineLevel="1" x14ac:dyDescent="0.25">
      <c r="A180" s="44"/>
      <c r="B180" s="11" t="str">
        <f>CONCATENATE("          ", "5526", " - ", "FREIGHT-IN-WRITING INSTRUMENTS")</f>
        <v xml:space="preserve">          5526 - FREIGHT-IN-WRITING INSTRUMENTS</v>
      </c>
      <c r="C180" s="11"/>
      <c r="D180" s="2"/>
      <c r="E180" s="2"/>
      <c r="F180" s="19">
        <f t="shared" si="30"/>
        <v>0</v>
      </c>
      <c r="G180" s="2"/>
      <c r="H180" s="2">
        <v>160.91999999999999</v>
      </c>
      <c r="I180" s="2"/>
      <c r="J180" s="19">
        <f t="shared" si="31"/>
        <v>6.1023723241654806E-5</v>
      </c>
      <c r="K180" s="2"/>
      <c r="L180" s="2">
        <f t="shared" si="32"/>
        <v>-160.91999999999999</v>
      </c>
      <c r="M180" s="2"/>
      <c r="N180" s="19">
        <f t="shared" si="33"/>
        <v>-1</v>
      </c>
      <c r="O180" s="11"/>
      <c r="P180" s="2"/>
      <c r="Q180" s="2"/>
      <c r="R180" s="19">
        <f t="shared" si="34"/>
        <v>0</v>
      </c>
      <c r="S180" s="2"/>
      <c r="T180" s="2">
        <v>217.49</v>
      </c>
      <c r="U180" s="2"/>
      <c r="V180" s="19">
        <f t="shared" si="35"/>
        <v>1.351338760106991E-5</v>
      </c>
      <c r="W180" s="2"/>
      <c r="X180" s="2">
        <f t="shared" si="36"/>
        <v>-217.49</v>
      </c>
      <c r="Y180" s="2"/>
      <c r="Z180" s="19">
        <f t="shared" si="37"/>
        <v>-1</v>
      </c>
    </row>
    <row r="181" spans="1:26" s="24" customFormat="1" hidden="1" outlineLevel="1" x14ac:dyDescent="0.25">
      <c r="A181" s="44"/>
      <c r="B181" s="11" t="str">
        <f>CONCATENATE("          ", "5527", " - ", "FREIGHT-IN-SCHOOL SUPPLIES")</f>
        <v xml:space="preserve">          5527 - FREIGHT-IN-SCHOOL SUPPLIES</v>
      </c>
      <c r="C181" s="11"/>
      <c r="D181" s="2"/>
      <c r="E181" s="2"/>
      <c r="F181" s="19">
        <f t="shared" si="30"/>
        <v>0</v>
      </c>
      <c r="G181" s="2"/>
      <c r="H181" s="2">
        <v>134.09</v>
      </c>
      <c r="I181" s="2"/>
      <c r="J181" s="19">
        <f t="shared" si="31"/>
        <v>5.0849310523698078E-5</v>
      </c>
      <c r="K181" s="2"/>
      <c r="L181" s="2">
        <f t="shared" si="32"/>
        <v>-134.09</v>
      </c>
      <c r="M181" s="2"/>
      <c r="N181" s="19">
        <f t="shared" si="33"/>
        <v>-1</v>
      </c>
      <c r="O181" s="11"/>
      <c r="P181" s="2">
        <v>56</v>
      </c>
      <c r="Q181" s="2"/>
      <c r="R181" s="19">
        <f t="shared" si="34"/>
        <v>1.2018755559935344E-5</v>
      </c>
      <c r="S181" s="2"/>
      <c r="T181" s="2">
        <v>872.58</v>
      </c>
      <c r="U181" s="2"/>
      <c r="V181" s="19">
        <f t="shared" si="35"/>
        <v>5.4216339845241538E-5</v>
      </c>
      <c r="W181" s="2"/>
      <c r="X181" s="2">
        <f t="shared" si="36"/>
        <v>-816.58</v>
      </c>
      <c r="Y181" s="2"/>
      <c r="Z181" s="19">
        <f t="shared" si="37"/>
        <v>-0.93582250338077888</v>
      </c>
    </row>
    <row r="182" spans="1:26" s="24" customFormat="1" hidden="1" outlineLevel="1" x14ac:dyDescent="0.25">
      <c r="A182" s="44"/>
      <c r="B182" s="11" t="str">
        <f>CONCATENATE("          ", "5528", " - ", "FREIGHT-IN-ART/TECH")</f>
        <v xml:space="preserve">          5528 - FREIGHT-IN-ART/TECH</v>
      </c>
      <c r="C182" s="11"/>
      <c r="D182" s="2">
        <v>1.72</v>
      </c>
      <c r="E182" s="2"/>
      <c r="F182" s="19">
        <f t="shared" si="30"/>
        <v>4.3488510790561431E-6</v>
      </c>
      <c r="G182" s="2"/>
      <c r="H182" s="2">
        <v>105.06</v>
      </c>
      <c r="I182" s="2"/>
      <c r="J182" s="19">
        <f t="shared" si="31"/>
        <v>3.984061871593497E-5</v>
      </c>
      <c r="K182" s="2"/>
      <c r="L182" s="2">
        <f t="shared" si="32"/>
        <v>-103.34</v>
      </c>
      <c r="M182" s="2"/>
      <c r="N182" s="19">
        <f t="shared" si="33"/>
        <v>-0.98362840281743769</v>
      </c>
      <c r="O182" s="11"/>
      <c r="P182" s="2">
        <v>285.92</v>
      </c>
      <c r="Q182" s="2"/>
      <c r="R182" s="19">
        <f t="shared" si="34"/>
        <v>6.1364331958869888E-5</v>
      </c>
      <c r="S182" s="2"/>
      <c r="T182" s="2">
        <v>923.5</v>
      </c>
      <c r="U182" s="2"/>
      <c r="V182" s="19">
        <f t="shared" si="35"/>
        <v>5.7380171270348343E-5</v>
      </c>
      <c r="W182" s="2"/>
      <c r="X182" s="2">
        <f t="shared" si="36"/>
        <v>-637.57999999999993</v>
      </c>
      <c r="Y182" s="2"/>
      <c r="Z182" s="19">
        <f t="shared" si="37"/>
        <v>-0.69039523551705462</v>
      </c>
    </row>
    <row r="183" spans="1:26" s="24" customFormat="1" hidden="1" outlineLevel="1" x14ac:dyDescent="0.25">
      <c r="A183" s="44"/>
      <c r="B183" s="11" t="str">
        <f>CONCATENATE("          ", "5540", " - ", "FREIGHT-IN-LOGO CLOTHING")</f>
        <v xml:space="preserve">          5540 - FREIGHT-IN-LOGO CLOTHING</v>
      </c>
      <c r="C183" s="11"/>
      <c r="D183" s="2">
        <v>1333.15</v>
      </c>
      <c r="E183" s="2"/>
      <c r="F183" s="19">
        <f t="shared" si="30"/>
        <v>3.3707388465370339E-3</v>
      </c>
      <c r="G183" s="2"/>
      <c r="H183" s="2">
        <v>6133.89</v>
      </c>
      <c r="I183" s="2"/>
      <c r="J183" s="19">
        <f t="shared" si="31"/>
        <v>2.3260800755328988E-3</v>
      </c>
      <c r="K183" s="2"/>
      <c r="L183" s="2">
        <f t="shared" si="32"/>
        <v>-4800.74</v>
      </c>
      <c r="M183" s="2"/>
      <c r="N183" s="19">
        <f t="shared" si="33"/>
        <v>-0.78265831307701961</v>
      </c>
      <c r="O183" s="11"/>
      <c r="P183" s="2">
        <v>4535.4799999999996</v>
      </c>
      <c r="Q183" s="2"/>
      <c r="R183" s="19">
        <f t="shared" si="34"/>
        <v>9.7340759762456336E-4</v>
      </c>
      <c r="S183" s="2"/>
      <c r="T183" s="2">
        <v>20241.329999999998</v>
      </c>
      <c r="U183" s="2"/>
      <c r="V183" s="19">
        <f t="shared" si="35"/>
        <v>1.2576621355058365E-3</v>
      </c>
      <c r="W183" s="2"/>
      <c r="X183" s="2">
        <f t="shared" si="36"/>
        <v>-15705.849999999999</v>
      </c>
      <c r="Y183" s="2"/>
      <c r="Z183" s="19">
        <f t="shared" si="37"/>
        <v>-0.77592974374707591</v>
      </c>
    </row>
    <row r="184" spans="1:26" s="24" customFormat="1" hidden="1" outlineLevel="1" x14ac:dyDescent="0.25">
      <c r="A184" s="44"/>
      <c r="B184" s="11" t="str">
        <f>CONCATENATE("          ", "5541", " - ", "FREIGHT-IN-LOGO GIFTS")</f>
        <v xml:space="preserve">          5541 - FREIGHT-IN-LOGO GIFTS</v>
      </c>
      <c r="C184" s="11"/>
      <c r="D184" s="2">
        <v>301.06</v>
      </c>
      <c r="E184" s="2"/>
      <c r="F184" s="19">
        <f t="shared" si="30"/>
        <v>7.6120064294223403E-4</v>
      </c>
      <c r="G184" s="2"/>
      <c r="H184" s="2">
        <v>1315.98</v>
      </c>
      <c r="I184" s="2"/>
      <c r="J184" s="19">
        <f t="shared" si="31"/>
        <v>4.9904299845608322E-4</v>
      </c>
      <c r="K184" s="2"/>
      <c r="L184" s="2">
        <f t="shared" si="32"/>
        <v>-1014.9200000000001</v>
      </c>
      <c r="M184" s="2"/>
      <c r="N184" s="19">
        <f t="shared" si="33"/>
        <v>-0.77122752625419844</v>
      </c>
      <c r="O184" s="11"/>
      <c r="P184" s="2">
        <v>1435.87</v>
      </c>
      <c r="Q184" s="2"/>
      <c r="R184" s="19">
        <f t="shared" si="34"/>
        <v>3.0816733117579217E-4</v>
      </c>
      <c r="S184" s="2"/>
      <c r="T184" s="2">
        <v>2852.83</v>
      </c>
      <c r="U184" s="2"/>
      <c r="V184" s="19">
        <f t="shared" si="35"/>
        <v>1.7725595452646223E-4</v>
      </c>
      <c r="W184" s="2"/>
      <c r="X184" s="2">
        <f t="shared" si="36"/>
        <v>-1416.96</v>
      </c>
      <c r="Y184" s="2"/>
      <c r="Z184" s="19">
        <f t="shared" si="37"/>
        <v>-0.49668574713530078</v>
      </c>
    </row>
    <row r="185" spans="1:26" s="24" customFormat="1" hidden="1" outlineLevel="1" x14ac:dyDescent="0.25">
      <c r="A185" s="44"/>
      <c r="B185" s="11" t="str">
        <f>CONCATENATE("          ", "5542", " - ", "FREIGHT-IN-EVERYDAY GIFTS")</f>
        <v xml:space="preserve">          5542 - FREIGHT-IN-EVERYDAY GIFTS</v>
      </c>
      <c r="C185" s="11"/>
      <c r="D185" s="2">
        <v>21</v>
      </c>
      <c r="E185" s="2"/>
      <c r="F185" s="19">
        <f t="shared" si="30"/>
        <v>5.3096437593127337E-5</v>
      </c>
      <c r="G185" s="2"/>
      <c r="H185" s="2">
        <v>745.78</v>
      </c>
      <c r="I185" s="2"/>
      <c r="J185" s="19">
        <f t="shared" si="31"/>
        <v>2.8281302708899655E-4</v>
      </c>
      <c r="K185" s="2"/>
      <c r="L185" s="2">
        <f t="shared" si="32"/>
        <v>-724.78</v>
      </c>
      <c r="M185" s="2"/>
      <c r="N185" s="19">
        <f t="shared" si="33"/>
        <v>-0.9718415618547025</v>
      </c>
      <c r="O185" s="11"/>
      <c r="P185" s="2">
        <v>196.55</v>
      </c>
      <c r="Q185" s="2"/>
      <c r="R185" s="19">
        <f t="shared" si="34"/>
        <v>4.2183685809023068E-5</v>
      </c>
      <c r="S185" s="2"/>
      <c r="T185" s="2">
        <v>1513.51</v>
      </c>
      <c r="U185" s="2"/>
      <c r="V185" s="19">
        <f t="shared" si="35"/>
        <v>9.4039483507725962E-5</v>
      </c>
      <c r="W185" s="2"/>
      <c r="X185" s="2">
        <f t="shared" si="36"/>
        <v>-1316.96</v>
      </c>
      <c r="Y185" s="2"/>
      <c r="Z185" s="19">
        <f t="shared" si="37"/>
        <v>-0.87013630567356681</v>
      </c>
    </row>
    <row r="186" spans="1:26" s="24" customFormat="1" hidden="1" outlineLevel="1" x14ac:dyDescent="0.25">
      <c r="A186" s="44"/>
      <c r="B186" s="11" t="str">
        <f>CONCATENATE("          ", "5543", " - ", "FREIGHT-IN-CARDS")</f>
        <v xml:space="preserve">          5543 - FREIGHT-IN-CARDS</v>
      </c>
      <c r="C186" s="11"/>
      <c r="D186" s="2">
        <v>6323.12</v>
      </c>
      <c r="E186" s="2"/>
      <c r="F186" s="19">
        <f t="shared" si="30"/>
        <v>1.5987387927326444E-2</v>
      </c>
      <c r="G186" s="2"/>
      <c r="H186" s="2">
        <v>39.01</v>
      </c>
      <c r="I186" s="2"/>
      <c r="J186" s="19">
        <f t="shared" si="31"/>
        <v>1.4793285133339263E-5</v>
      </c>
      <c r="K186" s="2"/>
      <c r="L186" s="2">
        <f t="shared" si="32"/>
        <v>6284.11</v>
      </c>
      <c r="M186" s="2"/>
      <c r="N186" s="19">
        <f t="shared" si="33"/>
        <v>161.08972058446551</v>
      </c>
      <c r="O186" s="11"/>
      <c r="P186" s="2">
        <v>6512.31</v>
      </c>
      <c r="Q186" s="2"/>
      <c r="R186" s="19">
        <f t="shared" si="34"/>
        <v>1.3976761075093311E-3</v>
      </c>
      <c r="S186" s="2"/>
      <c r="T186" s="2">
        <v>43.59</v>
      </c>
      <c r="U186" s="2"/>
      <c r="V186" s="19">
        <f t="shared" si="35"/>
        <v>2.7083937906599724E-6</v>
      </c>
      <c r="W186" s="2"/>
      <c r="X186" s="2">
        <f t="shared" si="36"/>
        <v>6468.72</v>
      </c>
      <c r="Y186" s="2"/>
      <c r="Z186" s="19">
        <f t="shared" si="37"/>
        <v>148.39917412250514</v>
      </c>
    </row>
    <row r="187" spans="1:26" s="24" customFormat="1" hidden="1" outlineLevel="1" x14ac:dyDescent="0.25">
      <c r="A187" s="44"/>
      <c r="B187" s="11" t="str">
        <f>CONCATENATE("          ", "5544", " - ", "FREIGHT-IN-ACCESSORIES")</f>
        <v xml:space="preserve">          5544 - FREIGHT-IN-ACCESSORIES</v>
      </c>
      <c r="C187" s="11"/>
      <c r="D187" s="2"/>
      <c r="E187" s="2"/>
      <c r="F187" s="19">
        <f t="shared" si="30"/>
        <v>0</v>
      </c>
      <c r="G187" s="2"/>
      <c r="H187" s="2">
        <v>54.82</v>
      </c>
      <c r="I187" s="2"/>
      <c r="J187" s="19">
        <f t="shared" si="31"/>
        <v>2.0788718046902294E-5</v>
      </c>
      <c r="K187" s="2"/>
      <c r="L187" s="2">
        <f t="shared" si="32"/>
        <v>-54.82</v>
      </c>
      <c r="M187" s="2"/>
      <c r="N187" s="19">
        <f t="shared" si="33"/>
        <v>-1</v>
      </c>
      <c r="O187" s="11"/>
      <c r="P187" s="2"/>
      <c r="Q187" s="2"/>
      <c r="R187" s="19">
        <f t="shared" si="34"/>
        <v>0</v>
      </c>
      <c r="S187" s="2"/>
      <c r="T187" s="2">
        <v>413.91</v>
      </c>
      <c r="U187" s="2"/>
      <c r="V187" s="19">
        <f t="shared" si="35"/>
        <v>2.5717625003259214E-5</v>
      </c>
      <c r="W187" s="2"/>
      <c r="X187" s="2">
        <f t="shared" si="36"/>
        <v>-413.91</v>
      </c>
      <c r="Y187" s="2"/>
      <c r="Z187" s="19">
        <f t="shared" si="37"/>
        <v>-1</v>
      </c>
    </row>
    <row r="188" spans="1:26" s="24" customFormat="1" hidden="1" outlineLevel="1" x14ac:dyDescent="0.25">
      <c r="A188" s="44"/>
      <c r="B188" s="11" t="str">
        <f>CONCATENATE("          ", "5545", " - ", "FREIGHT-IN-SPECIAL ORDERS")</f>
        <v xml:space="preserve">          5545 - FREIGHT-IN-SPECIAL ORDERS</v>
      </c>
      <c r="C188" s="11"/>
      <c r="D188" s="2">
        <v>37.590000000000003</v>
      </c>
      <c r="E188" s="2"/>
      <c r="F188" s="19">
        <f t="shared" si="30"/>
        <v>9.5042623291697933E-5</v>
      </c>
      <c r="G188" s="2"/>
      <c r="H188" s="2">
        <v>158.08000000000001</v>
      </c>
      <c r="I188" s="2"/>
      <c r="J188" s="19">
        <f t="shared" si="31"/>
        <v>5.9946744780268415E-5</v>
      </c>
      <c r="K188" s="2"/>
      <c r="L188" s="2">
        <f t="shared" si="32"/>
        <v>-120.49000000000001</v>
      </c>
      <c r="M188" s="2"/>
      <c r="N188" s="19">
        <f t="shared" si="33"/>
        <v>-0.76220900809716596</v>
      </c>
      <c r="O188" s="11"/>
      <c r="P188" s="2">
        <v>887.86</v>
      </c>
      <c r="Q188" s="2"/>
      <c r="R188" s="19">
        <f t="shared" si="34"/>
        <v>1.905530769900749E-4</v>
      </c>
      <c r="S188" s="2"/>
      <c r="T188" s="2">
        <v>505.06</v>
      </c>
      <c r="U188" s="2"/>
      <c r="V188" s="19">
        <f t="shared" si="35"/>
        <v>3.1381082080998523E-5</v>
      </c>
      <c r="W188" s="2"/>
      <c r="X188" s="2">
        <f t="shared" si="36"/>
        <v>382.8</v>
      </c>
      <c r="Y188" s="2"/>
      <c r="Z188" s="19">
        <f t="shared" si="37"/>
        <v>0.75792975092068271</v>
      </c>
    </row>
    <row r="189" spans="1:26" s="24" customFormat="1" hidden="1" outlineLevel="1" x14ac:dyDescent="0.25">
      <c r="A189" s="44"/>
      <c r="B189" s="11" t="str">
        <f>CONCATENATE("          ", "5581", " - ", "FREIGHT-IN-ELECTRONICS")</f>
        <v xml:space="preserve">          5581 - FREIGHT-IN-ELECTRONICS</v>
      </c>
      <c r="C189" s="11"/>
      <c r="D189" s="2"/>
      <c r="E189" s="2"/>
      <c r="F189" s="19">
        <f t="shared" si="30"/>
        <v>0</v>
      </c>
      <c r="G189" s="2"/>
      <c r="H189" s="2"/>
      <c r="I189" s="2"/>
      <c r="J189" s="19">
        <f t="shared" si="31"/>
        <v>0</v>
      </c>
      <c r="K189" s="2"/>
      <c r="L189" s="2">
        <f t="shared" si="32"/>
        <v>0</v>
      </c>
      <c r="M189" s="2"/>
      <c r="N189" s="19">
        <f t="shared" si="33"/>
        <v>0</v>
      </c>
      <c r="O189" s="11"/>
      <c r="P189" s="2"/>
      <c r="Q189" s="2"/>
      <c r="R189" s="19">
        <f t="shared" si="34"/>
        <v>0</v>
      </c>
      <c r="S189" s="2"/>
      <c r="T189" s="2">
        <v>105.75</v>
      </c>
      <c r="U189" s="2"/>
      <c r="V189" s="19">
        <f t="shared" si="35"/>
        <v>6.5706043441682054E-6</v>
      </c>
      <c r="W189" s="2"/>
      <c r="X189" s="2">
        <f t="shared" si="36"/>
        <v>-105.75</v>
      </c>
      <c r="Y189" s="2"/>
      <c r="Z189" s="19">
        <f t="shared" si="37"/>
        <v>-1</v>
      </c>
    </row>
    <row r="190" spans="1:26" s="24" customFormat="1" hidden="1" outlineLevel="1" x14ac:dyDescent="0.25">
      <c r="A190" s="44"/>
      <c r="B190" s="11" t="str">
        <f>CONCATENATE("          ", "5582", " - ", "FREIGHT-IN-COMPUTER HARDWARE")</f>
        <v xml:space="preserve">          5582 - FREIGHT-IN-COMPUTER HARDWARE</v>
      </c>
      <c r="C190" s="11"/>
      <c r="D190" s="2"/>
      <c r="E190" s="2"/>
      <c r="F190" s="19">
        <f t="shared" si="30"/>
        <v>0</v>
      </c>
      <c r="G190" s="2"/>
      <c r="H190" s="2"/>
      <c r="I190" s="2"/>
      <c r="J190" s="19">
        <f t="shared" si="31"/>
        <v>0</v>
      </c>
      <c r="K190" s="2"/>
      <c r="L190" s="2">
        <f t="shared" si="32"/>
        <v>0</v>
      </c>
      <c r="M190" s="2"/>
      <c r="N190" s="19">
        <f t="shared" si="33"/>
        <v>0</v>
      </c>
      <c r="O190" s="11"/>
      <c r="P190" s="2">
        <v>94</v>
      </c>
      <c r="Q190" s="2"/>
      <c r="R190" s="19">
        <f t="shared" si="34"/>
        <v>2.017433968989147E-5</v>
      </c>
      <c r="S190" s="2"/>
      <c r="T190" s="2">
        <v>4.84</v>
      </c>
      <c r="U190" s="2"/>
      <c r="V190" s="19">
        <f t="shared" si="35"/>
        <v>3.0072553215862043E-7</v>
      </c>
      <c r="W190" s="2"/>
      <c r="X190" s="2">
        <f t="shared" si="36"/>
        <v>89.16</v>
      </c>
      <c r="Y190" s="2"/>
      <c r="Z190" s="19">
        <f t="shared" si="37"/>
        <v>18.421487603305785</v>
      </c>
    </row>
    <row r="191" spans="1:26" s="24" customFormat="1" hidden="1" outlineLevel="1" x14ac:dyDescent="0.25">
      <c r="A191" s="44"/>
      <c r="B191" s="11" t="str">
        <f>CONCATENATE("          ", "5583", " - ", "FREIGHT-IN-COMPUTER EQUIPMENT")</f>
        <v xml:space="preserve">          5583 - FREIGHT-IN-COMPUTER EQUIPMENT</v>
      </c>
      <c r="C191" s="11"/>
      <c r="D191" s="2"/>
      <c r="E191" s="2"/>
      <c r="F191" s="19">
        <f t="shared" si="30"/>
        <v>0</v>
      </c>
      <c r="G191" s="2"/>
      <c r="H191" s="2"/>
      <c r="I191" s="2"/>
      <c r="J191" s="19">
        <f t="shared" si="31"/>
        <v>0</v>
      </c>
      <c r="K191" s="2"/>
      <c r="L191" s="2">
        <f t="shared" si="32"/>
        <v>0</v>
      </c>
      <c r="M191" s="2"/>
      <c r="N191" s="19">
        <f t="shared" si="33"/>
        <v>0</v>
      </c>
      <c r="O191" s="11"/>
      <c r="P191" s="2">
        <v>225.17</v>
      </c>
      <c r="Q191" s="2"/>
      <c r="R191" s="19">
        <f t="shared" si="34"/>
        <v>4.8326128382690022E-5</v>
      </c>
      <c r="S191" s="2"/>
      <c r="T191" s="2">
        <v>41</v>
      </c>
      <c r="U191" s="2"/>
      <c r="V191" s="19">
        <f t="shared" si="35"/>
        <v>2.5474683509304627E-6</v>
      </c>
      <c r="W191" s="2"/>
      <c r="X191" s="2">
        <f t="shared" si="36"/>
        <v>184.17</v>
      </c>
      <c r="Y191" s="2"/>
      <c r="Z191" s="19">
        <f t="shared" si="37"/>
        <v>4.4919512195121944</v>
      </c>
    </row>
    <row r="192" spans="1:26" s="24" customFormat="1" hidden="1" outlineLevel="1" x14ac:dyDescent="0.25">
      <c r="A192" s="44"/>
      <c r="B192" s="11" t="str">
        <f>CONCATENATE("          ", "5586", " - ", "FREIGHT-IN-COMPUTER SUPPLIES")</f>
        <v xml:space="preserve">          5586 - FREIGHT-IN-COMPUTER SUPPLIES</v>
      </c>
      <c r="C192" s="11"/>
      <c r="D192" s="2"/>
      <c r="E192" s="2"/>
      <c r="F192" s="19">
        <f t="shared" si="30"/>
        <v>0</v>
      </c>
      <c r="G192" s="2"/>
      <c r="H192" s="2"/>
      <c r="I192" s="2"/>
      <c r="J192" s="19">
        <f t="shared" si="31"/>
        <v>0</v>
      </c>
      <c r="K192" s="2"/>
      <c r="L192" s="2">
        <f t="shared" si="32"/>
        <v>0</v>
      </c>
      <c r="M192" s="2"/>
      <c r="N192" s="19">
        <f t="shared" si="33"/>
        <v>0</v>
      </c>
      <c r="O192" s="11"/>
      <c r="P192" s="2">
        <v>24.12</v>
      </c>
      <c r="Q192" s="2"/>
      <c r="R192" s="19">
        <f t="shared" si="34"/>
        <v>5.1766497161721519E-6</v>
      </c>
      <c r="S192" s="2"/>
      <c r="T192" s="2">
        <v>162.51</v>
      </c>
      <c r="U192" s="2"/>
      <c r="V192" s="19">
        <f t="shared" si="35"/>
        <v>1.0097294675846571E-5</v>
      </c>
      <c r="W192" s="2"/>
      <c r="X192" s="2">
        <f t="shared" si="36"/>
        <v>-138.38999999999999</v>
      </c>
      <c r="Y192" s="2"/>
      <c r="Z192" s="19">
        <f t="shared" si="37"/>
        <v>-0.85157836440834411</v>
      </c>
    </row>
    <row r="193" spans="1:26" s="24" customFormat="1" hidden="1" outlineLevel="1" x14ac:dyDescent="0.25">
      <c r="A193" s="44"/>
      <c r="B193" s="11" t="str">
        <f>CONCATENATE("          ", "5592", " - ", "FREIGHT-IN-GRAD MERCH")</f>
        <v xml:space="preserve">          5592 - FREIGHT-IN-GRAD MERCH</v>
      </c>
      <c r="C193" s="11"/>
      <c r="D193" s="2"/>
      <c r="E193" s="2"/>
      <c r="F193" s="19">
        <f t="shared" si="30"/>
        <v>0</v>
      </c>
      <c r="G193" s="2"/>
      <c r="H193" s="2">
        <v>35</v>
      </c>
      <c r="I193" s="2"/>
      <c r="J193" s="19">
        <f t="shared" si="31"/>
        <v>1.3272621883283113E-5</v>
      </c>
      <c r="K193" s="2"/>
      <c r="L193" s="2">
        <f t="shared" si="32"/>
        <v>-35</v>
      </c>
      <c r="M193" s="2"/>
      <c r="N193" s="19">
        <f t="shared" si="33"/>
        <v>-1</v>
      </c>
      <c r="O193" s="11"/>
      <c r="P193" s="2"/>
      <c r="Q193" s="2"/>
      <c r="R193" s="19">
        <f t="shared" si="34"/>
        <v>0</v>
      </c>
      <c r="S193" s="2"/>
      <c r="T193" s="2">
        <v>105.78</v>
      </c>
      <c r="U193" s="2"/>
      <c r="V193" s="19">
        <f t="shared" si="35"/>
        <v>6.5724683454005932E-6</v>
      </c>
      <c r="W193" s="2"/>
      <c r="X193" s="2">
        <f t="shared" si="36"/>
        <v>-105.78</v>
      </c>
      <c r="Y193" s="2"/>
      <c r="Z193" s="19">
        <f t="shared" si="37"/>
        <v>-1</v>
      </c>
    </row>
    <row r="194" spans="1:26" x14ac:dyDescent="0.25">
      <c r="A194" s="9"/>
      <c r="B194" s="10"/>
      <c r="C194" s="10"/>
      <c r="D194" s="3"/>
      <c r="E194" s="3"/>
      <c r="F194" s="8"/>
      <c r="G194" s="3"/>
      <c r="H194" s="3"/>
      <c r="I194" s="3"/>
      <c r="J194" s="8"/>
      <c r="K194" s="3"/>
      <c r="L194" s="3"/>
      <c r="M194" s="3"/>
      <c r="N194" s="8"/>
      <c r="O194" s="10"/>
      <c r="P194" s="3"/>
      <c r="Q194" s="3"/>
      <c r="R194" s="8"/>
      <c r="S194" s="3"/>
      <c r="T194" s="3"/>
      <c r="U194" s="3"/>
      <c r="V194" s="8"/>
      <c r="W194" s="3"/>
      <c r="X194" s="3"/>
      <c r="Y194" s="3"/>
      <c r="Z194" s="8"/>
    </row>
    <row r="195" spans="1:26" s="23" customFormat="1" x14ac:dyDescent="0.25">
      <c r="A195" s="10"/>
      <c r="B195" s="28" t="s">
        <v>6</v>
      </c>
      <c r="C195" s="28"/>
      <c r="D195" s="20">
        <f>D12-D134</f>
        <v>229696.64000000022</v>
      </c>
      <c r="E195" s="14"/>
      <c r="F195" s="22">
        <f>IF(D$12=0,0,D195/D$12)</f>
        <v>0.58076539576719277</v>
      </c>
      <c r="G195" s="14"/>
      <c r="H195" s="20">
        <f>H12-H134</f>
        <v>1693581.63</v>
      </c>
      <c r="I195" s="14"/>
      <c r="J195" s="22">
        <f>IF(H$12=0,0,H195/H$12)</f>
        <v>0.64223624581326522</v>
      </c>
      <c r="K195" s="15"/>
      <c r="L195" s="20">
        <f>+D195-H195</f>
        <v>-1463884.9899999998</v>
      </c>
      <c r="M195" s="15"/>
      <c r="N195" s="22">
        <f>IF(H195=0,0,L195/H195)</f>
        <v>-0.86437226530379874</v>
      </c>
      <c r="O195" s="29"/>
      <c r="P195" s="20">
        <f>P12-P134</f>
        <v>1676219.5899999999</v>
      </c>
      <c r="Q195" s="14"/>
      <c r="R195" s="22">
        <f>IF(P$12=0,0,P195/P$12)</f>
        <v>0.3597513128033043</v>
      </c>
      <c r="S195" s="14"/>
      <c r="T195" s="20">
        <f>T12-T134</f>
        <v>8906695.7799999937</v>
      </c>
      <c r="U195" s="14"/>
      <c r="V195" s="22">
        <f>IF(T$12=0,0,T195/T$12)</f>
        <v>0.55340306368087544</v>
      </c>
      <c r="W195" s="15"/>
      <c r="X195" s="20">
        <f>+P195-T195</f>
        <v>-7230476.1899999939</v>
      </c>
      <c r="Y195" s="15"/>
      <c r="Z195" s="22">
        <f>IF(T195=0,0,X195/T195)</f>
        <v>-0.81180230790368357</v>
      </c>
    </row>
    <row r="196" spans="1:26" x14ac:dyDescent="0.25">
      <c r="A196" s="9"/>
      <c r="B196" s="10"/>
      <c r="C196" s="9"/>
      <c r="D196" s="1"/>
      <c r="E196" s="1"/>
      <c r="F196" s="5"/>
      <c r="G196" s="1"/>
      <c r="H196" s="1"/>
      <c r="I196" s="1"/>
      <c r="J196" s="5"/>
      <c r="K196" s="1"/>
      <c r="L196" s="1"/>
      <c r="M196" s="1"/>
      <c r="N196" s="5"/>
      <c r="O196" s="37"/>
      <c r="P196" s="1"/>
      <c r="Q196" s="1"/>
      <c r="R196" s="5"/>
      <c r="S196" s="1"/>
      <c r="T196" s="1"/>
      <c r="U196" s="1"/>
      <c r="V196" s="5"/>
      <c r="W196" s="1"/>
      <c r="X196" s="1"/>
      <c r="Y196" s="1"/>
      <c r="Z196" s="5"/>
    </row>
    <row r="197" spans="1:26" s="23" customFormat="1" x14ac:dyDescent="0.25">
      <c r="A197" s="10"/>
      <c r="B197" s="29" t="s">
        <v>9</v>
      </c>
      <c r="C197" s="10"/>
      <c r="D197" s="21">
        <f>SUM(OSRRefD22x_0)</f>
        <v>643269.85999999964</v>
      </c>
      <c r="E197" s="21"/>
      <c r="F197" s="35">
        <f t="shared" ref="F197:F208" si="38">IF(D$12=0,0,D197/D$12)</f>
        <v>1.6264446655728446</v>
      </c>
      <c r="G197" s="21"/>
      <c r="H197" s="21">
        <f>SUM(OSRRefH22x_0)</f>
        <v>1464929.3199999996</v>
      </c>
      <c r="I197" s="21"/>
      <c r="J197" s="35">
        <f t="shared" ref="J197:J208" si="39">IF(H$12=0,0,H197/H$12)</f>
        <v>0.55552722714557268</v>
      </c>
      <c r="K197" s="4"/>
      <c r="L197" s="21">
        <f t="shared" ref="L197:L208" si="40">+D197-H197</f>
        <v>-821659.46</v>
      </c>
      <c r="M197" s="4"/>
      <c r="N197" s="35">
        <f t="shared" ref="N197:N208" si="41">IF(H197=0,0,L197/H197)</f>
        <v>-0.5608867600520141</v>
      </c>
      <c r="O197" s="10"/>
      <c r="P197" s="21">
        <f>SUM(OSRRefP22x_0)</f>
        <v>3556154.2099999995</v>
      </c>
      <c r="Q197" s="21"/>
      <c r="R197" s="35">
        <f t="shared" ref="R197:R208" si="42">IF(P$12=0,0,P197/P$12)</f>
        <v>0.76322407470401732</v>
      </c>
      <c r="S197" s="21"/>
      <c r="T197" s="21">
        <f>SUM(OSRRefT22x_0)</f>
        <v>7613129.8099999987</v>
      </c>
      <c r="U197" s="21"/>
      <c r="V197" s="35">
        <f t="shared" ref="V197:V208" si="43">IF(T$12=0,0,T197/T$12)</f>
        <v>0.47302944493903032</v>
      </c>
      <c r="W197" s="4"/>
      <c r="X197" s="21">
        <f t="shared" ref="X197:X208" si="44">+P197-T197</f>
        <v>-4056975.5999999992</v>
      </c>
      <c r="Y197" s="4"/>
      <c r="Z197" s="35">
        <f t="shared" ref="Z197:Z208" si="45">IF(T197=0,0,X197/T197)</f>
        <v>-0.53289195130642331</v>
      </c>
    </row>
    <row r="198" spans="1:26" s="26" customFormat="1" outlineLevel="1" collapsed="1" x14ac:dyDescent="0.25">
      <c r="A198" s="27"/>
      <c r="B198" s="13" t="str">
        <f>CONCATENATE("     ","*Benefits                                         ")</f>
        <v xml:space="preserve">     *Benefits                                         </v>
      </c>
      <c r="C198" s="13"/>
      <c r="D198" s="1">
        <f>SUM(OSRRefD22_0x_0)</f>
        <v>158302.27000000002</v>
      </c>
      <c r="E198" s="1"/>
      <c r="F198" s="5">
        <f t="shared" si="38"/>
        <v>0.40025174285263782</v>
      </c>
      <c r="G198" s="1"/>
      <c r="H198" s="1">
        <f>SUM(OSRRefH22_0x_0)</f>
        <v>223270.94999999998</v>
      </c>
      <c r="I198" s="1"/>
      <c r="J198" s="5">
        <f t="shared" si="39"/>
        <v>8.4668311339183122E-2</v>
      </c>
      <c r="K198" s="1"/>
      <c r="L198" s="1">
        <f t="shared" si="40"/>
        <v>-64968.679999999964</v>
      </c>
      <c r="M198" s="1"/>
      <c r="N198" s="5">
        <f t="shared" si="41"/>
        <v>-0.29098581790420996</v>
      </c>
      <c r="O198" s="13"/>
      <c r="P198" s="1">
        <f>SUM(OSRRefP22_0x_0)</f>
        <v>794263.98</v>
      </c>
      <c r="Q198" s="1"/>
      <c r="R198" s="5">
        <f t="shared" si="42"/>
        <v>0.17046543974431025</v>
      </c>
      <c r="S198" s="1"/>
      <c r="T198" s="1">
        <f>SUM(OSRRefT22_0x_0)</f>
        <v>1182016.74</v>
      </c>
      <c r="U198" s="1"/>
      <c r="V198" s="5">
        <f t="shared" si="43"/>
        <v>7.3442688668780523E-2</v>
      </c>
      <c r="W198" s="1"/>
      <c r="X198" s="1">
        <f t="shared" si="44"/>
        <v>-387752.76</v>
      </c>
      <c r="Y198" s="1"/>
      <c r="Z198" s="5">
        <f t="shared" si="45"/>
        <v>-0.32804337441109338</v>
      </c>
    </row>
    <row r="199" spans="1:26" s="24" customFormat="1" hidden="1" outlineLevel="2" x14ac:dyDescent="0.25">
      <c r="A199" s="25"/>
      <c r="B199" s="11" t="str">
        <f>CONCATENATE("          ", "6111", " - ", "F.I.C.A.")</f>
        <v xml:space="preserve">          6111 - F.I.C.A.</v>
      </c>
      <c r="C199" s="11"/>
      <c r="D199" s="6">
        <v>17572.8</v>
      </c>
      <c r="E199" s="2"/>
      <c r="F199" s="7">
        <f t="shared" si="38"/>
        <v>4.4431098977928948E-2</v>
      </c>
      <c r="G199" s="2"/>
      <c r="H199" s="6">
        <v>33272.93</v>
      </c>
      <c r="I199" s="2"/>
      <c r="J199" s="7">
        <f t="shared" si="39"/>
        <v>1.2617686252541348E-2</v>
      </c>
      <c r="K199" s="2"/>
      <c r="L199" s="6">
        <f t="shared" si="40"/>
        <v>-15700.130000000001</v>
      </c>
      <c r="M199" s="2"/>
      <c r="N199" s="7">
        <f t="shared" si="41"/>
        <v>-0.47185895561346719</v>
      </c>
      <c r="O199" s="11"/>
      <c r="P199" s="6">
        <v>116403.59</v>
      </c>
      <c r="Q199" s="2"/>
      <c r="R199" s="7">
        <f t="shared" si="42"/>
        <v>2.4982612401945253E-2</v>
      </c>
      <c r="S199" s="2"/>
      <c r="T199" s="6">
        <v>219872.78</v>
      </c>
      <c r="U199" s="2"/>
      <c r="V199" s="7">
        <f t="shared" si="43"/>
        <v>1.366143776295357E-2</v>
      </c>
      <c r="W199" s="2"/>
      <c r="X199" s="6">
        <f t="shared" si="44"/>
        <v>-103469.19</v>
      </c>
      <c r="Y199" s="2"/>
      <c r="Z199" s="7">
        <f t="shared" si="45"/>
        <v>-0.47058662741245189</v>
      </c>
    </row>
    <row r="200" spans="1:26" s="24" customFormat="1" hidden="1" outlineLevel="2" x14ac:dyDescent="0.25">
      <c r="A200" s="25"/>
      <c r="B200" s="11" t="str">
        <f>CONCATENATE("          ", "6112", " - ", "COMPENSATION INSURANCE")</f>
        <v xml:space="preserve">          6112 - COMPENSATION INSURANCE</v>
      </c>
      <c r="C200" s="11"/>
      <c r="D200" s="6">
        <v>12807.21</v>
      </c>
      <c r="E200" s="2"/>
      <c r="F200" s="7">
        <f t="shared" si="38"/>
        <v>3.2381772690813153E-2</v>
      </c>
      <c r="G200" s="2"/>
      <c r="H200" s="6">
        <v>24000.98</v>
      </c>
      <c r="I200" s="2"/>
      <c r="J200" s="7">
        <f t="shared" si="39"/>
        <v>9.1015980676640088E-3</v>
      </c>
      <c r="K200" s="2"/>
      <c r="L200" s="6">
        <f t="shared" si="40"/>
        <v>-11193.77</v>
      </c>
      <c r="M200" s="2"/>
      <c r="N200" s="7">
        <f t="shared" si="41"/>
        <v>-0.46638803915506788</v>
      </c>
      <c r="O200" s="11"/>
      <c r="P200" s="6">
        <v>44422.990000000005</v>
      </c>
      <c r="Q200" s="2"/>
      <c r="R200" s="7">
        <f t="shared" si="42"/>
        <v>9.5340903223473609E-3</v>
      </c>
      <c r="S200" s="2"/>
      <c r="T200" s="6">
        <v>77297.37999999999</v>
      </c>
      <c r="U200" s="2"/>
      <c r="V200" s="7">
        <f t="shared" si="43"/>
        <v>4.8027470526791531E-3</v>
      </c>
      <c r="W200" s="2"/>
      <c r="X200" s="6">
        <f t="shared" si="44"/>
        <v>-32874.389999999985</v>
      </c>
      <c r="Y200" s="2"/>
      <c r="Z200" s="7">
        <f t="shared" si="45"/>
        <v>-0.42529759740886419</v>
      </c>
    </row>
    <row r="201" spans="1:26" s="24" customFormat="1" hidden="1" outlineLevel="2" x14ac:dyDescent="0.25">
      <c r="A201" s="25"/>
      <c r="B201" s="11" t="str">
        <f>CONCATENATE("          ", "6113", " - ", "GROUP INSURANCE")</f>
        <v xml:space="preserve">          6113 - GROUP INSURANCE</v>
      </c>
      <c r="C201" s="11"/>
      <c r="D201" s="6">
        <v>74141.570000000007</v>
      </c>
      <c r="E201" s="2"/>
      <c r="F201" s="7">
        <f t="shared" si="38"/>
        <v>0.18745967831245153</v>
      </c>
      <c r="G201" s="2"/>
      <c r="H201" s="6">
        <v>98444.569999999992</v>
      </c>
      <c r="I201" s="2"/>
      <c r="J201" s="7">
        <f t="shared" si="39"/>
        <v>3.7331930116354176E-2</v>
      </c>
      <c r="K201" s="2"/>
      <c r="L201" s="6">
        <f t="shared" si="40"/>
        <v>-24302.999999999985</v>
      </c>
      <c r="M201" s="2"/>
      <c r="N201" s="7">
        <f t="shared" si="41"/>
        <v>-0.24686988830364121</v>
      </c>
      <c r="O201" s="11"/>
      <c r="P201" s="6">
        <v>374333.25</v>
      </c>
      <c r="Q201" s="2"/>
      <c r="R201" s="7">
        <f t="shared" si="42"/>
        <v>8.0339639816181557E-2</v>
      </c>
      <c r="S201" s="2"/>
      <c r="T201" s="6">
        <v>472170.2</v>
      </c>
      <c r="U201" s="2"/>
      <c r="V201" s="7">
        <f t="shared" si="43"/>
        <v>2.933752782323187E-2</v>
      </c>
      <c r="W201" s="2"/>
      <c r="X201" s="6">
        <f t="shared" si="44"/>
        <v>-97836.950000000012</v>
      </c>
      <c r="Y201" s="2"/>
      <c r="Z201" s="7">
        <f t="shared" si="45"/>
        <v>-0.20720695630516286</v>
      </c>
    </row>
    <row r="202" spans="1:26" s="24" customFormat="1" hidden="1" outlineLevel="2" x14ac:dyDescent="0.25">
      <c r="A202" s="25"/>
      <c r="B202" s="11" t="str">
        <f>CONCATENATE("          ", "6114", " - ", "STATE UNEMPLOYMENT INSURANCE")</f>
        <v xml:space="preserve">          6114 - STATE UNEMPLOYMENT INSURANCE</v>
      </c>
      <c r="C202" s="11"/>
      <c r="D202" s="6">
        <v>1325.17</v>
      </c>
      <c r="E202" s="2"/>
      <c r="F202" s="7">
        <f t="shared" si="38"/>
        <v>3.3505622002516452E-3</v>
      </c>
      <c r="G202" s="2"/>
      <c r="H202" s="6">
        <v>2035.38</v>
      </c>
      <c r="I202" s="2"/>
      <c r="J202" s="7">
        <f t="shared" si="39"/>
        <v>7.7185226082276525E-4</v>
      </c>
      <c r="K202" s="2"/>
      <c r="L202" s="6">
        <f t="shared" si="40"/>
        <v>-710.21</v>
      </c>
      <c r="M202" s="2"/>
      <c r="N202" s="7">
        <f t="shared" si="41"/>
        <v>-0.34893238609006672</v>
      </c>
      <c r="O202" s="11"/>
      <c r="P202" s="6">
        <v>4565.84</v>
      </c>
      <c r="Q202" s="2"/>
      <c r="R202" s="7">
        <f t="shared" si="42"/>
        <v>9.7992348010312843E-4</v>
      </c>
      <c r="S202" s="2"/>
      <c r="T202" s="6">
        <v>9663.49</v>
      </c>
      <c r="U202" s="2"/>
      <c r="V202" s="7">
        <f t="shared" si="43"/>
        <v>6.0042524230568325E-4</v>
      </c>
      <c r="W202" s="2"/>
      <c r="X202" s="6">
        <f t="shared" si="44"/>
        <v>-5097.6499999999996</v>
      </c>
      <c r="Y202" s="2"/>
      <c r="Z202" s="7">
        <f t="shared" si="45"/>
        <v>-0.5275164562699397</v>
      </c>
    </row>
    <row r="203" spans="1:26" s="24" customFormat="1" hidden="1" outlineLevel="2" x14ac:dyDescent="0.25">
      <c r="A203" s="25"/>
      <c r="B203" s="11" t="str">
        <f>CONCATENATE("          ", "6115", " - ", "P.E.R.S.")</f>
        <v xml:space="preserve">          6115 - P.E.R.S.</v>
      </c>
      <c r="C203" s="11"/>
      <c r="D203" s="6">
        <v>20058.54</v>
      </c>
      <c r="E203" s="2"/>
      <c r="F203" s="7">
        <f t="shared" si="38"/>
        <v>5.0716048443773733E-2</v>
      </c>
      <c r="G203" s="2"/>
      <c r="H203" s="6">
        <v>19307.53</v>
      </c>
      <c r="I203" s="2"/>
      <c r="J203" s="7">
        <f t="shared" si="39"/>
        <v>7.321758434004148E-3</v>
      </c>
      <c r="K203" s="2"/>
      <c r="L203" s="6">
        <f t="shared" si="40"/>
        <v>751.01000000000204</v>
      </c>
      <c r="M203" s="2"/>
      <c r="N203" s="7">
        <f t="shared" si="41"/>
        <v>3.8897259255844849E-2</v>
      </c>
      <c r="O203" s="11"/>
      <c r="P203" s="6">
        <v>81899.02</v>
      </c>
      <c r="Q203" s="2"/>
      <c r="R203" s="7">
        <f t="shared" si="42"/>
        <v>1.7577219678183143E-2</v>
      </c>
      <c r="S203" s="2"/>
      <c r="T203" s="6">
        <v>106559.84999999999</v>
      </c>
      <c r="U203" s="2"/>
      <c r="V203" s="7">
        <f t="shared" si="43"/>
        <v>6.6209230574365225E-3</v>
      </c>
      <c r="W203" s="2"/>
      <c r="X203" s="6">
        <f t="shared" si="44"/>
        <v>-24660.829999999987</v>
      </c>
      <c r="Y203" s="2"/>
      <c r="Z203" s="7">
        <f t="shared" si="45"/>
        <v>-0.23142703372799409</v>
      </c>
    </row>
    <row r="204" spans="1:26" s="24" customFormat="1" hidden="1" outlineLevel="2" x14ac:dyDescent="0.25">
      <c r="A204" s="25"/>
      <c r="B204" s="11" t="str">
        <f>CONCATENATE("          ", "6116", " - ", "EDUCATIONAL BENEFITS")</f>
        <v xml:space="preserve">          6116 - EDUCATIONAL BENEFITS</v>
      </c>
      <c r="C204" s="11"/>
      <c r="D204" s="6"/>
      <c r="E204" s="2"/>
      <c r="F204" s="7">
        <f t="shared" si="38"/>
        <v>0</v>
      </c>
      <c r="G204" s="2"/>
      <c r="H204" s="6"/>
      <c r="I204" s="2"/>
      <c r="J204" s="7">
        <f t="shared" si="39"/>
        <v>0</v>
      </c>
      <c r="K204" s="2"/>
      <c r="L204" s="6">
        <f t="shared" si="40"/>
        <v>0</v>
      </c>
      <c r="M204" s="2"/>
      <c r="N204" s="7">
        <f t="shared" si="41"/>
        <v>0</v>
      </c>
      <c r="O204" s="11"/>
      <c r="P204" s="6">
        <v>0</v>
      </c>
      <c r="Q204" s="2"/>
      <c r="R204" s="7">
        <f t="shared" si="42"/>
        <v>0</v>
      </c>
      <c r="S204" s="2"/>
      <c r="T204" s="6"/>
      <c r="U204" s="2"/>
      <c r="V204" s="7">
        <f t="shared" si="43"/>
        <v>0</v>
      </c>
      <c r="W204" s="2"/>
      <c r="X204" s="6">
        <f t="shared" si="44"/>
        <v>0</v>
      </c>
      <c r="Y204" s="2"/>
      <c r="Z204" s="7">
        <f t="shared" si="45"/>
        <v>0</v>
      </c>
    </row>
    <row r="205" spans="1:26" s="24" customFormat="1" hidden="1" outlineLevel="2" x14ac:dyDescent="0.25">
      <c r="A205" s="25"/>
      <c r="B205" s="11" t="str">
        <f>CONCATENATE("          ", "6117", " - ", "RETIREMENT STAFF HOURLY")</f>
        <v xml:space="preserve">          6117 - RETIREMENT STAFF HOURLY</v>
      </c>
      <c r="C205" s="11"/>
      <c r="D205" s="6">
        <v>1882.82</v>
      </c>
      <c r="E205" s="2"/>
      <c r="F205" s="7">
        <f t="shared" si="38"/>
        <v>4.7605254585281909E-3</v>
      </c>
      <c r="G205" s="2"/>
      <c r="H205" s="6">
        <v>2094.89</v>
      </c>
      <c r="I205" s="2"/>
      <c r="J205" s="7">
        <f t="shared" si="39"/>
        <v>7.9441951020202742E-4</v>
      </c>
      <c r="K205" s="2"/>
      <c r="L205" s="6">
        <f t="shared" si="40"/>
        <v>-212.06999999999994</v>
      </c>
      <c r="M205" s="2"/>
      <c r="N205" s="7">
        <f t="shared" si="41"/>
        <v>-0.10123204559666615</v>
      </c>
      <c r="O205" s="11"/>
      <c r="P205" s="6">
        <v>10367.33</v>
      </c>
      <c r="Q205" s="2"/>
      <c r="R205" s="7">
        <f t="shared" si="42"/>
        <v>2.22504294784258E-3</v>
      </c>
      <c r="S205" s="2"/>
      <c r="T205" s="6">
        <v>10091.290000000001</v>
      </c>
      <c r="U205" s="2"/>
      <c r="V205" s="7">
        <f t="shared" si="43"/>
        <v>6.2700589987953832E-4</v>
      </c>
      <c r="W205" s="2"/>
      <c r="X205" s="6">
        <f t="shared" si="44"/>
        <v>276.03999999999905</v>
      </c>
      <c r="Y205" s="2"/>
      <c r="Z205" s="7">
        <f t="shared" si="45"/>
        <v>2.7354282752750047E-2</v>
      </c>
    </row>
    <row r="206" spans="1:26" s="24" customFormat="1" hidden="1" outlineLevel="2" x14ac:dyDescent="0.25">
      <c r="A206" s="25"/>
      <c r="B206" s="11" t="str">
        <f>CONCATENATE("          ", "6118", " - ", "VACATION")</f>
        <v xml:space="preserve">          6118 - VACATION</v>
      </c>
      <c r="C206" s="11"/>
      <c r="D206" s="6">
        <v>15245.390000000001</v>
      </c>
      <c r="E206" s="2"/>
      <c r="F206" s="7">
        <f t="shared" si="38"/>
        <v>3.8546471367518459E-2</v>
      </c>
      <c r="G206" s="2"/>
      <c r="H206" s="6">
        <v>21289.58</v>
      </c>
      <c r="I206" s="2"/>
      <c r="J206" s="7">
        <f t="shared" si="39"/>
        <v>8.0733870112544726E-3</v>
      </c>
      <c r="K206" s="2"/>
      <c r="L206" s="6">
        <f t="shared" si="40"/>
        <v>-6044.1900000000005</v>
      </c>
      <c r="M206" s="2"/>
      <c r="N206" s="7">
        <f t="shared" si="41"/>
        <v>-0.28390367494332908</v>
      </c>
      <c r="O206" s="11"/>
      <c r="P206" s="6">
        <v>81412.099999999991</v>
      </c>
      <c r="Q206" s="2"/>
      <c r="R206" s="7">
        <f t="shared" si="42"/>
        <v>1.74727165985895E-2</v>
      </c>
      <c r="S206" s="2"/>
      <c r="T206" s="6">
        <v>126127.54</v>
      </c>
      <c r="U206" s="2"/>
      <c r="V206" s="7">
        <f t="shared" si="43"/>
        <v>7.8367296666028274E-3</v>
      </c>
      <c r="W206" s="2"/>
      <c r="X206" s="6">
        <f t="shared" si="44"/>
        <v>-44715.44</v>
      </c>
      <c r="Y206" s="2"/>
      <c r="Z206" s="7">
        <f t="shared" si="45"/>
        <v>-0.35452558576818355</v>
      </c>
    </row>
    <row r="207" spans="1:26" s="24" customFormat="1" hidden="1" outlineLevel="2" x14ac:dyDescent="0.25">
      <c r="A207" s="25"/>
      <c r="B207" s="11" t="str">
        <f>CONCATENATE("          ", "6119", " - ", "SICK LEAVE")</f>
        <v xml:space="preserve">          6119 - SICK LEAVE</v>
      </c>
      <c r="C207" s="11"/>
      <c r="D207" s="6">
        <v>10091.219999999999</v>
      </c>
      <c r="E207" s="2"/>
      <c r="F207" s="7">
        <f t="shared" si="38"/>
        <v>2.5514658712786589E-2</v>
      </c>
      <c r="G207" s="2"/>
      <c r="H207" s="6">
        <v>13694.34</v>
      </c>
      <c r="I207" s="2"/>
      <c r="J207" s="7">
        <f t="shared" si="39"/>
        <v>5.1931370503176932E-3</v>
      </c>
      <c r="K207" s="2"/>
      <c r="L207" s="6">
        <f t="shared" si="40"/>
        <v>-3603.1200000000008</v>
      </c>
      <c r="M207" s="2"/>
      <c r="N207" s="7">
        <f t="shared" si="41"/>
        <v>-0.26311016084017197</v>
      </c>
      <c r="O207" s="11"/>
      <c r="P207" s="6">
        <v>55306.81</v>
      </c>
      <c r="Q207" s="2"/>
      <c r="R207" s="7">
        <f t="shared" si="42"/>
        <v>1.1869982681960493E-2</v>
      </c>
      <c r="S207" s="2"/>
      <c r="T207" s="6">
        <v>115108.72</v>
      </c>
      <c r="U207" s="2"/>
      <c r="V207" s="7">
        <f t="shared" si="43"/>
        <v>7.1520931979540577E-3</v>
      </c>
      <c r="W207" s="2"/>
      <c r="X207" s="6">
        <f t="shared" si="44"/>
        <v>-59801.91</v>
      </c>
      <c r="Y207" s="2"/>
      <c r="Z207" s="7">
        <f t="shared" si="45"/>
        <v>-0.5195254538491958</v>
      </c>
    </row>
    <row r="208" spans="1:26" s="24" customFormat="1" hidden="1" outlineLevel="2" x14ac:dyDescent="0.25">
      <c r="A208" s="25"/>
      <c r="B208" s="11" t="str">
        <f>CONCATENATE("          ", "6156", " - ", "EMPLOYEE MEALS")</f>
        <v xml:space="preserve">          6156 - EMPLOYEE MEALS</v>
      </c>
      <c r="C208" s="11"/>
      <c r="D208" s="6">
        <v>5177.55</v>
      </c>
      <c r="E208" s="2"/>
      <c r="F208" s="7">
        <f t="shared" si="38"/>
        <v>1.3090926688585545E-2</v>
      </c>
      <c r="G208" s="2"/>
      <c r="H208" s="6">
        <v>9130.75</v>
      </c>
      <c r="I208" s="2"/>
      <c r="J208" s="7">
        <f t="shared" si="39"/>
        <v>3.4625426360224937E-3</v>
      </c>
      <c r="K208" s="2"/>
      <c r="L208" s="6">
        <f t="shared" si="40"/>
        <v>-3953.2</v>
      </c>
      <c r="M208" s="2"/>
      <c r="N208" s="7">
        <f t="shared" si="41"/>
        <v>-0.43295457656818986</v>
      </c>
      <c r="O208" s="11"/>
      <c r="P208" s="6">
        <v>25553.05</v>
      </c>
      <c r="Q208" s="2"/>
      <c r="R208" s="7">
        <f t="shared" si="42"/>
        <v>5.4842118171572465E-3</v>
      </c>
      <c r="S208" s="2"/>
      <c r="T208" s="6">
        <v>45125.49</v>
      </c>
      <c r="U208" s="2"/>
      <c r="V208" s="7">
        <f t="shared" si="43"/>
        <v>2.8037989657372945E-3</v>
      </c>
      <c r="W208" s="2"/>
      <c r="X208" s="6">
        <f t="shared" si="44"/>
        <v>-19572.439999999999</v>
      </c>
      <c r="Y208" s="2"/>
      <c r="Z208" s="7">
        <f t="shared" si="45"/>
        <v>-0.43373357275455621</v>
      </c>
    </row>
    <row r="209" spans="1:26" s="26" customFormat="1" outlineLevel="1" collapsed="1" x14ac:dyDescent="0.25">
      <c r="A209" s="27"/>
      <c r="B209" s="13" t="str">
        <f>CONCATENATE("     ","*Payroll                                          ")</f>
        <v xml:space="preserve">     *Payroll                                          </v>
      </c>
      <c r="C209" s="13"/>
      <c r="D209" s="1">
        <f>SUM(OSRRefD22_1x_0)</f>
        <v>249775.16999999998</v>
      </c>
      <c r="E209" s="1"/>
      <c r="F209" s="5">
        <f t="shared" ref="F209:F216" si="46">IF(D$12=0,0,D209/D$12)</f>
        <v>0.63153198696275092</v>
      </c>
      <c r="G209" s="1"/>
      <c r="H209" s="1">
        <f>SUM(OSRRefH22_1x_0)</f>
        <v>689781.73999999987</v>
      </c>
      <c r="I209" s="1"/>
      <c r="J209" s="5">
        <f t="shared" ref="J209:J216" si="47">IF(H$12=0,0,H209/H$12)</f>
        <v>0.26157749191466001</v>
      </c>
      <c r="K209" s="1"/>
      <c r="L209" s="1">
        <f t="shared" ref="L209:L216" si="48">+D209-H209</f>
        <v>-440006.56999999989</v>
      </c>
      <c r="M209" s="1"/>
      <c r="N209" s="5">
        <f t="shared" ref="N209:N216" si="49">IF(H209=0,0,L209/H209)</f>
        <v>-0.63789245856232724</v>
      </c>
      <c r="O209" s="13"/>
      <c r="P209" s="1">
        <f>SUM(OSRRefP22_1x_0)</f>
        <v>1466929.03</v>
      </c>
      <c r="Q209" s="1"/>
      <c r="R209" s="5">
        <f t="shared" ref="R209:R216" si="50">IF(P$12=0,0,P209/P$12)</f>
        <v>0.31483323991684037</v>
      </c>
      <c r="S209" s="1"/>
      <c r="T209" s="1">
        <f>SUM(OSRRefT22_1x_0)</f>
        <v>3711365.4499999997</v>
      </c>
      <c r="U209" s="1"/>
      <c r="V209" s="5">
        <f t="shared" ref="V209:V216" si="51">IF(T$12=0,0,T209/T$12)</f>
        <v>0.23059965908809252</v>
      </c>
      <c r="W209" s="1"/>
      <c r="X209" s="1">
        <f t="shared" ref="X209:X216" si="52">+P209-T209</f>
        <v>-2244436.42</v>
      </c>
      <c r="Y209" s="1"/>
      <c r="Z209" s="5">
        <f t="shared" ref="Z209:Z216" si="53">IF(T209=0,0,X209/T209)</f>
        <v>-0.60474681090755966</v>
      </c>
    </row>
    <row r="210" spans="1:26" s="24" customFormat="1" hidden="1" outlineLevel="2" x14ac:dyDescent="0.25">
      <c r="A210" s="25"/>
      <c r="B210" s="11" t="str">
        <f>CONCATENATE("          ", "6001", " - ", "ADMINISTRATIVE SALARIES")</f>
        <v xml:space="preserve">          6001 - ADMINISTRATIVE SALARIES</v>
      </c>
      <c r="C210" s="11"/>
      <c r="D210" s="6">
        <v>26464.799999999999</v>
      </c>
      <c r="E210" s="2"/>
      <c r="F210" s="7">
        <f t="shared" si="46"/>
        <v>6.6913647695933151E-2</v>
      </c>
      <c r="G210" s="2"/>
      <c r="H210" s="6">
        <v>35348.21</v>
      </c>
      <c r="I210" s="2"/>
      <c r="J210" s="7">
        <f t="shared" si="47"/>
        <v>1.3404669302311056E-2</v>
      </c>
      <c r="K210" s="2"/>
      <c r="L210" s="6">
        <f t="shared" si="48"/>
        <v>-8883.41</v>
      </c>
      <c r="M210" s="2"/>
      <c r="N210" s="7">
        <f t="shared" si="49"/>
        <v>-0.25131145254597048</v>
      </c>
      <c r="O210" s="11"/>
      <c r="P210" s="6">
        <v>142077.74</v>
      </c>
      <c r="Q210" s="2"/>
      <c r="R210" s="7">
        <f t="shared" si="50"/>
        <v>3.0492814778000858E-2</v>
      </c>
      <c r="S210" s="2"/>
      <c r="T210" s="6">
        <v>181824.62</v>
      </c>
      <c r="U210" s="2"/>
      <c r="V210" s="7">
        <f t="shared" si="51"/>
        <v>1.1297377191950194E-2</v>
      </c>
      <c r="W210" s="2"/>
      <c r="X210" s="6">
        <f t="shared" si="52"/>
        <v>-39746.880000000005</v>
      </c>
      <c r="Y210" s="2"/>
      <c r="Z210" s="7">
        <f t="shared" si="53"/>
        <v>-0.21860009937048133</v>
      </c>
    </row>
    <row r="211" spans="1:26" s="24" customFormat="1" hidden="1" outlineLevel="2" x14ac:dyDescent="0.25">
      <c r="A211" s="25"/>
      <c r="B211" s="11" t="str">
        <f>CONCATENATE("          ", "6002", " - ", "STAFF SALARIES")</f>
        <v xml:space="preserve">          6002 - STAFF SALARIES</v>
      </c>
      <c r="C211" s="11"/>
      <c r="D211" s="6">
        <v>92211.93</v>
      </c>
      <c r="E211" s="2"/>
      <c r="F211" s="7">
        <f t="shared" si="46"/>
        <v>0.23314880888508693</v>
      </c>
      <c r="G211" s="2"/>
      <c r="H211" s="6">
        <v>173971.50999999998</v>
      </c>
      <c r="I211" s="2"/>
      <c r="J211" s="7">
        <f t="shared" si="47"/>
        <v>6.597308773410876E-2</v>
      </c>
      <c r="K211" s="2"/>
      <c r="L211" s="6">
        <f t="shared" si="48"/>
        <v>-81759.579999999987</v>
      </c>
      <c r="M211" s="2"/>
      <c r="N211" s="7">
        <f t="shared" si="49"/>
        <v>-0.46995959280919042</v>
      </c>
      <c r="O211" s="11"/>
      <c r="P211" s="6">
        <v>563111.29</v>
      </c>
      <c r="Q211" s="2"/>
      <c r="R211" s="7">
        <f t="shared" si="50"/>
        <v>0.120855302634819</v>
      </c>
      <c r="S211" s="2"/>
      <c r="T211" s="6">
        <v>929812.57000000007</v>
      </c>
      <c r="U211" s="2"/>
      <c r="V211" s="7">
        <f t="shared" si="51"/>
        <v>5.7772392545666233E-2</v>
      </c>
      <c r="W211" s="2"/>
      <c r="X211" s="6">
        <f t="shared" si="52"/>
        <v>-366701.28</v>
      </c>
      <c r="Y211" s="2"/>
      <c r="Z211" s="7">
        <f t="shared" si="53"/>
        <v>-0.39438193441501873</v>
      </c>
    </row>
    <row r="212" spans="1:26" s="24" customFormat="1" hidden="1" outlineLevel="2" x14ac:dyDescent="0.25">
      <c r="A212" s="25"/>
      <c r="B212" s="11" t="str">
        <f>CONCATENATE("          ", "6004", " - ", "STAFF HOURLY")</f>
        <v xml:space="preserve">          6004 - STAFF HOURLY</v>
      </c>
      <c r="C212" s="11"/>
      <c r="D212" s="6">
        <v>65600.259999999995</v>
      </c>
      <c r="E212" s="2"/>
      <c r="F212" s="7">
        <f t="shared" si="46"/>
        <v>0.16586381481823462</v>
      </c>
      <c r="G212" s="2"/>
      <c r="H212" s="6">
        <v>84341.430000000008</v>
      </c>
      <c r="I212" s="2"/>
      <c r="J212" s="7">
        <f t="shared" si="47"/>
        <v>3.1983768842439739E-2</v>
      </c>
      <c r="K212" s="2"/>
      <c r="L212" s="6">
        <f t="shared" si="48"/>
        <v>-18741.170000000013</v>
      </c>
      <c r="M212" s="2"/>
      <c r="N212" s="7">
        <f t="shared" si="49"/>
        <v>-0.22220597872243819</v>
      </c>
      <c r="O212" s="11"/>
      <c r="P212" s="6">
        <v>350292.69</v>
      </c>
      <c r="Q212" s="2"/>
      <c r="R212" s="7">
        <f t="shared" si="50"/>
        <v>7.5180039563253712E-2</v>
      </c>
      <c r="S212" s="2"/>
      <c r="T212" s="6">
        <v>420768.59</v>
      </c>
      <c r="U212" s="2"/>
      <c r="V212" s="7">
        <f t="shared" si="51"/>
        <v>2.614377234367405E-2</v>
      </c>
      <c r="W212" s="2"/>
      <c r="X212" s="6">
        <f t="shared" si="52"/>
        <v>-70475.900000000023</v>
      </c>
      <c r="Y212" s="2"/>
      <c r="Z212" s="7">
        <f t="shared" si="53"/>
        <v>-0.1674932532392687</v>
      </c>
    </row>
    <row r="213" spans="1:26" s="24" customFormat="1" hidden="1" outlineLevel="2" x14ac:dyDescent="0.25">
      <c r="A213" s="25"/>
      <c r="B213" s="11" t="str">
        <f>CONCATENATE("          ", "6005", " - ", "TEMPORARY WAGES-HOURLY")</f>
        <v xml:space="preserve">          6005 - TEMPORARY WAGES-HOURLY</v>
      </c>
      <c r="C213" s="11"/>
      <c r="D213" s="6">
        <v>24886.17</v>
      </c>
      <c r="E213" s="2"/>
      <c r="F213" s="7">
        <f t="shared" si="46"/>
        <v>6.2922236777950363E-2</v>
      </c>
      <c r="G213" s="2"/>
      <c r="H213" s="6">
        <v>121885.31000000001</v>
      </c>
      <c r="I213" s="2"/>
      <c r="J213" s="7">
        <f t="shared" si="47"/>
        <v>4.6221075221621319E-2</v>
      </c>
      <c r="K213" s="2"/>
      <c r="L213" s="6">
        <f t="shared" si="48"/>
        <v>-96999.140000000014</v>
      </c>
      <c r="M213" s="2"/>
      <c r="N213" s="7">
        <f t="shared" si="49"/>
        <v>-0.7958230569377065</v>
      </c>
      <c r="O213" s="11"/>
      <c r="P213" s="6">
        <v>176590.79</v>
      </c>
      <c r="Q213" s="2"/>
      <c r="R213" s="7">
        <f t="shared" si="50"/>
        <v>3.7900027484747766E-2</v>
      </c>
      <c r="S213" s="2"/>
      <c r="T213" s="6">
        <v>657144.85</v>
      </c>
      <c r="U213" s="2"/>
      <c r="V213" s="7">
        <f t="shared" si="51"/>
        <v>4.0830627008584051E-2</v>
      </c>
      <c r="W213" s="2"/>
      <c r="X213" s="6">
        <f t="shared" si="52"/>
        <v>-480554.05999999994</v>
      </c>
      <c r="Y213" s="2"/>
      <c r="Z213" s="7">
        <f t="shared" si="53"/>
        <v>-0.73127569971825834</v>
      </c>
    </row>
    <row r="214" spans="1:26" s="24" customFormat="1" hidden="1" outlineLevel="2" x14ac:dyDescent="0.25">
      <c r="A214" s="25"/>
      <c r="B214" s="11" t="str">
        <f>CONCATENATE("          ", "6006", " - ", "TEMPORARY PART TIME")</f>
        <v xml:space="preserve">          6006 - TEMPORARY PART TIME</v>
      </c>
      <c r="C214" s="11"/>
      <c r="D214" s="6">
        <v>1048.44</v>
      </c>
      <c r="E214" s="2"/>
      <c r="F214" s="7">
        <f t="shared" si="46"/>
        <v>2.6508775728637346E-3</v>
      </c>
      <c r="G214" s="2"/>
      <c r="H214" s="6">
        <v>8565.98</v>
      </c>
      <c r="I214" s="2"/>
      <c r="J214" s="7">
        <f t="shared" si="47"/>
        <v>3.2483718171361564E-3</v>
      </c>
      <c r="K214" s="2"/>
      <c r="L214" s="6">
        <f t="shared" si="48"/>
        <v>-7517.5399999999991</v>
      </c>
      <c r="M214" s="2"/>
      <c r="N214" s="7">
        <f t="shared" si="49"/>
        <v>-0.87760419706793613</v>
      </c>
      <c r="O214" s="11"/>
      <c r="P214" s="6">
        <v>8555.61</v>
      </c>
      <c r="Q214" s="2"/>
      <c r="R214" s="7">
        <f t="shared" si="50"/>
        <v>1.8362104510024719E-3</v>
      </c>
      <c r="S214" s="2"/>
      <c r="T214" s="6">
        <v>73330.399999999994</v>
      </c>
      <c r="U214" s="2"/>
      <c r="V214" s="7">
        <f t="shared" si="51"/>
        <v>4.5562651990505168E-3</v>
      </c>
      <c r="W214" s="2"/>
      <c r="X214" s="6">
        <f t="shared" si="52"/>
        <v>-64774.789999999994</v>
      </c>
      <c r="Y214" s="2"/>
      <c r="Z214" s="7">
        <f t="shared" si="53"/>
        <v>-0.88332792402605198</v>
      </c>
    </row>
    <row r="215" spans="1:26" s="24" customFormat="1" hidden="1" outlineLevel="2" x14ac:dyDescent="0.25">
      <c r="A215" s="25"/>
      <c r="B215" s="11" t="str">
        <f>CONCATENATE("          ", "6007", " - ", "STUDENT HOURLY")</f>
        <v xml:space="preserve">          6007 - STUDENT HOURLY</v>
      </c>
      <c r="C215" s="11"/>
      <c r="D215" s="6">
        <v>36356.57</v>
      </c>
      <c r="E215" s="2"/>
      <c r="F215" s="7">
        <f t="shared" si="46"/>
        <v>9.1924016671674547E-2</v>
      </c>
      <c r="G215" s="2"/>
      <c r="H215" s="6">
        <v>239041.18999999997</v>
      </c>
      <c r="I215" s="2"/>
      <c r="J215" s="7">
        <f t="shared" si="47"/>
        <v>9.0648666554286744E-2</v>
      </c>
      <c r="K215" s="2"/>
      <c r="L215" s="6">
        <f t="shared" si="48"/>
        <v>-202684.61999999997</v>
      </c>
      <c r="M215" s="2"/>
      <c r="N215" s="7">
        <f t="shared" si="49"/>
        <v>-0.84790667248602636</v>
      </c>
      <c r="O215" s="11"/>
      <c r="P215" s="6">
        <v>210549.69</v>
      </c>
      <c r="Q215" s="2"/>
      <c r="R215" s="7">
        <f t="shared" si="50"/>
        <v>4.5188308166610056E-2</v>
      </c>
      <c r="S215" s="2"/>
      <c r="T215" s="6">
        <v>1312816.8499999999</v>
      </c>
      <c r="U215" s="2"/>
      <c r="V215" s="7">
        <f t="shared" si="51"/>
        <v>8.1569740876664007E-2</v>
      </c>
      <c r="W215" s="2"/>
      <c r="X215" s="6">
        <f t="shared" si="52"/>
        <v>-1102267.1599999999</v>
      </c>
      <c r="Y215" s="2"/>
      <c r="Z215" s="7">
        <f t="shared" si="53"/>
        <v>-0.83961990585358504</v>
      </c>
    </row>
    <row r="216" spans="1:26" s="24" customFormat="1" hidden="1" outlineLevel="2" x14ac:dyDescent="0.25">
      <c r="A216" s="25"/>
      <c r="B216" s="11" t="str">
        <f>CONCATENATE("          ", "6008", " - ", "STUDENT HOURLY-FICA EXEMPT")</f>
        <v xml:space="preserve">          6008 - STUDENT HOURLY-FICA EXEMPT</v>
      </c>
      <c r="C216" s="11"/>
      <c r="D216" s="6">
        <v>3207</v>
      </c>
      <c r="E216" s="2"/>
      <c r="F216" s="7">
        <f t="shared" si="46"/>
        <v>8.108584541007588E-3</v>
      </c>
      <c r="G216" s="2"/>
      <c r="H216" s="6">
        <v>26628.11</v>
      </c>
      <c r="I216" s="2"/>
      <c r="J216" s="7">
        <f t="shared" si="47"/>
        <v>1.0097852442756282E-2</v>
      </c>
      <c r="K216" s="2"/>
      <c r="L216" s="6">
        <f t="shared" si="48"/>
        <v>-23421.11</v>
      </c>
      <c r="M216" s="2"/>
      <c r="N216" s="7">
        <f t="shared" si="49"/>
        <v>-0.87956336367845855</v>
      </c>
      <c r="O216" s="11"/>
      <c r="P216" s="6">
        <v>15751.22</v>
      </c>
      <c r="Q216" s="2"/>
      <c r="R216" s="7">
        <f t="shared" si="50"/>
        <v>3.3805368384065139E-3</v>
      </c>
      <c r="S216" s="2"/>
      <c r="T216" s="6">
        <v>135667.57</v>
      </c>
      <c r="U216" s="2"/>
      <c r="V216" s="7">
        <f t="shared" si="51"/>
        <v>8.42948392250349E-3</v>
      </c>
      <c r="W216" s="2"/>
      <c r="X216" s="6">
        <f t="shared" si="52"/>
        <v>-119916.35</v>
      </c>
      <c r="Y216" s="2"/>
      <c r="Z216" s="7">
        <f t="shared" si="53"/>
        <v>-0.8838984143373394</v>
      </c>
    </row>
    <row r="217" spans="1:26" s="26" customFormat="1" outlineLevel="1" collapsed="1" x14ac:dyDescent="0.25">
      <c r="A217" s="27"/>
      <c r="B217" s="13" t="str">
        <f>CONCATENATE("     ","Advertising/Promo                                 ")</f>
        <v xml:space="preserve">     Advertising/Promo                                 </v>
      </c>
      <c r="C217" s="13"/>
      <c r="D217" s="1">
        <f>SUM(OSRRefD22_2x_0)</f>
        <v>664.68</v>
      </c>
      <c r="E217" s="1"/>
      <c r="F217" s="5">
        <f t="shared" ref="F217:F221" si="54">IF(D$12=0,0,D217/D$12)</f>
        <v>1.6805781018761844E-3</v>
      </c>
      <c r="G217" s="1"/>
      <c r="H217" s="1">
        <f>SUM(OSRRefH22_2x_0)</f>
        <v>20359.849999999999</v>
      </c>
      <c r="I217" s="1"/>
      <c r="J217" s="5">
        <f t="shared" ref="J217:J221" si="55">IF(H$12=0,0,H217/H$12)</f>
        <v>7.7208168757246188E-3</v>
      </c>
      <c r="K217" s="1"/>
      <c r="L217" s="1">
        <f t="shared" ref="L217:L221" si="56">+D217-H217</f>
        <v>-19695.169999999998</v>
      </c>
      <c r="M217" s="1"/>
      <c r="N217" s="5">
        <f t="shared" ref="N217:N221" si="57">IF(H217=0,0,L217/H217)</f>
        <v>-0.96735339405742182</v>
      </c>
      <c r="O217" s="13"/>
      <c r="P217" s="1">
        <f>SUM(OSRRefP22_2x_0)</f>
        <v>16162.94</v>
      </c>
      <c r="Q217" s="1"/>
      <c r="R217" s="5">
        <f t="shared" ref="R217:R221" si="58">IF(P$12=0,0,P217/P$12)</f>
        <v>3.4689004462482385E-3</v>
      </c>
      <c r="S217" s="1"/>
      <c r="T217" s="1">
        <f>SUM(OSRRefT22_2x_0)</f>
        <v>60836.729999999996</v>
      </c>
      <c r="U217" s="1"/>
      <c r="V217" s="5">
        <f t="shared" ref="V217:V221" si="59">IF(T$12=0,0,T217/T$12)</f>
        <v>3.779991323148824E-3</v>
      </c>
      <c r="W217" s="1"/>
      <c r="X217" s="1">
        <f t="shared" ref="X217:X221" si="60">+P217-T217</f>
        <v>-44673.789999999994</v>
      </c>
      <c r="Y217" s="1"/>
      <c r="Z217" s="5">
        <f t="shared" ref="Z217:Z221" si="61">IF(T217=0,0,X217/T217)</f>
        <v>-0.73432266987393957</v>
      </c>
    </row>
    <row r="218" spans="1:26" s="24" customFormat="1" hidden="1" outlineLevel="2" x14ac:dyDescent="0.25">
      <c r="A218" s="25"/>
      <c r="B218" s="11" t="str">
        <f>CONCATENATE("          ", "6362", " - ", "ADVERTISING EXPENSE")</f>
        <v xml:space="preserve">          6362 - ADVERTISING EXPENSE</v>
      </c>
      <c r="C218" s="11"/>
      <c r="D218" s="6">
        <v>664.68</v>
      </c>
      <c r="E218" s="2"/>
      <c r="F218" s="7">
        <f t="shared" si="54"/>
        <v>1.6805781018761844E-3</v>
      </c>
      <c r="G218" s="2"/>
      <c r="H218" s="6">
        <v>20359.849999999999</v>
      </c>
      <c r="I218" s="2"/>
      <c r="J218" s="7">
        <f t="shared" si="55"/>
        <v>7.7208168757246188E-3</v>
      </c>
      <c r="K218" s="2"/>
      <c r="L218" s="6">
        <f t="shared" si="56"/>
        <v>-19695.169999999998</v>
      </c>
      <c r="M218" s="2"/>
      <c r="N218" s="7">
        <f t="shared" si="57"/>
        <v>-0.96735339405742182</v>
      </c>
      <c r="O218" s="11"/>
      <c r="P218" s="6">
        <v>16162.94</v>
      </c>
      <c r="Q218" s="2"/>
      <c r="R218" s="7">
        <f t="shared" si="58"/>
        <v>3.4689004462482385E-3</v>
      </c>
      <c r="S218" s="2"/>
      <c r="T218" s="6">
        <v>60836.729999999996</v>
      </c>
      <c r="U218" s="2"/>
      <c r="V218" s="7">
        <f t="shared" si="59"/>
        <v>3.779991323148824E-3</v>
      </c>
      <c r="W218" s="2"/>
      <c r="X218" s="6">
        <f t="shared" si="60"/>
        <v>-44673.789999999994</v>
      </c>
      <c r="Y218" s="2"/>
      <c r="Z218" s="7">
        <f t="shared" si="61"/>
        <v>-0.73432266987393957</v>
      </c>
    </row>
    <row r="219" spans="1:26" s="26" customFormat="1" outlineLevel="1" collapsed="1" x14ac:dyDescent="0.25">
      <c r="A219" s="27"/>
      <c r="B219" s="13" t="str">
        <f>CONCATENATE("     ","Bad Debts/Over/Short                              ")</f>
        <v xml:space="preserve">     Bad Debts/Over/Short                              </v>
      </c>
      <c r="C219" s="13"/>
      <c r="D219" s="1">
        <f>SUM(OSRRefD22_3x_0)</f>
        <v>-1330.49</v>
      </c>
      <c r="E219" s="1"/>
      <c r="F219" s="5">
        <f t="shared" si="54"/>
        <v>-3.3640132977752375E-3</v>
      </c>
      <c r="G219" s="1"/>
      <c r="H219" s="1">
        <f>SUM(OSRRefH22_3x_0)</f>
        <v>94.49</v>
      </c>
      <c r="I219" s="1"/>
      <c r="J219" s="5">
        <f t="shared" si="55"/>
        <v>3.5832286907183461E-5</v>
      </c>
      <c r="K219" s="1"/>
      <c r="L219" s="1">
        <f t="shared" si="56"/>
        <v>-1424.98</v>
      </c>
      <c r="M219" s="1"/>
      <c r="N219" s="5">
        <f t="shared" si="57"/>
        <v>-15.080749285638692</v>
      </c>
      <c r="O219" s="13"/>
      <c r="P219" s="1">
        <f>SUM(OSRRefP22_3x_0)</f>
        <v>131.4</v>
      </c>
      <c r="Q219" s="1"/>
      <c r="R219" s="5">
        <f t="shared" si="58"/>
        <v>2.8201151438848288E-5</v>
      </c>
      <c r="S219" s="1"/>
      <c r="T219" s="1">
        <f>SUM(OSRRefT22_3x_0)</f>
        <v>-174.35000000000002</v>
      </c>
      <c r="U219" s="1"/>
      <c r="V219" s="5">
        <f t="shared" si="59"/>
        <v>-1.083295382889576E-5</v>
      </c>
      <c r="W219" s="1"/>
      <c r="X219" s="1">
        <f t="shared" si="60"/>
        <v>305.75</v>
      </c>
      <c r="Y219" s="1"/>
      <c r="Z219" s="5">
        <f t="shared" si="61"/>
        <v>-1.7536564381990247</v>
      </c>
    </row>
    <row r="220" spans="1:26" s="24" customFormat="1" hidden="1" outlineLevel="2" x14ac:dyDescent="0.25">
      <c r="A220" s="25"/>
      <c r="B220" s="11" t="str">
        <f>CONCATENATE("          ", "6272", " - ", "CASH (OVER/SHORT)")</f>
        <v xml:space="preserve">          6272 - CASH (OVER/SHORT)</v>
      </c>
      <c r="C220" s="11"/>
      <c r="D220" s="6">
        <v>-1330.49</v>
      </c>
      <c r="E220" s="2"/>
      <c r="F220" s="7">
        <f t="shared" si="54"/>
        <v>-3.3640132977752375E-3</v>
      </c>
      <c r="G220" s="2"/>
      <c r="H220" s="6">
        <v>94.49</v>
      </c>
      <c r="I220" s="2"/>
      <c r="J220" s="7">
        <f t="shared" si="55"/>
        <v>3.5832286907183461E-5</v>
      </c>
      <c r="K220" s="2"/>
      <c r="L220" s="6">
        <f t="shared" si="56"/>
        <v>-1424.98</v>
      </c>
      <c r="M220" s="2"/>
      <c r="N220" s="7">
        <f t="shared" si="57"/>
        <v>-15.080749285638692</v>
      </c>
      <c r="O220" s="11"/>
      <c r="P220" s="6">
        <v>131.4</v>
      </c>
      <c r="Q220" s="2"/>
      <c r="R220" s="7">
        <f t="shared" si="58"/>
        <v>2.8201151438848288E-5</v>
      </c>
      <c r="S220" s="2"/>
      <c r="T220" s="6">
        <v>-219.15</v>
      </c>
      <c r="U220" s="2"/>
      <c r="V220" s="7">
        <f t="shared" si="59"/>
        <v>-1.3616529002595387E-5</v>
      </c>
      <c r="W220" s="2"/>
      <c r="X220" s="6">
        <f t="shared" si="60"/>
        <v>350.55</v>
      </c>
      <c r="Y220" s="2"/>
      <c r="Z220" s="7">
        <f t="shared" si="61"/>
        <v>-1.5995893223819302</v>
      </c>
    </row>
    <row r="221" spans="1:26" s="24" customFormat="1" hidden="1" outlineLevel="2" x14ac:dyDescent="0.25">
      <c r="A221" s="25"/>
      <c r="B221" s="11" t="str">
        <f>CONCATENATE("          ", "6342", " - ", "BAD DEBT")</f>
        <v xml:space="preserve">          6342 - BAD DEBT</v>
      </c>
      <c r="C221" s="11"/>
      <c r="D221" s="6"/>
      <c r="E221" s="2"/>
      <c r="F221" s="7">
        <f t="shared" si="54"/>
        <v>0</v>
      </c>
      <c r="G221" s="2"/>
      <c r="H221" s="6"/>
      <c r="I221" s="2"/>
      <c r="J221" s="7">
        <f t="shared" si="55"/>
        <v>0</v>
      </c>
      <c r="K221" s="2"/>
      <c r="L221" s="6">
        <f t="shared" si="56"/>
        <v>0</v>
      </c>
      <c r="M221" s="2"/>
      <c r="N221" s="7">
        <f t="shared" si="57"/>
        <v>0</v>
      </c>
      <c r="O221" s="11"/>
      <c r="P221" s="6"/>
      <c r="Q221" s="2"/>
      <c r="R221" s="7">
        <f t="shared" si="58"/>
        <v>0</v>
      </c>
      <c r="S221" s="2"/>
      <c r="T221" s="6">
        <v>44.8</v>
      </c>
      <c r="U221" s="2"/>
      <c r="V221" s="7">
        <f t="shared" si="59"/>
        <v>2.7835751736996271E-6</v>
      </c>
      <c r="W221" s="2"/>
      <c r="X221" s="6">
        <f t="shared" si="60"/>
        <v>-44.8</v>
      </c>
      <c r="Y221" s="2"/>
      <c r="Z221" s="7">
        <f t="shared" si="61"/>
        <v>-1</v>
      </c>
    </row>
    <row r="222" spans="1:26" s="26" customFormat="1" outlineLevel="1" collapsed="1" x14ac:dyDescent="0.25">
      <c r="A222" s="27"/>
      <c r="B222" s="13" t="str">
        <f>CONCATENATE("     ","Bank/card Fees                                    ")</f>
        <v xml:space="preserve">     Bank/card Fees                                    </v>
      </c>
      <c r="C222" s="13"/>
      <c r="D222" s="1">
        <f>SUM(OSRRefD22_4x_0)</f>
        <v>3459.98</v>
      </c>
      <c r="E222" s="1"/>
      <c r="F222" s="5">
        <f t="shared" ref="F222:F227" si="62">IF(D$12=0,0,D222/D$12)</f>
        <v>8.7482196258794626E-3</v>
      </c>
      <c r="G222" s="1"/>
      <c r="H222" s="1">
        <f>SUM(OSRRefH22_4x_0)</f>
        <v>41057.879999999997</v>
      </c>
      <c r="I222" s="1"/>
      <c r="J222" s="5">
        <f t="shared" ref="J222:J227" si="63">IF(H$12=0,0,H222/H$12)</f>
        <v>1.55698776162632E-2</v>
      </c>
      <c r="K222" s="1"/>
      <c r="L222" s="1">
        <f t="shared" ref="L222:L227" si="64">+D222-H222</f>
        <v>-37597.899999999994</v>
      </c>
      <c r="M222" s="1"/>
      <c r="N222" s="5">
        <f t="shared" ref="N222:N227" si="65">IF(H222=0,0,L222/H222)</f>
        <v>-0.91572920959387083</v>
      </c>
      <c r="O222" s="13"/>
      <c r="P222" s="1">
        <f>SUM(OSRRefP22_4x_0)</f>
        <v>45421.25</v>
      </c>
      <c r="Q222" s="1"/>
      <c r="R222" s="5">
        <f t="shared" ref="R222:R227" si="66">IF(P$12=0,0,P222/P$12)</f>
        <v>9.7483375174413078E-3</v>
      </c>
      <c r="S222" s="1"/>
      <c r="T222" s="1">
        <f>SUM(OSRRefT22_4x_0)</f>
        <v>223333.54</v>
      </c>
      <c r="U222" s="1"/>
      <c r="V222" s="5">
        <f t="shared" ref="V222:V227" si="67">IF(T$12=0,0,T222/T$12)</f>
        <v>1.3876466459786891E-2</v>
      </c>
      <c r="W222" s="1"/>
      <c r="X222" s="1">
        <f t="shared" ref="X222:X227" si="68">+P222-T222</f>
        <v>-177912.29</v>
      </c>
      <c r="Y222" s="1"/>
      <c r="Z222" s="5">
        <f t="shared" ref="Z222:Z227" si="69">IF(T222=0,0,X222/T222)</f>
        <v>-0.79662145685775632</v>
      </c>
    </row>
    <row r="223" spans="1:26" s="24" customFormat="1" hidden="1" outlineLevel="2" x14ac:dyDescent="0.25">
      <c r="A223" s="25"/>
      <c r="B223" s="11" t="str">
        <f>CONCATENATE("          ", "6381", " - ", "BANK/CREDIT CARD FEES")</f>
        <v xml:space="preserve">          6381 - BANK/CREDIT CARD FEES</v>
      </c>
      <c r="C223" s="11"/>
      <c r="D223" s="6">
        <v>3459.98</v>
      </c>
      <c r="E223" s="2"/>
      <c r="F223" s="7">
        <f t="shared" si="62"/>
        <v>8.7482196258794626E-3</v>
      </c>
      <c r="G223" s="2"/>
      <c r="H223" s="6">
        <v>41057.879999999997</v>
      </c>
      <c r="I223" s="2"/>
      <c r="J223" s="7">
        <f t="shared" si="63"/>
        <v>1.55698776162632E-2</v>
      </c>
      <c r="K223" s="2"/>
      <c r="L223" s="6">
        <f t="shared" si="64"/>
        <v>-37597.899999999994</v>
      </c>
      <c r="M223" s="2"/>
      <c r="N223" s="7">
        <f t="shared" si="65"/>
        <v>-0.91572920959387083</v>
      </c>
      <c r="O223" s="11"/>
      <c r="P223" s="6">
        <v>45421.25</v>
      </c>
      <c r="Q223" s="2"/>
      <c r="R223" s="7">
        <f t="shared" si="66"/>
        <v>9.7483375174413078E-3</v>
      </c>
      <c r="S223" s="2"/>
      <c r="T223" s="6">
        <v>223333.54</v>
      </c>
      <c r="U223" s="2"/>
      <c r="V223" s="7">
        <f t="shared" si="67"/>
        <v>1.3876466459786891E-2</v>
      </c>
      <c r="W223" s="2"/>
      <c r="X223" s="6">
        <f t="shared" si="68"/>
        <v>-177912.29</v>
      </c>
      <c r="Y223" s="2"/>
      <c r="Z223" s="7">
        <f t="shared" si="69"/>
        <v>-0.79662145685775632</v>
      </c>
    </row>
    <row r="224" spans="1:26" s="26" customFormat="1" outlineLevel="1" collapsed="1" x14ac:dyDescent="0.25">
      <c r="A224" s="27"/>
      <c r="B224" s="13" t="str">
        <f>CONCATENATE("     ","Depreciation                                      ")</f>
        <v xml:space="preserve">     Depreciation                                      </v>
      </c>
      <c r="C224" s="13"/>
      <c r="D224" s="1">
        <f>SUM(OSRRefD22_5x_0)</f>
        <v>77647.64</v>
      </c>
      <c r="E224" s="1"/>
      <c r="F224" s="5">
        <f t="shared" si="62"/>
        <v>0.19632443197683894</v>
      </c>
      <c r="G224" s="1"/>
      <c r="H224" s="1">
        <f>SUM(OSRRefH22_5x_0)</f>
        <v>77862.400000000009</v>
      </c>
      <c r="I224" s="1"/>
      <c r="J224" s="5">
        <f t="shared" si="63"/>
        <v>2.9526805546426949E-2</v>
      </c>
      <c r="K224" s="1"/>
      <c r="L224" s="1">
        <f t="shared" si="64"/>
        <v>-214.76000000000931</v>
      </c>
      <c r="M224" s="1"/>
      <c r="N224" s="5">
        <f t="shared" si="65"/>
        <v>-2.7581990794017302E-3</v>
      </c>
      <c r="O224" s="13"/>
      <c r="P224" s="1">
        <f>SUM(OSRRefP22_5x_0)</f>
        <v>391010.05</v>
      </c>
      <c r="Q224" s="1"/>
      <c r="R224" s="5">
        <f t="shared" si="66"/>
        <v>8.3918825221930296E-2</v>
      </c>
      <c r="S224" s="1"/>
      <c r="T224" s="1">
        <f>SUM(OSRRefT22_5x_0)</f>
        <v>389312</v>
      </c>
      <c r="U224" s="1"/>
      <c r="V224" s="5">
        <f t="shared" si="67"/>
        <v>2.4189268259449764E-2</v>
      </c>
      <c r="W224" s="1"/>
      <c r="X224" s="1">
        <f t="shared" si="68"/>
        <v>1698.0499999999884</v>
      </c>
      <c r="Y224" s="1"/>
      <c r="Z224" s="5">
        <f t="shared" si="69"/>
        <v>4.361668790070659E-3</v>
      </c>
    </row>
    <row r="225" spans="1:26" s="24" customFormat="1" hidden="1" outlineLevel="2" x14ac:dyDescent="0.25">
      <c r="A225" s="25"/>
      <c r="B225" s="11" t="str">
        <f>CONCATENATE("          ", "6321", " - ", "BUILDING DEPRECIATION")</f>
        <v xml:space="preserve">          6321 - BUILDING DEPRECIATION</v>
      </c>
      <c r="C225" s="11"/>
      <c r="D225" s="6">
        <v>45060.52</v>
      </c>
      <c r="E225" s="2"/>
      <c r="F225" s="7">
        <f t="shared" si="62"/>
        <v>0.11393109943304124</v>
      </c>
      <c r="G225" s="2"/>
      <c r="H225" s="6">
        <v>45519.990000000005</v>
      </c>
      <c r="I225" s="2"/>
      <c r="J225" s="7">
        <f t="shared" si="63"/>
        <v>1.7261989011452244E-2</v>
      </c>
      <c r="K225" s="2"/>
      <c r="L225" s="6">
        <f t="shared" si="64"/>
        <v>-459.47000000000844</v>
      </c>
      <c r="M225" s="2"/>
      <c r="N225" s="7">
        <f t="shared" si="65"/>
        <v>-1.0093807138358519E-2</v>
      </c>
      <c r="O225" s="11"/>
      <c r="P225" s="6">
        <v>226086.79</v>
      </c>
      <c r="Q225" s="2"/>
      <c r="R225" s="7">
        <f t="shared" si="66"/>
        <v>4.8522890434650613E-2</v>
      </c>
      <c r="S225" s="2"/>
      <c r="T225" s="6">
        <v>227599.94999999998</v>
      </c>
      <c r="U225" s="2"/>
      <c r="V225" s="7">
        <f t="shared" si="67"/>
        <v>1.4141552909715992E-2</v>
      </c>
      <c r="W225" s="2"/>
      <c r="X225" s="6">
        <f t="shared" si="68"/>
        <v>-1513.1599999999744</v>
      </c>
      <c r="Y225" s="2"/>
      <c r="Z225" s="7">
        <f t="shared" si="69"/>
        <v>-6.648331864747661E-3</v>
      </c>
    </row>
    <row r="226" spans="1:26" s="24" customFormat="1" hidden="1" outlineLevel="2" x14ac:dyDescent="0.25">
      <c r="A226" s="25"/>
      <c r="B226" s="11" t="str">
        <f>CONCATENATE("          ", "6322", " - ", "EQUIPMENT DEPRECIATION EXPENSE")</f>
        <v xml:space="preserve">          6322 - EQUIPMENT DEPRECIATION EXPENSE</v>
      </c>
      <c r="C226" s="11"/>
      <c r="D226" s="6">
        <v>32587.119999999999</v>
      </c>
      <c r="E226" s="2"/>
      <c r="F226" s="7">
        <f t="shared" si="62"/>
        <v>8.2393332543797687E-2</v>
      </c>
      <c r="G226" s="2"/>
      <c r="H226" s="6">
        <v>31918.16</v>
      </c>
      <c r="I226" s="2"/>
      <c r="J226" s="7">
        <f t="shared" si="63"/>
        <v>1.2103933396860906E-2</v>
      </c>
      <c r="K226" s="2"/>
      <c r="L226" s="6">
        <f t="shared" si="64"/>
        <v>668.95999999999913</v>
      </c>
      <c r="M226" s="2"/>
      <c r="N226" s="7">
        <f t="shared" si="65"/>
        <v>2.0958601623652463E-2</v>
      </c>
      <c r="O226" s="11"/>
      <c r="P226" s="6">
        <v>164923.25999999998</v>
      </c>
      <c r="Q226" s="2"/>
      <c r="R226" s="7">
        <f t="shared" si="66"/>
        <v>3.5395934787279676E-2</v>
      </c>
      <c r="S226" s="2"/>
      <c r="T226" s="6">
        <v>159590.79999999999</v>
      </c>
      <c r="U226" s="2"/>
      <c r="V226" s="7">
        <f t="shared" si="67"/>
        <v>9.9159149292603228E-3</v>
      </c>
      <c r="W226" s="2"/>
      <c r="X226" s="6">
        <f t="shared" si="68"/>
        <v>5332.4599999999919</v>
      </c>
      <c r="Y226" s="2"/>
      <c r="Z226" s="7">
        <f t="shared" si="69"/>
        <v>3.3413329590427469E-2</v>
      </c>
    </row>
    <row r="227" spans="1:26" s="24" customFormat="1" hidden="1" outlineLevel="2" x14ac:dyDescent="0.25">
      <c r="A227" s="25"/>
      <c r="B227" s="11" t="str">
        <f>CONCATENATE("          ", "6326", " - ", "VEHICLES DEPRECIATION EXPENSE")</f>
        <v xml:space="preserve">          6326 - VEHICLES DEPRECIATION EXPENSE</v>
      </c>
      <c r="C227" s="11"/>
      <c r="D227" s="6"/>
      <c r="E227" s="2"/>
      <c r="F227" s="7">
        <f t="shared" si="62"/>
        <v>0</v>
      </c>
      <c r="G227" s="2"/>
      <c r="H227" s="6">
        <v>424.25</v>
      </c>
      <c r="I227" s="2"/>
      <c r="J227" s="7">
        <f t="shared" si="63"/>
        <v>1.6088313811379602E-4</v>
      </c>
      <c r="K227" s="2"/>
      <c r="L227" s="6">
        <f t="shared" si="64"/>
        <v>-424.25</v>
      </c>
      <c r="M227" s="2"/>
      <c r="N227" s="7">
        <f t="shared" si="65"/>
        <v>-1</v>
      </c>
      <c r="O227" s="11"/>
      <c r="P227" s="6"/>
      <c r="Q227" s="2"/>
      <c r="R227" s="7">
        <f t="shared" si="66"/>
        <v>0</v>
      </c>
      <c r="S227" s="2"/>
      <c r="T227" s="6">
        <v>2121.25</v>
      </c>
      <c r="U227" s="2"/>
      <c r="V227" s="7">
        <f t="shared" si="67"/>
        <v>1.3180042047344497E-4</v>
      </c>
      <c r="W227" s="2"/>
      <c r="X227" s="6">
        <f t="shared" si="68"/>
        <v>-2121.25</v>
      </c>
      <c r="Y227" s="2"/>
      <c r="Z227" s="7">
        <f t="shared" si="69"/>
        <v>-1</v>
      </c>
    </row>
    <row r="228" spans="1:26" s="26" customFormat="1" outlineLevel="1" collapsed="1" x14ac:dyDescent="0.25">
      <c r="A228" s="27"/>
      <c r="B228" s="13" t="str">
        <f>CONCATENATE("     ","Discounts and Markdowns                           ")</f>
        <v xml:space="preserve">     Discounts and Markdowns                           </v>
      </c>
      <c r="C228" s="13"/>
      <c r="D228" s="1">
        <f>SUM(OSRRefD22_6x_0)</f>
        <v>418.85</v>
      </c>
      <c r="E228" s="1"/>
      <c r="F228" s="5">
        <f t="shared" ref="F228:F230" si="70">IF(D$12=0,0,D228/D$12)</f>
        <v>1.0590210898038755E-3</v>
      </c>
      <c r="G228" s="1"/>
      <c r="H228" s="1">
        <f>SUM(OSRRefH22_6x_0)</f>
        <v>29053.77</v>
      </c>
      <c r="I228" s="1"/>
      <c r="J228" s="5">
        <f t="shared" ref="J228:J230" si="71">IF(H$12=0,0,H228/H$12)</f>
        <v>1.1017705814110698E-2</v>
      </c>
      <c r="K228" s="1"/>
      <c r="L228" s="1">
        <f t="shared" ref="L228:L230" si="72">+D228-H228</f>
        <v>-28634.920000000002</v>
      </c>
      <c r="M228" s="1"/>
      <c r="N228" s="5">
        <f t="shared" ref="N228:N230" si="73">IF(H228=0,0,L228/H228)</f>
        <v>-0.98558362649666464</v>
      </c>
      <c r="O228" s="13"/>
      <c r="P228" s="1">
        <f>SUM(OSRRefP22_6x_0)</f>
        <v>0</v>
      </c>
      <c r="Q228" s="1"/>
      <c r="R228" s="5">
        <f t="shared" ref="R228:R230" si="74">IF(P$12=0,0,P228/P$12)</f>
        <v>0</v>
      </c>
      <c r="S228" s="1"/>
      <c r="T228" s="1">
        <f>SUM(OSRRefT22_6x_0)</f>
        <v>195281.84999999998</v>
      </c>
      <c r="U228" s="1"/>
      <c r="V228" s="5">
        <f t="shared" ref="V228:V230" si="75">IF(T$12=0,0,T228/T$12)</f>
        <v>1.2133520302101217E-2</v>
      </c>
      <c r="W228" s="1"/>
      <c r="X228" s="1">
        <f t="shared" ref="X228:X230" si="76">+P228-T228</f>
        <v>-195281.84999999998</v>
      </c>
      <c r="Y228" s="1"/>
      <c r="Z228" s="5">
        <f t="shared" ref="Z228:Z230" si="77">IF(T228=0,0,X228/T228)</f>
        <v>-1</v>
      </c>
    </row>
    <row r="229" spans="1:26" s="24" customFormat="1" hidden="1" outlineLevel="2" x14ac:dyDescent="0.25">
      <c r="A229" s="25"/>
      <c r="B229" s="11" t="str">
        <f>CONCATENATE("          ", "6382", " - ", "DISCOUNTS/MARK DOWNS")</f>
        <v xml:space="preserve">          6382 - DISCOUNTS/MARK DOWNS</v>
      </c>
      <c r="C229" s="11"/>
      <c r="D229" s="6"/>
      <c r="E229" s="2"/>
      <c r="F229" s="7">
        <f t="shared" si="70"/>
        <v>0</v>
      </c>
      <c r="G229" s="2"/>
      <c r="H229" s="6">
        <v>29301.27</v>
      </c>
      <c r="I229" s="2"/>
      <c r="J229" s="7">
        <f t="shared" si="71"/>
        <v>1.1111562211713914E-2</v>
      </c>
      <c r="K229" s="2"/>
      <c r="L229" s="6">
        <f t="shared" si="72"/>
        <v>-29301.27</v>
      </c>
      <c r="M229" s="2"/>
      <c r="N229" s="7">
        <f t="shared" si="73"/>
        <v>-1</v>
      </c>
      <c r="O229" s="11"/>
      <c r="P229" s="6">
        <v>0</v>
      </c>
      <c r="Q229" s="2"/>
      <c r="R229" s="7">
        <f t="shared" si="74"/>
        <v>0</v>
      </c>
      <c r="S229" s="2"/>
      <c r="T229" s="6">
        <v>197647.09999999998</v>
      </c>
      <c r="U229" s="2"/>
      <c r="V229" s="7">
        <f t="shared" si="75"/>
        <v>1.2280481265931419E-2</v>
      </c>
      <c r="W229" s="2"/>
      <c r="X229" s="6">
        <f t="shared" si="76"/>
        <v>-197647.09999999998</v>
      </c>
      <c r="Y229" s="2"/>
      <c r="Z229" s="7">
        <f t="shared" si="77"/>
        <v>-1</v>
      </c>
    </row>
    <row r="230" spans="1:26" s="24" customFormat="1" hidden="1" outlineLevel="2" x14ac:dyDescent="0.25">
      <c r="A230" s="25"/>
      <c r="B230" s="11" t="str">
        <f>CONCATENATE("          ", "9175", " - ", "EARNED DISCOUNTS")</f>
        <v xml:space="preserve">          9175 - EARNED DISCOUNTS</v>
      </c>
      <c r="C230" s="11"/>
      <c r="D230" s="6">
        <v>418.85</v>
      </c>
      <c r="E230" s="2"/>
      <c r="F230" s="7">
        <f t="shared" si="70"/>
        <v>1.0590210898038755E-3</v>
      </c>
      <c r="G230" s="2"/>
      <c r="H230" s="6">
        <v>-247.5</v>
      </c>
      <c r="I230" s="2"/>
      <c r="J230" s="7">
        <f t="shared" si="71"/>
        <v>-9.3856397603216292E-5</v>
      </c>
      <c r="K230" s="2"/>
      <c r="L230" s="6">
        <f t="shared" si="72"/>
        <v>666.35</v>
      </c>
      <c r="M230" s="2"/>
      <c r="N230" s="7">
        <f t="shared" si="73"/>
        <v>-2.6923232323232322</v>
      </c>
      <c r="O230" s="11"/>
      <c r="P230" s="6">
        <v>0</v>
      </c>
      <c r="Q230" s="2"/>
      <c r="R230" s="7">
        <f t="shared" si="74"/>
        <v>0</v>
      </c>
      <c r="S230" s="2"/>
      <c r="T230" s="6">
        <v>-2365.25</v>
      </c>
      <c r="U230" s="2"/>
      <c r="V230" s="7">
        <f t="shared" si="75"/>
        <v>-1.4696096383020186E-4</v>
      </c>
      <c r="W230" s="2"/>
      <c r="X230" s="6">
        <f t="shared" si="76"/>
        <v>2365.25</v>
      </c>
      <c r="Y230" s="2"/>
      <c r="Z230" s="7">
        <f t="shared" si="77"/>
        <v>-1</v>
      </c>
    </row>
    <row r="231" spans="1:26" s="26" customFormat="1" outlineLevel="1" collapsed="1" x14ac:dyDescent="0.25">
      <c r="A231" s="27"/>
      <c r="B231" s="13" t="str">
        <f>CONCATENATE("     ","Donations                                         ")</f>
        <v xml:space="preserve">     Donations                                         </v>
      </c>
      <c r="C231" s="13"/>
      <c r="D231" s="1">
        <f>SUM(OSRRefD22_7x_0)</f>
        <v>7935.78</v>
      </c>
      <c r="E231" s="1"/>
      <c r="F231" s="5">
        <f t="shared" ref="F231:F239" si="78">IF(D$12=0,0,D231/D$12)</f>
        <v>2.0064840358228E-2</v>
      </c>
      <c r="G231" s="1"/>
      <c r="H231" s="1">
        <f>SUM(OSRRefH22_7x_0)</f>
        <v>19543.89</v>
      </c>
      <c r="I231" s="1"/>
      <c r="J231" s="5">
        <f t="shared" ref="J231:J239" si="79">IF(H$12=0,0,H231/H$12)</f>
        <v>7.4113903456707996E-3</v>
      </c>
      <c r="K231" s="1"/>
      <c r="L231" s="1">
        <f t="shared" ref="L231:L239" si="80">+D231-H231</f>
        <v>-11608.11</v>
      </c>
      <c r="M231" s="1"/>
      <c r="N231" s="5">
        <f t="shared" ref="N231:N239" si="81">IF(H231=0,0,L231/H231)</f>
        <v>-0.5939508460188837</v>
      </c>
      <c r="O231" s="13"/>
      <c r="P231" s="1">
        <f>SUM(OSRRefP22_7x_0)</f>
        <v>30155.96</v>
      </c>
      <c r="Q231" s="1"/>
      <c r="R231" s="5">
        <f t="shared" ref="R231:R239" si="82">IF(P$12=0,0,P231/P$12)</f>
        <v>6.4720912841997819E-3</v>
      </c>
      <c r="S231" s="1"/>
      <c r="T231" s="1">
        <f>SUM(OSRRefT22_7x_0)</f>
        <v>76054.8</v>
      </c>
      <c r="U231" s="1"/>
      <c r="V231" s="5">
        <f t="shared" ref="V231:V239" si="83">IF(T$12=0,0,T231/T$12)</f>
        <v>4.7255413643011255E-3</v>
      </c>
      <c r="W231" s="1"/>
      <c r="X231" s="1">
        <f t="shared" ref="X231:X239" si="84">+P231-T231</f>
        <v>-45898.840000000004</v>
      </c>
      <c r="Y231" s="1"/>
      <c r="Z231" s="5">
        <f t="shared" ref="Z231:Z239" si="85">IF(T231=0,0,X231/T231)</f>
        <v>-0.603496952197626</v>
      </c>
    </row>
    <row r="232" spans="1:26" s="24" customFormat="1" hidden="1" outlineLevel="2" x14ac:dyDescent="0.25">
      <c r="A232" s="25"/>
      <c r="B232" s="11" t="str">
        <f>CONCATENATE("          ", "6399", " - ", "DONATION-ON CAMPUS")</f>
        <v xml:space="preserve">          6399 - DONATION-ON CAMPUS</v>
      </c>
      <c r="C232" s="11"/>
      <c r="D232" s="6">
        <v>7935.78</v>
      </c>
      <c r="E232" s="2"/>
      <c r="F232" s="7">
        <f t="shared" si="78"/>
        <v>2.0064840358228E-2</v>
      </c>
      <c r="G232" s="2"/>
      <c r="H232" s="6">
        <v>19543.89</v>
      </c>
      <c r="I232" s="2"/>
      <c r="J232" s="7">
        <f t="shared" si="79"/>
        <v>7.4113903456707996E-3</v>
      </c>
      <c r="K232" s="2"/>
      <c r="L232" s="6">
        <f t="shared" si="80"/>
        <v>-11608.11</v>
      </c>
      <c r="M232" s="2"/>
      <c r="N232" s="7">
        <f t="shared" si="81"/>
        <v>-0.5939508460188837</v>
      </c>
      <c r="O232" s="11"/>
      <c r="P232" s="6">
        <v>30155.96</v>
      </c>
      <c r="Q232" s="2"/>
      <c r="R232" s="7">
        <f t="shared" si="82"/>
        <v>6.4720912841997819E-3</v>
      </c>
      <c r="S232" s="2"/>
      <c r="T232" s="6">
        <v>76054.8</v>
      </c>
      <c r="U232" s="2"/>
      <c r="V232" s="7">
        <f t="shared" si="83"/>
        <v>4.7255413643011255E-3</v>
      </c>
      <c r="W232" s="2"/>
      <c r="X232" s="6">
        <f t="shared" si="84"/>
        <v>-45898.840000000004</v>
      </c>
      <c r="Y232" s="2"/>
      <c r="Z232" s="7">
        <f t="shared" si="85"/>
        <v>-0.603496952197626</v>
      </c>
    </row>
    <row r="233" spans="1:26" s="26" customFormat="1" outlineLevel="1" collapsed="1" x14ac:dyDescent="0.25">
      <c r="A233" s="27"/>
      <c r="B233" s="13" t="str">
        <f>CONCATENATE("     ","Employees' Appreciation                           ")</f>
        <v xml:space="preserve">     Employees' Appreciation                           </v>
      </c>
      <c r="C233" s="13"/>
      <c r="D233" s="1">
        <f>SUM(OSRRefD22_8x_0)</f>
        <v>0</v>
      </c>
      <c r="E233" s="1"/>
      <c r="F233" s="5">
        <f t="shared" si="78"/>
        <v>0</v>
      </c>
      <c r="G233" s="1"/>
      <c r="H233" s="1">
        <f>SUM(OSRRefH22_8x_0)</f>
        <v>1097.23</v>
      </c>
      <c r="I233" s="1"/>
      <c r="J233" s="5">
        <f t="shared" si="79"/>
        <v>4.160891116855637E-4</v>
      </c>
      <c r="K233" s="1"/>
      <c r="L233" s="1">
        <f t="shared" si="80"/>
        <v>-1097.23</v>
      </c>
      <c r="M233" s="1"/>
      <c r="N233" s="5">
        <f t="shared" si="81"/>
        <v>-1</v>
      </c>
      <c r="O233" s="13"/>
      <c r="P233" s="1">
        <f>SUM(OSRRefP22_8x_0)</f>
        <v>107.7</v>
      </c>
      <c r="Q233" s="1"/>
      <c r="R233" s="5">
        <f t="shared" si="82"/>
        <v>2.3114642389375651E-5</v>
      </c>
      <c r="S233" s="1"/>
      <c r="T233" s="1">
        <f>SUM(OSRRefT22_8x_0)</f>
        <v>3175.38</v>
      </c>
      <c r="U233" s="1"/>
      <c r="V233" s="5">
        <f t="shared" si="83"/>
        <v>1.9729707444335543E-4</v>
      </c>
      <c r="W233" s="1"/>
      <c r="X233" s="1">
        <f t="shared" si="84"/>
        <v>-3067.6800000000003</v>
      </c>
      <c r="Y233" s="1"/>
      <c r="Z233" s="5">
        <f t="shared" si="85"/>
        <v>-0.96608279953895293</v>
      </c>
    </row>
    <row r="234" spans="1:26" s="24" customFormat="1" hidden="1" outlineLevel="2" x14ac:dyDescent="0.25">
      <c r="A234" s="25"/>
      <c r="B234" s="11" t="str">
        <f>CONCATENATE("          ", "6277", " - ", "EMPLOYEE APPRECIATION")</f>
        <v xml:space="preserve">          6277 - EMPLOYEE APPRECIATION</v>
      </c>
      <c r="C234" s="11"/>
      <c r="D234" s="6"/>
      <c r="E234" s="2"/>
      <c r="F234" s="7">
        <f t="shared" si="78"/>
        <v>0</v>
      </c>
      <c r="G234" s="2"/>
      <c r="H234" s="6">
        <v>1097.23</v>
      </c>
      <c r="I234" s="2"/>
      <c r="J234" s="7">
        <f t="shared" si="79"/>
        <v>4.160891116855637E-4</v>
      </c>
      <c r="K234" s="2"/>
      <c r="L234" s="6">
        <f t="shared" si="80"/>
        <v>-1097.23</v>
      </c>
      <c r="M234" s="2"/>
      <c r="N234" s="7">
        <f t="shared" si="81"/>
        <v>-1</v>
      </c>
      <c r="O234" s="11"/>
      <c r="P234" s="6">
        <v>107.7</v>
      </c>
      <c r="Q234" s="2"/>
      <c r="R234" s="7">
        <f t="shared" si="82"/>
        <v>2.3114642389375651E-5</v>
      </c>
      <c r="S234" s="2"/>
      <c r="T234" s="6">
        <v>3175.38</v>
      </c>
      <c r="U234" s="2"/>
      <c r="V234" s="7">
        <f t="shared" si="83"/>
        <v>1.9729707444335543E-4</v>
      </c>
      <c r="W234" s="2"/>
      <c r="X234" s="6">
        <f t="shared" si="84"/>
        <v>-3067.6800000000003</v>
      </c>
      <c r="Y234" s="2"/>
      <c r="Z234" s="7">
        <f t="shared" si="85"/>
        <v>-0.96608279953895293</v>
      </c>
    </row>
    <row r="235" spans="1:26" s="26" customFormat="1" outlineLevel="1" collapsed="1" x14ac:dyDescent="0.25">
      <c r="A235" s="27"/>
      <c r="B235" s="13" t="str">
        <f>CONCATENATE("     ","Equipment Rental                                  ")</f>
        <v xml:space="preserve">     Equipment Rental                                  </v>
      </c>
      <c r="C235" s="13"/>
      <c r="D235" s="1">
        <f>SUM(OSRRefD22_9x_0)</f>
        <v>2755.22</v>
      </c>
      <c r="E235" s="1"/>
      <c r="F235" s="5">
        <f t="shared" si="78"/>
        <v>6.9663031802541086E-3</v>
      </c>
      <c r="G235" s="1"/>
      <c r="H235" s="1">
        <f>SUM(OSRRefH22_9x_0)</f>
        <v>4233.76</v>
      </c>
      <c r="I235" s="1"/>
      <c r="J235" s="5">
        <f t="shared" si="79"/>
        <v>1.6055170178448203E-3</v>
      </c>
      <c r="K235" s="1"/>
      <c r="L235" s="1">
        <f t="shared" si="80"/>
        <v>-1478.5400000000004</v>
      </c>
      <c r="M235" s="1"/>
      <c r="N235" s="5">
        <f t="shared" si="81"/>
        <v>-0.34922621971958739</v>
      </c>
      <c r="O235" s="13"/>
      <c r="P235" s="1">
        <f>SUM(OSRRefP22_9x_0)</f>
        <v>14296.15</v>
      </c>
      <c r="Q235" s="1"/>
      <c r="R235" s="5">
        <f t="shared" si="82"/>
        <v>3.068248791038744E-3</v>
      </c>
      <c r="S235" s="1"/>
      <c r="T235" s="1">
        <f>SUM(OSRRefT22_9x_0)</f>
        <v>26426.75</v>
      </c>
      <c r="U235" s="1"/>
      <c r="V235" s="5">
        <f t="shared" si="83"/>
        <v>1.6419831522671122E-3</v>
      </c>
      <c r="W235" s="1"/>
      <c r="X235" s="1">
        <f t="shared" si="84"/>
        <v>-12130.6</v>
      </c>
      <c r="Y235" s="1"/>
      <c r="Z235" s="5">
        <f t="shared" si="85"/>
        <v>-0.45902731134172764</v>
      </c>
    </row>
    <row r="236" spans="1:26" s="24" customFormat="1" hidden="1" outlineLevel="2" x14ac:dyDescent="0.25">
      <c r="A236" s="25"/>
      <c r="B236" s="11" t="str">
        <f>CONCATENATE("          ", "6351", " - ", "EQUIPMENT RENTAL")</f>
        <v xml:space="preserve">          6351 - EQUIPMENT RENTAL</v>
      </c>
      <c r="C236" s="11"/>
      <c r="D236" s="6">
        <v>2755.22</v>
      </c>
      <c r="E236" s="2"/>
      <c r="F236" s="7">
        <f t="shared" si="78"/>
        <v>6.9663031802541086E-3</v>
      </c>
      <c r="G236" s="2"/>
      <c r="H236" s="6">
        <v>4233.76</v>
      </c>
      <c r="I236" s="2"/>
      <c r="J236" s="7">
        <f t="shared" si="79"/>
        <v>1.6055170178448203E-3</v>
      </c>
      <c r="K236" s="2"/>
      <c r="L236" s="6">
        <f t="shared" si="80"/>
        <v>-1478.5400000000004</v>
      </c>
      <c r="M236" s="2"/>
      <c r="N236" s="7">
        <f t="shared" si="81"/>
        <v>-0.34922621971958739</v>
      </c>
      <c r="O236" s="11"/>
      <c r="P236" s="6">
        <v>14296.15</v>
      </c>
      <c r="Q236" s="2"/>
      <c r="R236" s="7">
        <f t="shared" si="82"/>
        <v>3.068248791038744E-3</v>
      </c>
      <c r="S236" s="2"/>
      <c r="T236" s="6">
        <v>26426.75</v>
      </c>
      <c r="U236" s="2"/>
      <c r="V236" s="7">
        <f t="shared" si="83"/>
        <v>1.6419831522671122E-3</v>
      </c>
      <c r="W236" s="2"/>
      <c r="X236" s="6">
        <f t="shared" si="84"/>
        <v>-12130.6</v>
      </c>
      <c r="Y236" s="2"/>
      <c r="Z236" s="7">
        <f t="shared" si="85"/>
        <v>-0.45902731134172764</v>
      </c>
    </row>
    <row r="237" spans="1:26" s="26" customFormat="1" outlineLevel="1" collapsed="1" x14ac:dyDescent="0.25">
      <c r="A237" s="27"/>
      <c r="B237" s="13" t="str">
        <f>CONCATENATE("     ","Freight out/Postage                               ")</f>
        <v xml:space="preserve">     Freight out/Postage                               </v>
      </c>
      <c r="C237" s="13"/>
      <c r="D237" s="1">
        <f>SUM(OSRRefD22_10x_0)</f>
        <v>12775.59</v>
      </c>
      <c r="E237" s="1"/>
      <c r="F237" s="5">
        <f t="shared" si="78"/>
        <v>3.2301824626208647E-2</v>
      </c>
      <c r="G237" s="1"/>
      <c r="H237" s="1">
        <f>SUM(OSRRefH22_10x_0)</f>
        <v>8800.91</v>
      </c>
      <c r="I237" s="1"/>
      <c r="J237" s="5">
        <f t="shared" si="79"/>
        <v>3.3374614473944335E-3</v>
      </c>
      <c r="K237" s="1"/>
      <c r="L237" s="1">
        <f t="shared" si="80"/>
        <v>3974.6800000000003</v>
      </c>
      <c r="M237" s="1"/>
      <c r="N237" s="5">
        <f t="shared" si="81"/>
        <v>0.45162148005149472</v>
      </c>
      <c r="O237" s="13"/>
      <c r="P237" s="1">
        <f>SUM(OSRRefP22_10x_0)</f>
        <v>-18425.149999999994</v>
      </c>
      <c r="Q237" s="1"/>
      <c r="R237" s="5">
        <f t="shared" si="82"/>
        <v>-3.9544173929489754E-3</v>
      </c>
      <c r="S237" s="1"/>
      <c r="T237" s="1">
        <f>SUM(OSRRefT22_10x_0)</f>
        <v>4904.5400000000009</v>
      </c>
      <c r="U237" s="1"/>
      <c r="V237" s="5">
        <f t="shared" si="83"/>
        <v>3.0473562014323151E-4</v>
      </c>
      <c r="W237" s="1"/>
      <c r="X237" s="1">
        <f t="shared" si="84"/>
        <v>-23329.689999999995</v>
      </c>
      <c r="Y237" s="1"/>
      <c r="Z237" s="5">
        <f t="shared" si="85"/>
        <v>-4.7567539463435899</v>
      </c>
    </row>
    <row r="238" spans="1:26" s="24" customFormat="1" hidden="1" outlineLevel="2" x14ac:dyDescent="0.25">
      <c r="A238" s="25"/>
      <c r="B238" s="11" t="str">
        <f>CONCATENATE("          ", "6305", " - ", "FREIGHT OUT")</f>
        <v xml:space="preserve">          6305 - FREIGHT OUT</v>
      </c>
      <c r="C238" s="11"/>
      <c r="D238" s="6">
        <v>17095.3</v>
      </c>
      <c r="E238" s="2"/>
      <c r="F238" s="7">
        <f t="shared" si="78"/>
        <v>4.3223787123132844E-2</v>
      </c>
      <c r="G238" s="2"/>
      <c r="H238" s="6">
        <v>9260.2800000000007</v>
      </c>
      <c r="I238" s="2"/>
      <c r="J238" s="7">
        <f t="shared" si="79"/>
        <v>3.5116627135236842E-3</v>
      </c>
      <c r="K238" s="2"/>
      <c r="L238" s="6">
        <f t="shared" si="80"/>
        <v>7835.0199999999986</v>
      </c>
      <c r="M238" s="2"/>
      <c r="N238" s="7">
        <f t="shared" si="81"/>
        <v>0.84608888716107911</v>
      </c>
      <c r="O238" s="11"/>
      <c r="P238" s="6">
        <v>103982.96</v>
      </c>
      <c r="Q238" s="2"/>
      <c r="R238" s="7">
        <f t="shared" si="82"/>
        <v>2.2316888904259546E-2</v>
      </c>
      <c r="S238" s="2"/>
      <c r="T238" s="6">
        <v>28952.14</v>
      </c>
      <c r="U238" s="2"/>
      <c r="V238" s="7">
        <f t="shared" si="83"/>
        <v>1.798894154675802E-3</v>
      </c>
      <c r="W238" s="2"/>
      <c r="X238" s="6">
        <f t="shared" si="84"/>
        <v>75030.820000000007</v>
      </c>
      <c r="Y238" s="2"/>
      <c r="Z238" s="7">
        <f t="shared" si="85"/>
        <v>2.5915466007003283</v>
      </c>
    </row>
    <row r="239" spans="1:26" s="24" customFormat="1" hidden="1" outlineLevel="2" x14ac:dyDescent="0.25">
      <c r="A239" s="25"/>
      <c r="B239" s="11" t="str">
        <f>CONCATENATE("          ", "6307", " - ", "POSTAGE")</f>
        <v xml:space="preserve">          6307 - POSTAGE</v>
      </c>
      <c r="C239" s="11"/>
      <c r="D239" s="6">
        <v>-4319.71</v>
      </c>
      <c r="E239" s="2"/>
      <c r="F239" s="7">
        <f t="shared" si="78"/>
        <v>-1.0921962496924195E-2</v>
      </c>
      <c r="G239" s="2"/>
      <c r="H239" s="6">
        <v>-459.37</v>
      </c>
      <c r="I239" s="2"/>
      <c r="J239" s="7">
        <f t="shared" si="79"/>
        <v>-1.7420126612925039E-4</v>
      </c>
      <c r="K239" s="2"/>
      <c r="L239" s="6">
        <f t="shared" si="80"/>
        <v>-3860.34</v>
      </c>
      <c r="M239" s="2"/>
      <c r="N239" s="7">
        <f t="shared" si="81"/>
        <v>8.4035526917299777</v>
      </c>
      <c r="O239" s="11"/>
      <c r="P239" s="6">
        <v>-122408.11</v>
      </c>
      <c r="Q239" s="2"/>
      <c r="R239" s="7">
        <f t="shared" si="82"/>
        <v>-2.6271306297208519E-2</v>
      </c>
      <c r="S239" s="2"/>
      <c r="T239" s="6">
        <v>-24047.599999999999</v>
      </c>
      <c r="U239" s="2"/>
      <c r="V239" s="7">
        <f t="shared" si="83"/>
        <v>-1.4941585345325705E-3</v>
      </c>
      <c r="W239" s="2"/>
      <c r="X239" s="6">
        <f t="shared" si="84"/>
        <v>-98360.510000000009</v>
      </c>
      <c r="Y239" s="2"/>
      <c r="Z239" s="7">
        <f t="shared" si="85"/>
        <v>4.0902422694988276</v>
      </c>
    </row>
    <row r="240" spans="1:26" s="26" customFormat="1" outlineLevel="1" collapsed="1" x14ac:dyDescent="0.25">
      <c r="A240" s="27"/>
      <c r="B240" s="13" t="str">
        <f>CONCATENATE("     ","General                                           ")</f>
        <v xml:space="preserve">     General                                           </v>
      </c>
      <c r="C240" s="13"/>
      <c r="D240" s="1">
        <f>SUM(OSRRefD22_11x_0)</f>
        <v>4700.7299999999996</v>
      </c>
      <c r="E240" s="1"/>
      <c r="F240" s="5">
        <f t="shared" ref="F240:F242" si="86">IF(D$12=0,0,D240/D$12)</f>
        <v>1.1885334147006734E-2</v>
      </c>
      <c r="G240" s="1"/>
      <c r="H240" s="1">
        <f>SUM(OSRRefH22_11x_0)</f>
        <v>34662.35</v>
      </c>
      <c r="I240" s="1"/>
      <c r="J240" s="5">
        <f t="shared" ref="J240:J242" si="87">IF(H$12=0,0,H240/H$12)</f>
        <v>1.314457900388624E-2</v>
      </c>
      <c r="K240" s="1"/>
      <c r="L240" s="1">
        <f t="shared" ref="L240:L242" si="88">+D240-H240</f>
        <v>-29961.62</v>
      </c>
      <c r="M240" s="1"/>
      <c r="N240" s="5">
        <f t="shared" ref="N240:N242" si="89">IF(H240=0,0,L240/H240)</f>
        <v>-0.86438513257179617</v>
      </c>
      <c r="O240" s="13"/>
      <c r="P240" s="1">
        <f>SUM(OSRRefP22_11x_0)</f>
        <v>13080.25</v>
      </c>
      <c r="Q240" s="1"/>
      <c r="R240" s="5">
        <f t="shared" ref="R240:R242" si="90">IF(P$12=0,0,P240/P$12)</f>
        <v>2.8072915609436478E-3</v>
      </c>
      <c r="S240" s="1"/>
      <c r="T240" s="1">
        <f>SUM(OSRRefT22_11x_0)</f>
        <v>70512.290000000008</v>
      </c>
      <c r="U240" s="1"/>
      <c r="V240" s="5">
        <f t="shared" ref="V240:V242" si="91">IF(T$12=0,0,T240/T$12)</f>
        <v>4.3811665152836722E-3</v>
      </c>
      <c r="W240" s="1"/>
      <c r="X240" s="1">
        <f t="shared" ref="X240:X242" si="92">+P240-T240</f>
        <v>-57432.040000000008</v>
      </c>
      <c r="Y240" s="1"/>
      <c r="Z240" s="5">
        <f t="shared" ref="Z240:Z242" si="93">IF(T240=0,0,X240/T240)</f>
        <v>-0.81449687706923146</v>
      </c>
    </row>
    <row r="241" spans="1:26" s="24" customFormat="1" hidden="1" outlineLevel="2" x14ac:dyDescent="0.25">
      <c r="A241" s="25"/>
      <c r="B241" s="11" t="str">
        <f>CONCATENATE("          ", "6269", " - ", "ENTERTAINMENT")</f>
        <v xml:space="preserve">          6269 - ENTERTAINMENT</v>
      </c>
      <c r="C241" s="11"/>
      <c r="D241" s="6"/>
      <c r="E241" s="2"/>
      <c r="F241" s="7">
        <f t="shared" si="86"/>
        <v>0</v>
      </c>
      <c r="G241" s="2"/>
      <c r="H241" s="6">
        <v>600</v>
      </c>
      <c r="I241" s="2"/>
      <c r="J241" s="7">
        <f t="shared" si="87"/>
        <v>2.2753066085628193E-4</v>
      </c>
      <c r="K241" s="2"/>
      <c r="L241" s="6">
        <f t="shared" si="88"/>
        <v>-600</v>
      </c>
      <c r="M241" s="2"/>
      <c r="N241" s="7">
        <f t="shared" si="89"/>
        <v>-1</v>
      </c>
      <c r="O241" s="11"/>
      <c r="P241" s="6"/>
      <c r="Q241" s="2"/>
      <c r="R241" s="7">
        <f t="shared" si="90"/>
        <v>0</v>
      </c>
      <c r="S241" s="2"/>
      <c r="T241" s="6">
        <v>6100</v>
      </c>
      <c r="U241" s="2"/>
      <c r="V241" s="7">
        <f t="shared" si="91"/>
        <v>3.7901358391892248E-4</v>
      </c>
      <c r="W241" s="2"/>
      <c r="X241" s="6">
        <f t="shared" si="92"/>
        <v>-6100</v>
      </c>
      <c r="Y241" s="2"/>
      <c r="Z241" s="7">
        <f t="shared" si="93"/>
        <v>-1</v>
      </c>
    </row>
    <row r="242" spans="1:26" s="24" customFormat="1" hidden="1" outlineLevel="2" x14ac:dyDescent="0.25">
      <c r="A242" s="25"/>
      <c r="B242" s="11" t="str">
        <f>CONCATENATE("          ", "6279", " - ", "GENERAL EXPENSE")</f>
        <v xml:space="preserve">          6279 - GENERAL EXPENSE</v>
      </c>
      <c r="C242" s="11"/>
      <c r="D242" s="6">
        <v>4700.7299999999996</v>
      </c>
      <c r="E242" s="2"/>
      <c r="F242" s="7">
        <f t="shared" si="86"/>
        <v>1.1885334147006734E-2</v>
      </c>
      <c r="G242" s="2"/>
      <c r="H242" s="6">
        <v>34062.35</v>
      </c>
      <c r="I242" s="2"/>
      <c r="J242" s="7">
        <f t="shared" si="87"/>
        <v>1.2917048343029957E-2</v>
      </c>
      <c r="K242" s="2"/>
      <c r="L242" s="6">
        <f t="shared" si="88"/>
        <v>-29361.62</v>
      </c>
      <c r="M242" s="2"/>
      <c r="N242" s="7">
        <f t="shared" si="89"/>
        <v>-0.86199630970851981</v>
      </c>
      <c r="O242" s="11"/>
      <c r="P242" s="6">
        <v>13080.25</v>
      </c>
      <c r="Q242" s="2"/>
      <c r="R242" s="7">
        <f t="shared" si="90"/>
        <v>2.8072915609436478E-3</v>
      </c>
      <c r="S242" s="2"/>
      <c r="T242" s="6">
        <v>64412.290000000008</v>
      </c>
      <c r="U242" s="2"/>
      <c r="V242" s="7">
        <f t="shared" si="91"/>
        <v>4.0021529313647502E-3</v>
      </c>
      <c r="W242" s="2"/>
      <c r="X242" s="6">
        <f t="shared" si="92"/>
        <v>-51332.040000000008</v>
      </c>
      <c r="Y242" s="2"/>
      <c r="Z242" s="7">
        <f t="shared" si="93"/>
        <v>-0.79692928166348376</v>
      </c>
    </row>
    <row r="243" spans="1:26" s="26" customFormat="1" outlineLevel="1" collapsed="1" x14ac:dyDescent="0.25">
      <c r="A243" s="27"/>
      <c r="B243" s="13" t="str">
        <f>CONCATENATE("     ","Insurance                                         ")</f>
        <v xml:space="preserve">     Insurance                                         </v>
      </c>
      <c r="C243" s="13"/>
      <c r="D243" s="1">
        <f>SUM(OSRRefD22_12x_0)</f>
        <v>8563.32</v>
      </c>
      <c r="E243" s="1"/>
      <c r="F243" s="5">
        <f t="shared" ref="F243:F259" si="94">IF(D$12=0,0,D243/D$12)</f>
        <v>2.1651513617618055E-2</v>
      </c>
      <c r="G243" s="1"/>
      <c r="H243" s="1">
        <f>SUM(OSRRefH22_12x_0)</f>
        <v>8563.32</v>
      </c>
      <c r="I243" s="1"/>
      <c r="J243" s="5">
        <f t="shared" ref="J243:J259" si="95">IF(H$12=0,0,H243/H$12)</f>
        <v>3.247363097873027E-3</v>
      </c>
      <c r="K243" s="1"/>
      <c r="L243" s="1">
        <f t="shared" ref="L243:L259" si="96">+D243-H243</f>
        <v>0</v>
      </c>
      <c r="M243" s="1"/>
      <c r="N243" s="5">
        <f t="shared" ref="N243:N259" si="97">IF(H243=0,0,L243/H243)</f>
        <v>0</v>
      </c>
      <c r="O243" s="13"/>
      <c r="P243" s="1">
        <f>SUM(OSRRefP22_12x_0)</f>
        <v>48928.6</v>
      </c>
      <c r="Q243" s="1"/>
      <c r="R243" s="5">
        <f t="shared" ref="R243:R259" si="98">IF(P$12=0,0,P243/P$12)</f>
        <v>1.0501087201604508E-2</v>
      </c>
      <c r="S243" s="1"/>
      <c r="T243" s="1">
        <f>SUM(OSRRefT22_12x_0)</f>
        <v>42816.6</v>
      </c>
      <c r="U243" s="1"/>
      <c r="V243" s="5">
        <f t="shared" ref="V243:V259" si="99">IF(T$12=0,0,T243/T$12)</f>
        <v>2.6603398388890058E-3</v>
      </c>
      <c r="W243" s="1"/>
      <c r="X243" s="1">
        <f t="shared" ref="X243:X259" si="100">+P243-T243</f>
        <v>6112</v>
      </c>
      <c r="Y243" s="1"/>
      <c r="Z243" s="5">
        <f t="shared" ref="Z243:Z259" si="101">IF(T243=0,0,X243/T243)</f>
        <v>0.1427483732944699</v>
      </c>
    </row>
    <row r="244" spans="1:26" s="24" customFormat="1" hidden="1" outlineLevel="2" x14ac:dyDescent="0.25">
      <c r="A244" s="25"/>
      <c r="B244" s="11" t="str">
        <f>CONCATENATE("          ", "6314", " - ", "LIABILITY INSURANCE")</f>
        <v xml:space="preserve">          6314 - LIABILITY INSURANCE</v>
      </c>
      <c r="C244" s="11"/>
      <c r="D244" s="6">
        <v>8563.32</v>
      </c>
      <c r="E244" s="2"/>
      <c r="F244" s="7">
        <f t="shared" si="94"/>
        <v>2.1651513617618055E-2</v>
      </c>
      <c r="G244" s="2"/>
      <c r="H244" s="6">
        <v>8563.32</v>
      </c>
      <c r="I244" s="2"/>
      <c r="J244" s="7">
        <f t="shared" si="95"/>
        <v>3.247363097873027E-3</v>
      </c>
      <c r="K244" s="2"/>
      <c r="L244" s="6">
        <f t="shared" si="96"/>
        <v>0</v>
      </c>
      <c r="M244" s="2"/>
      <c r="N244" s="7">
        <f t="shared" si="97"/>
        <v>0</v>
      </c>
      <c r="O244" s="11"/>
      <c r="P244" s="6">
        <v>48928.6</v>
      </c>
      <c r="Q244" s="2"/>
      <c r="R244" s="7">
        <f t="shared" si="98"/>
        <v>1.0501087201604508E-2</v>
      </c>
      <c r="S244" s="2"/>
      <c r="T244" s="6">
        <v>42816.6</v>
      </c>
      <c r="U244" s="2"/>
      <c r="V244" s="7">
        <f t="shared" si="99"/>
        <v>2.6603398388890058E-3</v>
      </c>
      <c r="W244" s="2"/>
      <c r="X244" s="6">
        <f t="shared" si="100"/>
        <v>6112</v>
      </c>
      <c r="Y244" s="2"/>
      <c r="Z244" s="7">
        <f t="shared" si="101"/>
        <v>0.1427483732944699</v>
      </c>
    </row>
    <row r="245" spans="1:26" s="26" customFormat="1" outlineLevel="1" collapsed="1" x14ac:dyDescent="0.25">
      <c r="A245" s="27"/>
      <c r="B245" s="13" t="str">
        <f>CONCATENATE("     ","Interest                                          ")</f>
        <v xml:space="preserve">     Interest                                          </v>
      </c>
      <c r="C245" s="13"/>
      <c r="D245" s="1">
        <f>SUM(OSRRefD22_13x_0)</f>
        <v>11554</v>
      </c>
      <c r="E245" s="1"/>
      <c r="F245" s="5">
        <f t="shared" si="94"/>
        <v>2.921315428338063E-2</v>
      </c>
      <c r="G245" s="1"/>
      <c r="H245" s="1">
        <f>SUM(OSRRefH22_13x_0)</f>
        <v>11929</v>
      </c>
      <c r="I245" s="1"/>
      <c r="J245" s="5">
        <f t="shared" si="95"/>
        <v>4.5236887555909783E-3</v>
      </c>
      <c r="K245" s="1"/>
      <c r="L245" s="1">
        <f t="shared" si="96"/>
        <v>-375</v>
      </c>
      <c r="M245" s="1"/>
      <c r="N245" s="5">
        <f t="shared" si="97"/>
        <v>-3.1435996311509763E-2</v>
      </c>
      <c r="O245" s="13"/>
      <c r="P245" s="1">
        <f>SUM(OSRRefP22_13x_0)</f>
        <v>57021</v>
      </c>
      <c r="Q245" s="1"/>
      <c r="R245" s="5">
        <f t="shared" si="98"/>
        <v>1.2237883228269164E-2</v>
      </c>
      <c r="S245" s="1"/>
      <c r="T245" s="1">
        <f>SUM(OSRRefT22_13x_0)</f>
        <v>59046</v>
      </c>
      <c r="U245" s="1"/>
      <c r="V245" s="5">
        <f t="shared" si="99"/>
        <v>3.6687272255863435E-3</v>
      </c>
      <c r="W245" s="1"/>
      <c r="X245" s="1">
        <f t="shared" si="100"/>
        <v>-2025</v>
      </c>
      <c r="Y245" s="1"/>
      <c r="Z245" s="5">
        <f t="shared" si="101"/>
        <v>-3.4295295193577886E-2</v>
      </c>
    </row>
    <row r="246" spans="1:26" s="24" customFormat="1" hidden="1" outlineLevel="2" x14ac:dyDescent="0.25">
      <c r="A246" s="25"/>
      <c r="B246" s="11" t="str">
        <f>CONCATENATE("          ", "6401", " - ", "INTEREST EXPENSE")</f>
        <v xml:space="preserve">          6401 - INTEREST EXPENSE</v>
      </c>
      <c r="C246" s="11"/>
      <c r="D246" s="6">
        <v>11554</v>
      </c>
      <c r="E246" s="2"/>
      <c r="F246" s="7">
        <f t="shared" si="94"/>
        <v>2.921315428338063E-2</v>
      </c>
      <c r="G246" s="2"/>
      <c r="H246" s="6">
        <v>11929</v>
      </c>
      <c r="I246" s="2"/>
      <c r="J246" s="7">
        <f t="shared" si="95"/>
        <v>4.5236887555909783E-3</v>
      </c>
      <c r="K246" s="2"/>
      <c r="L246" s="6">
        <f t="shared" si="96"/>
        <v>-375</v>
      </c>
      <c r="M246" s="2"/>
      <c r="N246" s="7">
        <f t="shared" si="97"/>
        <v>-3.1435996311509763E-2</v>
      </c>
      <c r="O246" s="11"/>
      <c r="P246" s="6">
        <v>57021</v>
      </c>
      <c r="Q246" s="2"/>
      <c r="R246" s="7">
        <f t="shared" si="98"/>
        <v>1.2237883228269164E-2</v>
      </c>
      <c r="S246" s="2"/>
      <c r="T246" s="6">
        <v>59046</v>
      </c>
      <c r="U246" s="2"/>
      <c r="V246" s="7">
        <f t="shared" si="99"/>
        <v>3.6687272255863435E-3</v>
      </c>
      <c r="W246" s="2"/>
      <c r="X246" s="6">
        <f t="shared" si="100"/>
        <v>-2025</v>
      </c>
      <c r="Y246" s="2"/>
      <c r="Z246" s="7">
        <f t="shared" si="101"/>
        <v>-3.4295295193577886E-2</v>
      </c>
    </row>
    <row r="247" spans="1:26" s="26" customFormat="1" outlineLevel="1" collapsed="1" x14ac:dyDescent="0.25">
      <c r="A247" s="27"/>
      <c r="B247" s="13" t="str">
        <f>CONCATENATE("     ","Inventory Adjustment                              ")</f>
        <v xml:space="preserve">     Inventory Adjustment                              </v>
      </c>
      <c r="C247" s="13"/>
      <c r="D247" s="1">
        <f>SUM(OSRRefD22_14x_0)</f>
        <v>3350</v>
      </c>
      <c r="E247" s="1"/>
      <c r="F247" s="5">
        <f t="shared" si="94"/>
        <v>8.4701459969988846E-3</v>
      </c>
      <c r="G247" s="1"/>
      <c r="H247" s="1">
        <f>SUM(OSRRefH22_14x_0)</f>
        <v>4250</v>
      </c>
      <c r="I247" s="1"/>
      <c r="J247" s="5">
        <f t="shared" si="95"/>
        <v>1.6116755143986638E-3</v>
      </c>
      <c r="K247" s="1"/>
      <c r="L247" s="1">
        <f t="shared" si="96"/>
        <v>-900</v>
      </c>
      <c r="M247" s="1"/>
      <c r="N247" s="5">
        <f t="shared" si="97"/>
        <v>-0.21176470588235294</v>
      </c>
      <c r="O247" s="13"/>
      <c r="P247" s="1">
        <f>SUM(OSRRefP22_14x_0)</f>
        <v>16750</v>
      </c>
      <c r="Q247" s="1"/>
      <c r="R247" s="5">
        <f t="shared" si="98"/>
        <v>3.5948956362306609E-3</v>
      </c>
      <c r="S247" s="1"/>
      <c r="T247" s="1">
        <f>SUM(OSRRefT22_14x_0)</f>
        <v>21150</v>
      </c>
      <c r="U247" s="1"/>
      <c r="V247" s="5">
        <f t="shared" si="99"/>
        <v>1.3141208688336411E-3</v>
      </c>
      <c r="W247" s="1"/>
      <c r="X247" s="1">
        <f t="shared" si="100"/>
        <v>-4400</v>
      </c>
      <c r="Y247" s="1"/>
      <c r="Z247" s="5">
        <f t="shared" si="101"/>
        <v>-0.20803782505910165</v>
      </c>
    </row>
    <row r="248" spans="1:26" s="24" customFormat="1" hidden="1" outlineLevel="2" x14ac:dyDescent="0.25">
      <c r="A248" s="25"/>
      <c r="B248" s="11" t="str">
        <f>CONCATENATE("          ", "6408", " - ", "INVENTORY ADJUSTMENT")</f>
        <v xml:space="preserve">          6408 - INVENTORY ADJUSTMENT</v>
      </c>
      <c r="C248" s="11"/>
      <c r="D248" s="6">
        <v>3350</v>
      </c>
      <c r="E248" s="2"/>
      <c r="F248" s="7">
        <f t="shared" si="94"/>
        <v>8.4701459969988846E-3</v>
      </c>
      <c r="G248" s="2"/>
      <c r="H248" s="6">
        <v>4250</v>
      </c>
      <c r="I248" s="2"/>
      <c r="J248" s="7">
        <f t="shared" si="95"/>
        <v>1.6116755143986638E-3</v>
      </c>
      <c r="K248" s="2"/>
      <c r="L248" s="6">
        <f t="shared" si="96"/>
        <v>-900</v>
      </c>
      <c r="M248" s="2"/>
      <c r="N248" s="7">
        <f t="shared" si="97"/>
        <v>-0.21176470588235294</v>
      </c>
      <c r="O248" s="11"/>
      <c r="P248" s="6">
        <v>16750</v>
      </c>
      <c r="Q248" s="2"/>
      <c r="R248" s="7">
        <f t="shared" si="98"/>
        <v>3.5948956362306609E-3</v>
      </c>
      <c r="S248" s="2"/>
      <c r="T248" s="6">
        <v>21150</v>
      </c>
      <c r="U248" s="2"/>
      <c r="V248" s="7">
        <f t="shared" si="99"/>
        <v>1.3141208688336411E-3</v>
      </c>
      <c r="W248" s="2"/>
      <c r="X248" s="6">
        <f t="shared" si="100"/>
        <v>-4400</v>
      </c>
      <c r="Y248" s="2"/>
      <c r="Z248" s="7">
        <f t="shared" si="101"/>
        <v>-0.20803782505910165</v>
      </c>
    </row>
    <row r="249" spans="1:26" s="26" customFormat="1" outlineLevel="1" collapsed="1" x14ac:dyDescent="0.25">
      <c r="A249" s="27"/>
      <c r="B249" s="13" t="str">
        <f>CONCATENATE("     ","Professional Services                             ")</f>
        <v xml:space="preserve">     Professional Services                             </v>
      </c>
      <c r="C249" s="13"/>
      <c r="D249" s="1">
        <f>SUM(OSRRefD22_15x_0)</f>
        <v>0</v>
      </c>
      <c r="E249" s="1"/>
      <c r="F249" s="5">
        <f t="shared" si="94"/>
        <v>0</v>
      </c>
      <c r="G249" s="1"/>
      <c r="H249" s="1">
        <f>SUM(OSRRefH22_15x_0)</f>
        <v>0</v>
      </c>
      <c r="I249" s="1"/>
      <c r="J249" s="5">
        <f t="shared" si="95"/>
        <v>0</v>
      </c>
      <c r="K249" s="1"/>
      <c r="L249" s="1">
        <f t="shared" si="96"/>
        <v>0</v>
      </c>
      <c r="M249" s="1"/>
      <c r="N249" s="5">
        <f t="shared" si="97"/>
        <v>0</v>
      </c>
      <c r="O249" s="13"/>
      <c r="P249" s="1">
        <f>SUM(OSRRefP22_15x_0)</f>
        <v>0</v>
      </c>
      <c r="Q249" s="1"/>
      <c r="R249" s="5">
        <f t="shared" si="98"/>
        <v>0</v>
      </c>
      <c r="S249" s="1"/>
      <c r="T249" s="1">
        <f>SUM(OSRRefT22_15x_0)</f>
        <v>6283.41</v>
      </c>
      <c r="U249" s="1"/>
      <c r="V249" s="5">
        <f t="shared" si="99"/>
        <v>3.9040946611999946E-4</v>
      </c>
      <c r="W249" s="1"/>
      <c r="X249" s="1">
        <f t="shared" si="100"/>
        <v>-6283.41</v>
      </c>
      <c r="Y249" s="1"/>
      <c r="Z249" s="5">
        <f t="shared" si="101"/>
        <v>-1</v>
      </c>
    </row>
    <row r="250" spans="1:26" s="24" customFormat="1" hidden="1" outlineLevel="2" x14ac:dyDescent="0.25">
      <c r="A250" s="25"/>
      <c r="B250" s="11" t="str">
        <f>CONCATENATE("          ", "6336", " - ", "PROFESSIONAL SERVICES")</f>
        <v xml:space="preserve">          6336 - PROFESSIONAL SERVICES</v>
      </c>
      <c r="C250" s="11"/>
      <c r="D250" s="6"/>
      <c r="E250" s="2"/>
      <c r="F250" s="7">
        <f t="shared" si="94"/>
        <v>0</v>
      </c>
      <c r="G250" s="2"/>
      <c r="H250" s="6"/>
      <c r="I250" s="2"/>
      <c r="J250" s="7">
        <f t="shared" si="95"/>
        <v>0</v>
      </c>
      <c r="K250" s="2"/>
      <c r="L250" s="6">
        <f t="shared" si="96"/>
        <v>0</v>
      </c>
      <c r="M250" s="2"/>
      <c r="N250" s="7">
        <f t="shared" si="97"/>
        <v>0</v>
      </c>
      <c r="O250" s="11"/>
      <c r="P250" s="6"/>
      <c r="Q250" s="2"/>
      <c r="R250" s="7">
        <f t="shared" si="98"/>
        <v>0</v>
      </c>
      <c r="S250" s="2"/>
      <c r="T250" s="6">
        <v>6283.41</v>
      </c>
      <c r="U250" s="2"/>
      <c r="V250" s="7">
        <f t="shared" si="99"/>
        <v>3.9040946611999946E-4</v>
      </c>
      <c r="W250" s="2"/>
      <c r="X250" s="6">
        <f t="shared" si="100"/>
        <v>-6283.41</v>
      </c>
      <c r="Y250" s="2"/>
      <c r="Z250" s="7">
        <f t="shared" si="101"/>
        <v>-1</v>
      </c>
    </row>
    <row r="251" spans="1:26" s="26" customFormat="1" outlineLevel="1" collapsed="1" x14ac:dyDescent="0.25">
      <c r="A251" s="27"/>
      <c r="B251" s="13" t="str">
        <f>CONCATENATE("     ","R/H Commissions                                   ")</f>
        <v xml:space="preserve">     R/H Commissions                                   </v>
      </c>
      <c r="C251" s="13"/>
      <c r="D251" s="1">
        <f>SUM(OSRRefD22_16x_0)</f>
        <v>7982.87</v>
      </c>
      <c r="E251" s="1"/>
      <c r="F251" s="5">
        <f t="shared" si="94"/>
        <v>2.0183902798526113E-2</v>
      </c>
      <c r="G251" s="1"/>
      <c r="H251" s="1">
        <f>SUM(OSRRefH22_16x_0)</f>
        <v>88207.73000000001</v>
      </c>
      <c r="I251" s="1"/>
      <c r="J251" s="5">
        <f t="shared" si="95"/>
        <v>3.3449938499220816E-2</v>
      </c>
      <c r="K251" s="1"/>
      <c r="L251" s="1">
        <f t="shared" si="96"/>
        <v>-80224.860000000015</v>
      </c>
      <c r="M251" s="1"/>
      <c r="N251" s="5">
        <f t="shared" si="97"/>
        <v>-0.90949920148721664</v>
      </c>
      <c r="O251" s="13"/>
      <c r="P251" s="1">
        <f>SUM(OSRRefP22_16x_0)</f>
        <v>36703.07</v>
      </c>
      <c r="Q251" s="1"/>
      <c r="R251" s="5">
        <f t="shared" si="98"/>
        <v>7.8772361898070738E-3</v>
      </c>
      <c r="S251" s="1"/>
      <c r="T251" s="1">
        <f>SUM(OSRRefT22_16x_0)</f>
        <v>406895.16</v>
      </c>
      <c r="U251" s="1"/>
      <c r="V251" s="5">
        <f t="shared" si="99"/>
        <v>2.5281769323092357E-2</v>
      </c>
      <c r="W251" s="1"/>
      <c r="X251" s="1">
        <f t="shared" si="100"/>
        <v>-370192.08999999997</v>
      </c>
      <c r="Y251" s="1"/>
      <c r="Z251" s="5">
        <f t="shared" si="101"/>
        <v>-0.90979723130646228</v>
      </c>
    </row>
    <row r="252" spans="1:26" s="24" customFormat="1" hidden="1" outlineLevel="2" x14ac:dyDescent="0.25">
      <c r="A252" s="25"/>
      <c r="B252" s="11" t="str">
        <f>CONCATENATE("          ", "6387", " - ", "COMMISSION DUE HOUSING")</f>
        <v xml:space="preserve">          6387 - COMMISSION DUE HOUSING</v>
      </c>
      <c r="C252" s="11"/>
      <c r="D252" s="6">
        <v>7982.87</v>
      </c>
      <c r="E252" s="2"/>
      <c r="F252" s="7">
        <f t="shared" si="94"/>
        <v>2.0183902798526113E-2</v>
      </c>
      <c r="G252" s="2"/>
      <c r="H252" s="6">
        <v>88207.73000000001</v>
      </c>
      <c r="I252" s="2"/>
      <c r="J252" s="7">
        <f t="shared" si="95"/>
        <v>3.3449938499220816E-2</v>
      </c>
      <c r="K252" s="2"/>
      <c r="L252" s="6">
        <f t="shared" si="96"/>
        <v>-80224.860000000015</v>
      </c>
      <c r="M252" s="2"/>
      <c r="N252" s="7">
        <f t="shared" si="97"/>
        <v>-0.90949920148721664</v>
      </c>
      <c r="O252" s="11"/>
      <c r="P252" s="6">
        <v>36703.07</v>
      </c>
      <c r="Q252" s="2"/>
      <c r="R252" s="7">
        <f t="shared" si="98"/>
        <v>7.8772361898070738E-3</v>
      </c>
      <c r="S252" s="2"/>
      <c r="T252" s="6">
        <v>406895.16</v>
      </c>
      <c r="U252" s="2"/>
      <c r="V252" s="7">
        <f t="shared" si="99"/>
        <v>2.5281769323092357E-2</v>
      </c>
      <c r="W252" s="2"/>
      <c r="X252" s="6">
        <f t="shared" si="100"/>
        <v>-370192.08999999997</v>
      </c>
      <c r="Y252" s="2"/>
      <c r="Z252" s="7">
        <f t="shared" si="101"/>
        <v>-0.90979723130646228</v>
      </c>
    </row>
    <row r="253" spans="1:26" s="26" customFormat="1" outlineLevel="1" collapsed="1" x14ac:dyDescent="0.25">
      <c r="A253" s="27"/>
      <c r="B253" s="13" t="str">
        <f>CONCATENATE("     ","Rent                                              ")</f>
        <v xml:space="preserve">     Rent                                              </v>
      </c>
      <c r="C253" s="13"/>
      <c r="D253" s="1">
        <f>SUM(OSRRefD22_17x_0)</f>
        <v>6900</v>
      </c>
      <c r="E253" s="1"/>
      <c r="F253" s="5">
        <f t="shared" si="94"/>
        <v>1.7445972352027554E-2</v>
      </c>
      <c r="G253" s="1"/>
      <c r="H253" s="1">
        <f>SUM(OSRRefH22_17x_0)</f>
        <v>9900</v>
      </c>
      <c r="I253" s="1"/>
      <c r="J253" s="5">
        <f t="shared" si="95"/>
        <v>3.7542559041286519E-3</v>
      </c>
      <c r="K253" s="1"/>
      <c r="L253" s="1">
        <f t="shared" si="96"/>
        <v>-3000</v>
      </c>
      <c r="M253" s="1"/>
      <c r="N253" s="5">
        <f t="shared" si="97"/>
        <v>-0.30303030303030304</v>
      </c>
      <c r="O253" s="13"/>
      <c r="P253" s="1">
        <f>SUM(OSRRefP22_17x_0)</f>
        <v>40050</v>
      </c>
      <c r="Q253" s="1"/>
      <c r="R253" s="5">
        <f t="shared" si="98"/>
        <v>8.5955564317037585E-3</v>
      </c>
      <c r="S253" s="1"/>
      <c r="T253" s="1">
        <f>SUM(OSRRefT22_17x_0)</f>
        <v>49500</v>
      </c>
      <c r="U253" s="1"/>
      <c r="V253" s="5">
        <f t="shared" si="99"/>
        <v>3.0756020334404364E-3</v>
      </c>
      <c r="W253" s="1"/>
      <c r="X253" s="1">
        <f t="shared" si="100"/>
        <v>-9450</v>
      </c>
      <c r="Y253" s="1"/>
      <c r="Z253" s="5">
        <f t="shared" si="101"/>
        <v>-0.19090909090909092</v>
      </c>
    </row>
    <row r="254" spans="1:26" s="24" customFormat="1" hidden="1" outlineLevel="2" x14ac:dyDescent="0.25">
      <c r="A254" s="25"/>
      <c r="B254" s="11" t="str">
        <f>CONCATENATE("          ", "6273", " - ", "RENT")</f>
        <v xml:space="preserve">          6273 - RENT</v>
      </c>
      <c r="C254" s="11"/>
      <c r="D254" s="6">
        <v>6900</v>
      </c>
      <c r="E254" s="2"/>
      <c r="F254" s="7">
        <f t="shared" si="94"/>
        <v>1.7445972352027554E-2</v>
      </c>
      <c r="G254" s="2"/>
      <c r="H254" s="6">
        <v>9900</v>
      </c>
      <c r="I254" s="2"/>
      <c r="J254" s="7">
        <f t="shared" si="95"/>
        <v>3.7542559041286519E-3</v>
      </c>
      <c r="K254" s="2"/>
      <c r="L254" s="6">
        <f t="shared" si="96"/>
        <v>-3000</v>
      </c>
      <c r="M254" s="2"/>
      <c r="N254" s="7">
        <f t="shared" si="97"/>
        <v>-0.30303030303030304</v>
      </c>
      <c r="O254" s="11"/>
      <c r="P254" s="6">
        <v>40050</v>
      </c>
      <c r="Q254" s="2"/>
      <c r="R254" s="7">
        <f t="shared" si="98"/>
        <v>8.5955564317037585E-3</v>
      </c>
      <c r="S254" s="2"/>
      <c r="T254" s="6">
        <v>49500</v>
      </c>
      <c r="U254" s="2"/>
      <c r="V254" s="7">
        <f t="shared" si="99"/>
        <v>3.0756020334404364E-3</v>
      </c>
      <c r="W254" s="2"/>
      <c r="X254" s="6">
        <f t="shared" si="100"/>
        <v>-9450</v>
      </c>
      <c r="Y254" s="2"/>
      <c r="Z254" s="7">
        <f t="shared" si="101"/>
        <v>-0.19090909090909092</v>
      </c>
    </row>
    <row r="255" spans="1:26" s="26" customFormat="1" outlineLevel="1" collapsed="1" x14ac:dyDescent="0.25">
      <c r="A255" s="27"/>
      <c r="B255" s="13" t="str">
        <f>CONCATENATE("     ","Repair and Maintenance                            ")</f>
        <v xml:space="preserve">     Repair and Maintenance                            </v>
      </c>
      <c r="C255" s="13"/>
      <c r="D255" s="1">
        <f>SUM(OSRRefD22_18x_0)</f>
        <v>8365.2999999999993</v>
      </c>
      <c r="E255" s="1"/>
      <c r="F255" s="5">
        <f t="shared" si="94"/>
        <v>2.1150839495132766E-2</v>
      </c>
      <c r="G255" s="1"/>
      <c r="H255" s="1">
        <f>SUM(OSRRefH22_18x_0)</f>
        <v>35790.089999999997</v>
      </c>
      <c r="I255" s="1"/>
      <c r="J255" s="5">
        <f t="shared" si="95"/>
        <v>1.3572238049676345E-2</v>
      </c>
      <c r="K255" s="1"/>
      <c r="L255" s="1">
        <f t="shared" si="96"/>
        <v>-27424.789999999997</v>
      </c>
      <c r="M255" s="1"/>
      <c r="N255" s="5">
        <f t="shared" si="97"/>
        <v>-0.7662677014782584</v>
      </c>
      <c r="O255" s="13"/>
      <c r="P255" s="1">
        <f>SUM(OSRRefP22_18x_0)</f>
        <v>249581.35</v>
      </c>
      <c r="Q255" s="1"/>
      <c r="R255" s="5">
        <f t="shared" si="98"/>
        <v>5.3565307820869087E-2</v>
      </c>
      <c r="S255" s="1"/>
      <c r="T255" s="1">
        <f>SUM(OSRRefT22_18x_0)</f>
        <v>223923.03</v>
      </c>
      <c r="U255" s="1"/>
      <c r="V255" s="5">
        <f t="shared" si="99"/>
        <v>1.3913093462669572E-2</v>
      </c>
      <c r="W255" s="1"/>
      <c r="X255" s="1">
        <f t="shared" si="100"/>
        <v>25658.320000000007</v>
      </c>
      <c r="Y255" s="1"/>
      <c r="Z255" s="5">
        <f t="shared" si="101"/>
        <v>0.11458544482896649</v>
      </c>
    </row>
    <row r="256" spans="1:26" s="24" customFormat="1" hidden="1" outlineLevel="2" x14ac:dyDescent="0.25">
      <c r="A256" s="25"/>
      <c r="B256" s="11" t="str">
        <f>CONCATENATE("          ", "6371", " - ", "COMPUTER SOFTWARE MAINTENANCE")</f>
        <v xml:space="preserve">          6371 - COMPUTER SOFTWARE MAINTENANCE</v>
      </c>
      <c r="C256" s="11"/>
      <c r="D256" s="6"/>
      <c r="E256" s="2"/>
      <c r="F256" s="7">
        <f t="shared" si="94"/>
        <v>0</v>
      </c>
      <c r="G256" s="2"/>
      <c r="H256" s="6">
        <v>17078.5</v>
      </c>
      <c r="I256" s="2"/>
      <c r="J256" s="7">
        <f t="shared" si="95"/>
        <v>6.4764706523900185E-3</v>
      </c>
      <c r="K256" s="2"/>
      <c r="L256" s="6">
        <f t="shared" si="96"/>
        <v>-17078.5</v>
      </c>
      <c r="M256" s="2"/>
      <c r="N256" s="7">
        <f t="shared" si="97"/>
        <v>-1</v>
      </c>
      <c r="O256" s="11"/>
      <c r="P256" s="6">
        <v>58436.47</v>
      </c>
      <c r="Q256" s="2"/>
      <c r="R256" s="7">
        <f t="shared" si="98"/>
        <v>1.254167229849098E-2</v>
      </c>
      <c r="S256" s="2"/>
      <c r="T256" s="6">
        <v>48852.259999999995</v>
      </c>
      <c r="U256" s="2"/>
      <c r="V256" s="7">
        <f t="shared" si="99"/>
        <v>3.0353557614981996E-3</v>
      </c>
      <c r="W256" s="2"/>
      <c r="X256" s="6">
        <f t="shared" si="100"/>
        <v>9584.2100000000064</v>
      </c>
      <c r="Y256" s="2"/>
      <c r="Z256" s="7">
        <f t="shared" si="101"/>
        <v>0.19618764822753354</v>
      </c>
    </row>
    <row r="257" spans="1:26" s="24" customFormat="1" hidden="1" outlineLevel="2" x14ac:dyDescent="0.25">
      <c r="A257" s="25"/>
      <c r="B257" s="11" t="str">
        <f>CONCATENATE("          ", "6372", " - ", "COMPUTER HARDWARE MAINTENANCE")</f>
        <v xml:space="preserve">          6372 - COMPUTER HARDWARE MAINTENANCE</v>
      </c>
      <c r="C257" s="11"/>
      <c r="D257" s="6"/>
      <c r="E257" s="2"/>
      <c r="F257" s="7">
        <f t="shared" si="94"/>
        <v>0</v>
      </c>
      <c r="G257" s="2"/>
      <c r="H257" s="6"/>
      <c r="I257" s="2"/>
      <c r="J257" s="7">
        <f t="shared" si="95"/>
        <v>0</v>
      </c>
      <c r="K257" s="2"/>
      <c r="L257" s="6">
        <f t="shared" si="96"/>
        <v>0</v>
      </c>
      <c r="M257" s="2"/>
      <c r="N257" s="7">
        <f t="shared" si="97"/>
        <v>0</v>
      </c>
      <c r="O257" s="11"/>
      <c r="P257" s="6">
        <v>0</v>
      </c>
      <c r="Q257" s="2"/>
      <c r="R257" s="7">
        <f t="shared" si="98"/>
        <v>0</v>
      </c>
      <c r="S257" s="2"/>
      <c r="T257" s="6"/>
      <c r="U257" s="2"/>
      <c r="V257" s="7">
        <f t="shared" si="99"/>
        <v>0</v>
      </c>
      <c r="W257" s="2"/>
      <c r="X257" s="6">
        <f t="shared" si="100"/>
        <v>0</v>
      </c>
      <c r="Y257" s="2"/>
      <c r="Z257" s="7">
        <f t="shared" si="101"/>
        <v>0</v>
      </c>
    </row>
    <row r="258" spans="1:26" s="24" customFormat="1" hidden="1" outlineLevel="2" x14ac:dyDescent="0.25">
      <c r="A258" s="25"/>
      <c r="B258" s="11" t="str">
        <f>CONCATENATE("          ", "6373", " - ", "MAINTENANCE CONTRACTS")</f>
        <v xml:space="preserve">          6373 - MAINTENANCE CONTRACTS</v>
      </c>
      <c r="C258" s="11"/>
      <c r="D258" s="6">
        <v>1348.82</v>
      </c>
      <c r="E258" s="2"/>
      <c r="F258" s="7">
        <f t="shared" si="94"/>
        <v>3.4103589025886671E-3</v>
      </c>
      <c r="G258" s="2"/>
      <c r="H258" s="6">
        <v>10092.61</v>
      </c>
      <c r="I258" s="2"/>
      <c r="J258" s="7">
        <f t="shared" si="95"/>
        <v>3.8272970384411993E-3</v>
      </c>
      <c r="K258" s="2"/>
      <c r="L258" s="6">
        <f t="shared" si="96"/>
        <v>-8743.7900000000009</v>
      </c>
      <c r="M258" s="2"/>
      <c r="N258" s="7">
        <f t="shared" si="97"/>
        <v>-0.86635568004708396</v>
      </c>
      <c r="O258" s="11"/>
      <c r="P258" s="6">
        <v>161459.07</v>
      </c>
      <c r="Q258" s="2"/>
      <c r="R258" s="7">
        <f t="shared" si="98"/>
        <v>3.4652448129723033E-2</v>
      </c>
      <c r="S258" s="2"/>
      <c r="T258" s="6">
        <v>73450.16</v>
      </c>
      <c r="U258" s="2"/>
      <c r="V258" s="7">
        <f t="shared" si="99"/>
        <v>4.5637062919702109E-3</v>
      </c>
      <c r="W258" s="2"/>
      <c r="X258" s="6">
        <f t="shared" si="100"/>
        <v>88008.91</v>
      </c>
      <c r="Y258" s="2"/>
      <c r="Z258" s="7">
        <f t="shared" si="101"/>
        <v>1.1982126383387048</v>
      </c>
    </row>
    <row r="259" spans="1:26" s="24" customFormat="1" hidden="1" outlineLevel="2" x14ac:dyDescent="0.25">
      <c r="A259" s="25"/>
      <c r="B259" s="11" t="str">
        <f>CONCATENATE("          ", "6375", " - ", "OUTSIDE REPAIRS &amp; MAINTENANCE")</f>
        <v xml:space="preserve">          6375 - OUTSIDE REPAIRS &amp; MAINTENANCE</v>
      </c>
      <c r="C259" s="11"/>
      <c r="D259" s="6">
        <v>7016.48</v>
      </c>
      <c r="E259" s="2"/>
      <c r="F259" s="7">
        <f t="shared" si="94"/>
        <v>1.7740480592544097E-2</v>
      </c>
      <c r="G259" s="2"/>
      <c r="H259" s="6">
        <v>8618.98</v>
      </c>
      <c r="I259" s="2"/>
      <c r="J259" s="7">
        <f t="shared" si="95"/>
        <v>3.268470358845128E-3</v>
      </c>
      <c r="K259" s="2"/>
      <c r="L259" s="6">
        <f t="shared" si="96"/>
        <v>-1602.5</v>
      </c>
      <c r="M259" s="2"/>
      <c r="N259" s="7">
        <f t="shared" si="97"/>
        <v>-0.18592687301745683</v>
      </c>
      <c r="O259" s="11"/>
      <c r="P259" s="6">
        <v>29685.809999999998</v>
      </c>
      <c r="Q259" s="2"/>
      <c r="R259" s="7">
        <f t="shared" si="98"/>
        <v>6.3711873926550746E-3</v>
      </c>
      <c r="S259" s="2"/>
      <c r="T259" s="6">
        <v>101620.61</v>
      </c>
      <c r="U259" s="2"/>
      <c r="V259" s="7">
        <f t="shared" si="99"/>
        <v>6.3140314092011629E-3</v>
      </c>
      <c r="W259" s="2"/>
      <c r="X259" s="6">
        <f t="shared" si="100"/>
        <v>-71934.8</v>
      </c>
      <c r="Y259" s="2"/>
      <c r="Z259" s="7">
        <f t="shared" si="101"/>
        <v>-0.70787608930904866</v>
      </c>
    </row>
    <row r="260" spans="1:26" s="26" customFormat="1" outlineLevel="1" collapsed="1" x14ac:dyDescent="0.25">
      <c r="A260" s="27"/>
      <c r="B260" s="13" t="str">
        <f>CONCATENATE("     ","Royalty &amp; Commissions                             ")</f>
        <v xml:space="preserve">     Royalty &amp; Commissions                             </v>
      </c>
      <c r="C260" s="13"/>
      <c r="D260" s="1">
        <f>SUM(OSRRefD22_19x_0)</f>
        <v>4453.09</v>
      </c>
      <c r="E260" s="1"/>
      <c r="F260" s="5">
        <f t="shared" ref="F260:F263" si="102">IF(D$12=0,0,D260/D$12)</f>
        <v>1.1259200727694258E-2</v>
      </c>
      <c r="G260" s="1"/>
      <c r="H260" s="1">
        <f>SUM(OSRRefH22_19x_0)</f>
        <v>40827.380000000005</v>
      </c>
      <c r="I260" s="1"/>
      <c r="J260" s="5">
        <f t="shared" ref="J260:J263" si="103">IF(H$12=0,0,H260/H$12)</f>
        <v>1.5482467920717582E-2</v>
      </c>
      <c r="K260" s="1"/>
      <c r="L260" s="1">
        <f t="shared" ref="L260:L263" si="104">+D260-H260</f>
        <v>-36374.290000000008</v>
      </c>
      <c r="M260" s="1"/>
      <c r="N260" s="5">
        <f t="shared" ref="N260:N263" si="105">IF(H260=0,0,L260/H260)</f>
        <v>-0.89092883256285371</v>
      </c>
      <c r="O260" s="13"/>
      <c r="P260" s="1">
        <f>SUM(OSRRefP22_19x_0)</f>
        <v>28755.79</v>
      </c>
      <c r="Q260" s="1"/>
      <c r="R260" s="5">
        <f t="shared" ref="R260:R263" si="106">IF(P$12=0,0,P260/P$12)</f>
        <v>6.1715859096934493E-3</v>
      </c>
      <c r="S260" s="1"/>
      <c r="T260" s="1">
        <f>SUM(OSRRefT22_19x_0)</f>
        <v>170928.8</v>
      </c>
      <c r="U260" s="1"/>
      <c r="V260" s="5">
        <f t="shared" ref="V260:V263" si="107">IF(T$12=0,0,T260/T$12)</f>
        <v>1.0620383128354215E-2</v>
      </c>
      <c r="W260" s="1"/>
      <c r="X260" s="1">
        <f t="shared" ref="X260:X263" si="108">+P260-T260</f>
        <v>-142173.00999999998</v>
      </c>
      <c r="Y260" s="1"/>
      <c r="Z260" s="5">
        <f t="shared" ref="Z260:Z263" si="109">IF(T260=0,0,X260/T260)</f>
        <v>-0.83176743766995376</v>
      </c>
    </row>
    <row r="261" spans="1:26" s="24" customFormat="1" hidden="1" outlineLevel="2" x14ac:dyDescent="0.25">
      <c r="A261" s="25"/>
      <c r="B261" s="11" t="str">
        <f>CONCATENATE("          ", "6253", " - ", "ROYALTY DUE ATHLETICS-LRG")</f>
        <v xml:space="preserve">          6253 - ROYALTY DUE ATHLETICS-LRG</v>
      </c>
      <c r="C261" s="11"/>
      <c r="D261" s="6"/>
      <c r="E261" s="2"/>
      <c r="F261" s="7">
        <f t="shared" si="102"/>
        <v>0</v>
      </c>
      <c r="G261" s="2"/>
      <c r="H261" s="6"/>
      <c r="I261" s="2"/>
      <c r="J261" s="7">
        <f t="shared" si="103"/>
        <v>0</v>
      </c>
      <c r="K261" s="2"/>
      <c r="L261" s="6">
        <f t="shared" si="104"/>
        <v>0</v>
      </c>
      <c r="M261" s="2"/>
      <c r="N261" s="7">
        <f t="shared" si="105"/>
        <v>0</v>
      </c>
      <c r="O261" s="11"/>
      <c r="P261" s="6">
        <v>18411.8</v>
      </c>
      <c r="Q261" s="2"/>
      <c r="R261" s="7">
        <f t="shared" si="106"/>
        <v>3.9515522074717417E-3</v>
      </c>
      <c r="S261" s="2"/>
      <c r="T261" s="6">
        <v>4366.95</v>
      </c>
      <c r="U261" s="2"/>
      <c r="V261" s="7">
        <f t="shared" si="107"/>
        <v>2.7133333939258008E-4</v>
      </c>
      <c r="W261" s="2"/>
      <c r="X261" s="6">
        <f t="shared" si="108"/>
        <v>14044.849999999999</v>
      </c>
      <c r="Y261" s="2"/>
      <c r="Z261" s="7">
        <f t="shared" si="109"/>
        <v>3.216169179862375</v>
      </c>
    </row>
    <row r="262" spans="1:26" s="24" customFormat="1" hidden="1" outlineLevel="2" x14ac:dyDescent="0.25">
      <c r="A262" s="25"/>
      <c r="B262" s="11" t="str">
        <f>CONCATENATE("          ", "6254", " - ", "ROYALTY &amp; COMMISSIONS")</f>
        <v xml:space="preserve">          6254 - ROYALTY &amp; COMMISSIONS</v>
      </c>
      <c r="C262" s="11"/>
      <c r="D262" s="6"/>
      <c r="E262" s="2"/>
      <c r="F262" s="7">
        <f t="shared" si="102"/>
        <v>0</v>
      </c>
      <c r="G262" s="2"/>
      <c r="H262" s="6">
        <v>8810.44</v>
      </c>
      <c r="I262" s="2"/>
      <c r="J262" s="7">
        <f t="shared" si="103"/>
        <v>3.341075392724368E-3</v>
      </c>
      <c r="K262" s="2"/>
      <c r="L262" s="6">
        <f t="shared" si="104"/>
        <v>-8810.44</v>
      </c>
      <c r="M262" s="2"/>
      <c r="N262" s="7">
        <f t="shared" si="105"/>
        <v>-1</v>
      </c>
      <c r="O262" s="11"/>
      <c r="P262" s="6">
        <v>185.7</v>
      </c>
      <c r="Q262" s="2"/>
      <c r="R262" s="7">
        <f t="shared" si="106"/>
        <v>3.9855051919285593E-5</v>
      </c>
      <c r="S262" s="2"/>
      <c r="T262" s="6">
        <v>60961.29</v>
      </c>
      <c r="U262" s="2"/>
      <c r="V262" s="7">
        <f t="shared" si="107"/>
        <v>3.7877306562657002E-3</v>
      </c>
      <c r="W262" s="2"/>
      <c r="X262" s="6">
        <f t="shared" si="108"/>
        <v>-60775.590000000004</v>
      </c>
      <c r="Y262" s="2"/>
      <c r="Z262" s="7">
        <f t="shared" si="109"/>
        <v>-0.99695380461929206</v>
      </c>
    </row>
    <row r="263" spans="1:26" s="24" customFormat="1" hidden="1" outlineLevel="2" x14ac:dyDescent="0.25">
      <c r="A263" s="25"/>
      <c r="B263" s="11" t="str">
        <f>CONCATENATE("          ", "6259", " - ", "ROYALTY &amp; COMMISSIONS")</f>
        <v xml:space="preserve">          6259 - ROYALTY &amp; COMMISSIONS</v>
      </c>
      <c r="C263" s="11"/>
      <c r="D263" s="6">
        <v>4453.09</v>
      </c>
      <c r="E263" s="2"/>
      <c r="F263" s="7">
        <f t="shared" si="102"/>
        <v>1.1259200727694258E-2</v>
      </c>
      <c r="G263" s="2"/>
      <c r="H263" s="6">
        <v>32016.940000000002</v>
      </c>
      <c r="I263" s="2"/>
      <c r="J263" s="7">
        <f t="shared" si="103"/>
        <v>1.2141392527993213E-2</v>
      </c>
      <c r="K263" s="2"/>
      <c r="L263" s="6">
        <f t="shared" si="104"/>
        <v>-27563.850000000002</v>
      </c>
      <c r="M263" s="2"/>
      <c r="N263" s="7">
        <f t="shared" si="105"/>
        <v>-0.86091456585170223</v>
      </c>
      <c r="O263" s="11"/>
      <c r="P263" s="6">
        <v>10158.290000000001</v>
      </c>
      <c r="Q263" s="2"/>
      <c r="R263" s="7">
        <f t="shared" si="106"/>
        <v>2.1801786503024218E-3</v>
      </c>
      <c r="S263" s="2"/>
      <c r="T263" s="6">
        <v>105600.56</v>
      </c>
      <c r="U263" s="2"/>
      <c r="V263" s="7">
        <f t="shared" si="107"/>
        <v>6.5613191326959353E-3</v>
      </c>
      <c r="W263" s="2"/>
      <c r="X263" s="6">
        <f t="shared" si="108"/>
        <v>-95442.26999999999</v>
      </c>
      <c r="Y263" s="2"/>
      <c r="Z263" s="7">
        <f t="shared" si="109"/>
        <v>-0.90380458209691306</v>
      </c>
    </row>
    <row r="264" spans="1:26" s="26" customFormat="1" outlineLevel="1" collapsed="1" x14ac:dyDescent="0.25">
      <c r="A264" s="27"/>
      <c r="B264" s="13" t="str">
        <f>CONCATENATE("     ","Services                                          ")</f>
        <v xml:space="preserve">     Services                                          </v>
      </c>
      <c r="C264" s="13"/>
      <c r="D264" s="1">
        <f>SUM(OSRRefD22_20x_0)</f>
        <v>22028.5</v>
      </c>
      <c r="E264" s="1"/>
      <c r="F264" s="5">
        <f t="shared" ref="F264:F269" si="110">IF(D$12=0,0,D264/D$12)</f>
        <v>5.5696898834295502E-2</v>
      </c>
      <c r="G264" s="1"/>
      <c r="H264" s="1">
        <f>SUM(OSRRefH22_20x_0)</f>
        <v>44379.14</v>
      </c>
      <c r="I264" s="1"/>
      <c r="J264" s="5">
        <f t="shared" ref="J264:J269" si="111">IF(H$12=0,0,H264/H$12)</f>
        <v>1.6829358420722425E-2</v>
      </c>
      <c r="K264" s="1"/>
      <c r="L264" s="1">
        <f t="shared" ref="L264:L269" si="112">+D264-H264</f>
        <v>-22350.639999999999</v>
      </c>
      <c r="M264" s="1"/>
      <c r="N264" s="5">
        <f t="shared" ref="N264:N269" si="113">IF(H264=0,0,L264/H264)</f>
        <v>-0.5036294078704544</v>
      </c>
      <c r="O264" s="13"/>
      <c r="P264" s="1">
        <f>SUM(OSRRefP22_20x_0)</f>
        <v>94490.069999999992</v>
      </c>
      <c r="Q264" s="1"/>
      <c r="R264" s="5">
        <f t="shared" ref="R264:R269" si="114">IF(P$12=0,0,P264/P$12)</f>
        <v>2.0279518824485351E-2</v>
      </c>
      <c r="S264" s="1"/>
      <c r="T264" s="1">
        <f>SUM(OSRRefT22_20x_0)</f>
        <v>229559.25</v>
      </c>
      <c r="U264" s="1"/>
      <c r="V264" s="5">
        <f t="shared" ref="V264:V269" si="115">IF(T$12=0,0,T264/T$12)</f>
        <v>1.4263290830203263E-2</v>
      </c>
      <c r="W264" s="1"/>
      <c r="X264" s="1">
        <f t="shared" ref="X264:X269" si="116">+P264-T264</f>
        <v>-135069.18</v>
      </c>
      <c r="Y264" s="1"/>
      <c r="Z264" s="5">
        <f t="shared" ref="Z264:Z269" si="117">IF(T264=0,0,X264/T264)</f>
        <v>-0.58838482875336107</v>
      </c>
    </row>
    <row r="265" spans="1:26" s="24" customFormat="1" hidden="1" outlineLevel="2" x14ac:dyDescent="0.25">
      <c r="A265" s="25"/>
      <c r="B265" s="11" t="str">
        <f>CONCATENATE("          ", "6282", " - ", "JANITORIAL/EXTERMINATOR EXPENS")</f>
        <v xml:space="preserve">          6282 - JANITORIAL/EXTERMINATOR EXPENS</v>
      </c>
      <c r="C265" s="11"/>
      <c r="D265" s="6">
        <v>438.2</v>
      </c>
      <c r="E265" s="2"/>
      <c r="F265" s="7">
        <f t="shared" si="110"/>
        <v>1.1079456644432571E-3</v>
      </c>
      <c r="G265" s="2"/>
      <c r="H265" s="6">
        <v>3352.11</v>
      </c>
      <c r="I265" s="2"/>
      <c r="J265" s="7">
        <f t="shared" si="111"/>
        <v>1.2711796726049187E-3</v>
      </c>
      <c r="K265" s="2"/>
      <c r="L265" s="6">
        <f t="shared" si="112"/>
        <v>-2913.9100000000003</v>
      </c>
      <c r="M265" s="2"/>
      <c r="N265" s="7">
        <f t="shared" si="113"/>
        <v>-0.86927636622903193</v>
      </c>
      <c r="O265" s="11"/>
      <c r="P265" s="6">
        <v>10852.32</v>
      </c>
      <c r="Q265" s="2"/>
      <c r="R265" s="7">
        <f t="shared" si="114"/>
        <v>2.3291318096106701E-3</v>
      </c>
      <c r="S265" s="2"/>
      <c r="T265" s="6">
        <v>18410.990000000002</v>
      </c>
      <c r="U265" s="2"/>
      <c r="V265" s="7">
        <f t="shared" si="115"/>
        <v>1.1439369349828595E-3</v>
      </c>
      <c r="W265" s="2"/>
      <c r="X265" s="6">
        <f t="shared" si="116"/>
        <v>-7558.6700000000019</v>
      </c>
      <c r="Y265" s="2"/>
      <c r="Z265" s="7">
        <f t="shared" si="117"/>
        <v>-0.41055206699911312</v>
      </c>
    </row>
    <row r="266" spans="1:26" s="24" customFormat="1" hidden="1" outlineLevel="2" x14ac:dyDescent="0.25">
      <c r="A266" s="25"/>
      <c r="B266" s="11" t="str">
        <f>CONCATENATE("          ", "6283", " - ", "PLANT SERVICE")</f>
        <v xml:space="preserve">          6283 - PLANT SERVICE</v>
      </c>
      <c r="C266" s="11"/>
      <c r="D266" s="6">
        <v>41.31</v>
      </c>
      <c r="E266" s="2"/>
      <c r="F266" s="7">
        <f t="shared" si="110"/>
        <v>1.0444827795105192E-4</v>
      </c>
      <c r="G266" s="2"/>
      <c r="H266" s="6">
        <v>199.78</v>
      </c>
      <c r="I266" s="2"/>
      <c r="J266" s="7">
        <f t="shared" si="111"/>
        <v>7.5760125709780008E-5</v>
      </c>
      <c r="K266" s="2"/>
      <c r="L266" s="6">
        <f t="shared" si="112"/>
        <v>-158.47</v>
      </c>
      <c r="M266" s="2"/>
      <c r="N266" s="7">
        <f t="shared" si="113"/>
        <v>-0.79322254479927923</v>
      </c>
      <c r="O266" s="11"/>
      <c r="P266" s="6">
        <v>171.31</v>
      </c>
      <c r="Q266" s="2"/>
      <c r="R266" s="7">
        <f t="shared" si="114"/>
        <v>3.6766660981652211E-5</v>
      </c>
      <c r="S266" s="2"/>
      <c r="T266" s="6">
        <v>1341.1</v>
      </c>
      <c r="U266" s="2"/>
      <c r="V266" s="7">
        <f t="shared" si="115"/>
        <v>8.3327068425191291E-5</v>
      </c>
      <c r="W266" s="2"/>
      <c r="X266" s="6">
        <f t="shared" si="116"/>
        <v>-1169.79</v>
      </c>
      <c r="Y266" s="2"/>
      <c r="Z266" s="7">
        <f t="shared" si="117"/>
        <v>-0.87226157631794798</v>
      </c>
    </row>
    <row r="267" spans="1:26" s="24" customFormat="1" hidden="1" outlineLevel="2" x14ac:dyDescent="0.25">
      <c r="A267" s="25"/>
      <c r="B267" s="11" t="str">
        <f>CONCATENATE("          ", "6284", " - ", "TRASH REMOVAL EXPENSE")</f>
        <v xml:space="preserve">          6284 - TRASH REMOVAL EXPENSE</v>
      </c>
      <c r="C267" s="11"/>
      <c r="D267" s="6">
        <v>5658</v>
      </c>
      <c r="E267" s="2"/>
      <c r="F267" s="7">
        <f t="shared" si="110"/>
        <v>1.4305697328662593E-2</v>
      </c>
      <c r="G267" s="2"/>
      <c r="H267" s="6">
        <v>4570.82</v>
      </c>
      <c r="I267" s="2"/>
      <c r="J267" s="7">
        <f t="shared" si="111"/>
        <v>1.7333361587585174E-3</v>
      </c>
      <c r="K267" s="2"/>
      <c r="L267" s="6">
        <f t="shared" si="112"/>
        <v>1087.1800000000003</v>
      </c>
      <c r="M267" s="2"/>
      <c r="N267" s="7">
        <f t="shared" si="113"/>
        <v>0.23785228908598466</v>
      </c>
      <c r="O267" s="11"/>
      <c r="P267" s="6">
        <v>14373.3</v>
      </c>
      <c r="Q267" s="2"/>
      <c r="R267" s="7">
        <f t="shared" si="114"/>
        <v>3.0848067730289046E-3</v>
      </c>
      <c r="S267" s="2"/>
      <c r="T267" s="6">
        <v>14842.1</v>
      </c>
      <c r="U267" s="2"/>
      <c r="V267" s="7">
        <f t="shared" si="115"/>
        <v>9.2218975637426879E-4</v>
      </c>
      <c r="W267" s="2"/>
      <c r="X267" s="6">
        <f t="shared" si="116"/>
        <v>-468.80000000000109</v>
      </c>
      <c r="Y267" s="2"/>
      <c r="Z267" s="7">
        <f t="shared" si="117"/>
        <v>-3.1585826803484755E-2</v>
      </c>
    </row>
    <row r="268" spans="1:26" s="24" customFormat="1" hidden="1" outlineLevel="2" x14ac:dyDescent="0.25">
      <c r="A268" s="25"/>
      <c r="B268" s="11" t="str">
        <f>CONCATENATE("          ", "6285", " - ", "JANITORIAL SERVICES")</f>
        <v xml:space="preserve">          6285 - JANITORIAL SERVICES</v>
      </c>
      <c r="C268" s="11"/>
      <c r="D268" s="6">
        <v>15121.310000000001</v>
      </c>
      <c r="E268" s="2"/>
      <c r="F268" s="7">
        <f t="shared" si="110"/>
        <v>3.8232747273396782E-2</v>
      </c>
      <c r="G268" s="2"/>
      <c r="H268" s="6">
        <v>28975.550000000003</v>
      </c>
      <c r="I268" s="2"/>
      <c r="J268" s="7">
        <f t="shared" si="111"/>
        <v>1.0988043400290401E-2</v>
      </c>
      <c r="K268" s="2"/>
      <c r="L268" s="6">
        <f t="shared" si="112"/>
        <v>-13854.240000000002</v>
      </c>
      <c r="M268" s="2"/>
      <c r="N268" s="7">
        <f t="shared" si="113"/>
        <v>-0.47813553150846144</v>
      </c>
      <c r="O268" s="11"/>
      <c r="P268" s="6">
        <v>60330.59</v>
      </c>
      <c r="Q268" s="2"/>
      <c r="R268" s="7">
        <f t="shared" si="114"/>
        <v>1.2948189535654993E-2</v>
      </c>
      <c r="S268" s="2"/>
      <c r="T268" s="6">
        <v>149818.35</v>
      </c>
      <c r="U268" s="2"/>
      <c r="V268" s="7">
        <f t="shared" si="115"/>
        <v>9.3087196344786068E-3</v>
      </c>
      <c r="W268" s="2"/>
      <c r="X268" s="6">
        <f t="shared" si="116"/>
        <v>-89487.760000000009</v>
      </c>
      <c r="Y268" s="2"/>
      <c r="Z268" s="7">
        <f t="shared" si="117"/>
        <v>-0.5973084071477226</v>
      </c>
    </row>
    <row r="269" spans="1:26" s="24" customFormat="1" hidden="1" outlineLevel="2" x14ac:dyDescent="0.25">
      <c r="A269" s="25"/>
      <c r="B269" s="11" t="str">
        <f>CONCATENATE("          ", "6286", " - ", "LAUNDRY EXPENSE")</f>
        <v xml:space="preserve">          6286 - LAUNDRY EXPENSE</v>
      </c>
      <c r="C269" s="11"/>
      <c r="D269" s="6">
        <v>769.68</v>
      </c>
      <c r="E269" s="2"/>
      <c r="F269" s="7">
        <f t="shared" si="110"/>
        <v>1.9460602898418212E-3</v>
      </c>
      <c r="G269" s="2"/>
      <c r="H269" s="6">
        <v>7280.88</v>
      </c>
      <c r="I269" s="2"/>
      <c r="J269" s="7">
        <f t="shared" si="111"/>
        <v>2.7610390633588102E-3</v>
      </c>
      <c r="K269" s="2"/>
      <c r="L269" s="6">
        <f t="shared" si="112"/>
        <v>-6511.2</v>
      </c>
      <c r="M269" s="2"/>
      <c r="N269" s="7">
        <f t="shared" si="113"/>
        <v>-0.89428750370834287</v>
      </c>
      <c r="O269" s="11"/>
      <c r="P269" s="6">
        <v>8762.5499999999993</v>
      </c>
      <c r="Q269" s="2"/>
      <c r="R269" s="7">
        <f t="shared" si="114"/>
        <v>1.8806240452091327E-3</v>
      </c>
      <c r="S269" s="2"/>
      <c r="T269" s="6">
        <v>45146.71</v>
      </c>
      <c r="U269" s="2"/>
      <c r="V269" s="7">
        <f t="shared" si="115"/>
        <v>2.8051174359423371E-3</v>
      </c>
      <c r="W269" s="2"/>
      <c r="X269" s="6">
        <f t="shared" si="116"/>
        <v>-36384.160000000003</v>
      </c>
      <c r="Y269" s="2"/>
      <c r="Z269" s="7">
        <f t="shared" si="117"/>
        <v>-0.80590944500717776</v>
      </c>
    </row>
    <row r="270" spans="1:26" s="26" customFormat="1" outlineLevel="1" collapsed="1" x14ac:dyDescent="0.25">
      <c r="A270" s="27"/>
      <c r="B270" s="13" t="str">
        <f>CONCATENATE("     ","Subscriptions &amp; Dues                              ")</f>
        <v xml:space="preserve">     Subscriptions &amp; Dues                              </v>
      </c>
      <c r="C270" s="13"/>
      <c r="D270" s="1">
        <f>SUM(OSRRefD22_21x_0)</f>
        <v>520.91999999999996</v>
      </c>
      <c r="E270" s="1"/>
      <c r="F270" s="5">
        <f t="shared" ref="F270:F272" si="118">IF(D$12=0,0,D270/D$12)</f>
        <v>1.3170950605243756E-3</v>
      </c>
      <c r="G270" s="1"/>
      <c r="H270" s="1">
        <f>SUM(OSRRefH22_21x_0)</f>
        <v>630.14</v>
      </c>
      <c r="I270" s="1"/>
      <c r="J270" s="5">
        <f t="shared" ref="J270:J272" si="119">IF(H$12=0,0,H270/H$12)</f>
        <v>2.3896028438662916E-4</v>
      </c>
      <c r="K270" s="1"/>
      <c r="L270" s="1">
        <f t="shared" ref="L270:L272" si="120">+D270-H270</f>
        <v>-109.22000000000003</v>
      </c>
      <c r="M270" s="1"/>
      <c r="N270" s="5">
        <f t="shared" ref="N270:N272" si="121">IF(H270=0,0,L270/H270)</f>
        <v>-0.1733265623512236</v>
      </c>
      <c r="O270" s="13"/>
      <c r="P270" s="1">
        <f>SUM(OSRRefP22_21x_0)</f>
        <v>2441.34</v>
      </c>
      <c r="Q270" s="1"/>
      <c r="R270" s="5">
        <f t="shared" ref="R270:R272" si="122">IF(P$12=0,0,P270/P$12)</f>
        <v>5.2396194104808134E-4</v>
      </c>
      <c r="S270" s="1"/>
      <c r="T270" s="1">
        <f>SUM(OSRRefT22_21x_0)</f>
        <v>74.539999999999964</v>
      </c>
      <c r="U270" s="1"/>
      <c r="V270" s="5">
        <f t="shared" ref="V270:V272" si="123">IF(T$12=0,0,T270/T$12)</f>
        <v>4.6314217287404045E-6</v>
      </c>
      <c r="W270" s="1"/>
      <c r="X270" s="1">
        <f t="shared" ref="X270:X272" si="124">+P270-T270</f>
        <v>2366.8000000000002</v>
      </c>
      <c r="Y270" s="1"/>
      <c r="Z270" s="5">
        <f t="shared" ref="Z270:Z272" si="125">IF(T270=0,0,X270/T270)</f>
        <v>31.752079420445416</v>
      </c>
    </row>
    <row r="271" spans="1:26" s="24" customFormat="1" hidden="1" outlineLevel="2" x14ac:dyDescent="0.25">
      <c r="A271" s="25"/>
      <c r="B271" s="11" t="str">
        <f>CONCATENATE("          ", "6258", " - ", "MEMBERSHIP DUES")</f>
        <v xml:space="preserve">          6258 - MEMBERSHIP DUES</v>
      </c>
      <c r="C271" s="11"/>
      <c r="D271" s="6">
        <v>520.91999999999996</v>
      </c>
      <c r="E271" s="2"/>
      <c r="F271" s="7">
        <f t="shared" si="118"/>
        <v>1.3170950605243756E-3</v>
      </c>
      <c r="G271" s="2"/>
      <c r="H271" s="6">
        <v>250</v>
      </c>
      <c r="I271" s="2"/>
      <c r="J271" s="7">
        <f t="shared" si="119"/>
        <v>9.480444202345081E-5</v>
      </c>
      <c r="K271" s="2"/>
      <c r="L271" s="6">
        <f t="shared" si="120"/>
        <v>270.91999999999996</v>
      </c>
      <c r="M271" s="2"/>
      <c r="N271" s="7">
        <f t="shared" si="121"/>
        <v>1.0836799999999998</v>
      </c>
      <c r="O271" s="11"/>
      <c r="P271" s="6">
        <v>1944.28</v>
      </c>
      <c r="Q271" s="2"/>
      <c r="R271" s="7">
        <f t="shared" si="122"/>
        <v>4.1728260821555517E-4</v>
      </c>
      <c r="S271" s="2"/>
      <c r="T271" s="6">
        <v>-3572.6</v>
      </c>
      <c r="U271" s="2"/>
      <c r="V271" s="7">
        <f t="shared" si="123"/>
        <v>-2.2197769342766269E-4</v>
      </c>
      <c r="W271" s="2"/>
      <c r="X271" s="6">
        <f t="shared" si="124"/>
        <v>5516.88</v>
      </c>
      <c r="Y271" s="2"/>
      <c r="Z271" s="7">
        <f t="shared" si="125"/>
        <v>-1.5442198958741533</v>
      </c>
    </row>
    <row r="272" spans="1:26" s="24" customFormat="1" hidden="1" outlineLevel="2" x14ac:dyDescent="0.25">
      <c r="A272" s="25"/>
      <c r="B272" s="11" t="str">
        <f>CONCATENATE("          ", "6275", " - ", "SUBSCRIPTIONS")</f>
        <v xml:space="preserve">          6275 - SUBSCRIPTIONS</v>
      </c>
      <c r="C272" s="11"/>
      <c r="D272" s="6"/>
      <c r="E272" s="2"/>
      <c r="F272" s="7">
        <f t="shared" si="118"/>
        <v>0</v>
      </c>
      <c r="G272" s="2"/>
      <c r="H272" s="6">
        <v>380.14</v>
      </c>
      <c r="I272" s="2"/>
      <c r="J272" s="7">
        <f t="shared" si="119"/>
        <v>1.4415584236317835E-4</v>
      </c>
      <c r="K272" s="2"/>
      <c r="L272" s="6">
        <f t="shared" si="120"/>
        <v>-380.14</v>
      </c>
      <c r="M272" s="2"/>
      <c r="N272" s="7">
        <f t="shared" si="121"/>
        <v>-1</v>
      </c>
      <c r="O272" s="11"/>
      <c r="P272" s="6">
        <v>497.06</v>
      </c>
      <c r="Q272" s="2"/>
      <c r="R272" s="7">
        <f t="shared" si="122"/>
        <v>1.0667933283252611E-4</v>
      </c>
      <c r="S272" s="2"/>
      <c r="T272" s="6">
        <v>3647.14</v>
      </c>
      <c r="U272" s="2"/>
      <c r="V272" s="7">
        <f t="shared" si="123"/>
        <v>2.2660911515640309E-4</v>
      </c>
      <c r="W272" s="2"/>
      <c r="X272" s="6">
        <f t="shared" si="124"/>
        <v>-3150.08</v>
      </c>
      <c r="Y272" s="2"/>
      <c r="Z272" s="7">
        <f t="shared" si="125"/>
        <v>-0.8637123883371628</v>
      </c>
    </row>
    <row r="273" spans="1:26" s="26" customFormat="1" outlineLevel="1" collapsed="1" x14ac:dyDescent="0.25">
      <c r="A273" s="27"/>
      <c r="B273" s="13" t="str">
        <f>CONCATENATE("     ","Supplies                                          ")</f>
        <v xml:space="preserve">     Supplies                                          </v>
      </c>
      <c r="C273" s="13"/>
      <c r="D273" s="1">
        <f>SUM(OSRRefD22_22x_0)</f>
        <v>36435.480000000003</v>
      </c>
      <c r="E273" s="1"/>
      <c r="F273" s="5">
        <f t="shared" ref="F273:F282" si="126">IF(D$12=0,0,D273/D$12)</f>
        <v>9.2123532856935211E-2</v>
      </c>
      <c r="G273" s="1"/>
      <c r="H273" s="1">
        <f>SUM(OSRRefH22_22x_0)</f>
        <v>40617.73000000001</v>
      </c>
      <c r="I273" s="1"/>
      <c r="J273" s="5">
        <f t="shared" ref="J273:J282" si="127">IF(H$12=0,0,H273/H$12)</f>
        <v>1.5402964915636717E-2</v>
      </c>
      <c r="K273" s="1"/>
      <c r="L273" s="1">
        <f t="shared" ref="L273:L282" si="128">+D273-H273</f>
        <v>-4182.2500000000073</v>
      </c>
      <c r="M273" s="1"/>
      <c r="N273" s="5">
        <f t="shared" ref="N273:N282" si="129">IF(H273=0,0,L273/H273)</f>
        <v>-0.10296611849061989</v>
      </c>
      <c r="O273" s="13"/>
      <c r="P273" s="1">
        <f>SUM(OSRRefP22_22x_0)</f>
        <v>169894.93999999997</v>
      </c>
      <c r="Q273" s="1"/>
      <c r="R273" s="5">
        <f t="shared" ref="R273:R282" si="130">IF(P$12=0,0,P273/P$12)</f>
        <v>3.6462959905890734E-2</v>
      </c>
      <c r="S273" s="1"/>
      <c r="T273" s="1">
        <f>SUM(OSRRefT22_22x_0)</f>
        <v>327445.94000000006</v>
      </c>
      <c r="U273" s="1"/>
      <c r="V273" s="5">
        <f t="shared" ref="V273:V282" si="131">IF(T$12=0,0,T273/T$12)</f>
        <v>2.0345321190016471E-2</v>
      </c>
      <c r="W273" s="1"/>
      <c r="X273" s="1">
        <f t="shared" ref="X273:X282" si="132">+P273-T273</f>
        <v>-157551.00000000009</v>
      </c>
      <c r="Y273" s="1"/>
      <c r="Z273" s="5">
        <f t="shared" ref="Z273:Z282" si="133">IF(T273=0,0,X273/T273)</f>
        <v>-0.48115117872586866</v>
      </c>
    </row>
    <row r="274" spans="1:26" s="24" customFormat="1" hidden="1" outlineLevel="2" x14ac:dyDescent="0.25">
      <c r="A274" s="25"/>
      <c r="B274" s="11" t="str">
        <f>CONCATENATE("          ", "6234", " - ", "EXPENDABLE SUPPLIES &amp; EQUIPMEN")</f>
        <v xml:space="preserve">          6234 - EXPENDABLE SUPPLIES &amp; EQUIPMEN</v>
      </c>
      <c r="C274" s="11"/>
      <c r="D274" s="6">
        <v>-550.67999999999995</v>
      </c>
      <c r="E274" s="2"/>
      <c r="F274" s="7">
        <f t="shared" si="126"/>
        <v>-1.3923402977992075E-3</v>
      </c>
      <c r="G274" s="2"/>
      <c r="H274" s="6">
        <v>690.7</v>
      </c>
      <c r="I274" s="2"/>
      <c r="J274" s="7">
        <f t="shared" si="127"/>
        <v>2.6192571242238989E-4</v>
      </c>
      <c r="K274" s="2"/>
      <c r="L274" s="6">
        <f t="shared" si="128"/>
        <v>-1241.3800000000001</v>
      </c>
      <c r="M274" s="2"/>
      <c r="N274" s="7">
        <f t="shared" si="129"/>
        <v>-1.7972781236426814</v>
      </c>
      <c r="O274" s="11"/>
      <c r="P274" s="6">
        <v>178.24</v>
      </c>
      <c r="Q274" s="2"/>
      <c r="R274" s="7">
        <f t="shared" si="130"/>
        <v>3.8253981982194209E-5</v>
      </c>
      <c r="S274" s="2"/>
      <c r="T274" s="6">
        <v>15631.2</v>
      </c>
      <c r="U274" s="2"/>
      <c r="V274" s="7">
        <f t="shared" si="131"/>
        <v>9.7121920212351828E-4</v>
      </c>
      <c r="W274" s="2"/>
      <c r="X274" s="6">
        <f t="shared" si="132"/>
        <v>-15452.960000000001</v>
      </c>
      <c r="Y274" s="2"/>
      <c r="Z274" s="7">
        <f t="shared" si="133"/>
        <v>-0.98859716464506886</v>
      </c>
    </row>
    <row r="275" spans="1:26" s="24" customFormat="1" hidden="1" outlineLevel="2" x14ac:dyDescent="0.25">
      <c r="A275" s="25"/>
      <c r="B275" s="11" t="str">
        <f>CONCATENATE("          ", "6235", " - ", "COVID-19 EXPENSES")</f>
        <v xml:space="preserve">          6235 - COVID-19 EXPENSES</v>
      </c>
      <c r="C275" s="11"/>
      <c r="D275" s="6">
        <v>14482.36</v>
      </c>
      <c r="E275" s="2"/>
      <c r="F275" s="7">
        <f t="shared" si="126"/>
        <v>3.6617224949581126E-2</v>
      </c>
      <c r="G275" s="2"/>
      <c r="H275" s="6"/>
      <c r="I275" s="2"/>
      <c r="J275" s="7">
        <f t="shared" si="127"/>
        <v>0</v>
      </c>
      <c r="K275" s="2"/>
      <c r="L275" s="6">
        <f t="shared" si="128"/>
        <v>14482.36</v>
      </c>
      <c r="M275" s="2"/>
      <c r="N275" s="7">
        <f t="shared" si="129"/>
        <v>0</v>
      </c>
      <c r="O275" s="11"/>
      <c r="P275" s="6">
        <v>79226.05</v>
      </c>
      <c r="Q275" s="2"/>
      <c r="R275" s="7">
        <f t="shared" si="130"/>
        <v>1.7003545159450278E-2</v>
      </c>
      <c r="S275" s="2"/>
      <c r="T275" s="6"/>
      <c r="U275" s="2"/>
      <c r="V275" s="7">
        <f t="shared" si="131"/>
        <v>0</v>
      </c>
      <c r="W275" s="2"/>
      <c r="X275" s="6">
        <f t="shared" si="132"/>
        <v>79226.05</v>
      </c>
      <c r="Y275" s="2"/>
      <c r="Z275" s="7">
        <f t="shared" si="133"/>
        <v>0</v>
      </c>
    </row>
    <row r="276" spans="1:26" s="24" customFormat="1" hidden="1" outlineLevel="2" x14ac:dyDescent="0.25">
      <c r="A276" s="25"/>
      <c r="B276" s="11" t="str">
        <f>CONCATENATE("          ", "6237", " - ", "JANITORIAL SUPPLIES")</f>
        <v xml:space="preserve">          6237 - JANITORIAL SUPPLIES</v>
      </c>
      <c r="C276" s="11"/>
      <c r="D276" s="6">
        <v>709.09</v>
      </c>
      <c r="E276" s="2"/>
      <c r="F276" s="7">
        <f t="shared" si="126"/>
        <v>1.7928644253766982E-3</v>
      </c>
      <c r="G276" s="2"/>
      <c r="H276" s="6">
        <v>14764.729999999998</v>
      </c>
      <c r="I276" s="2"/>
      <c r="J276" s="7">
        <f t="shared" si="127"/>
        <v>5.5990479571076182E-3</v>
      </c>
      <c r="K276" s="2"/>
      <c r="L276" s="6">
        <f t="shared" si="128"/>
        <v>-14055.639999999998</v>
      </c>
      <c r="M276" s="2"/>
      <c r="N276" s="7">
        <f t="shared" si="129"/>
        <v>-0.95197406251248751</v>
      </c>
      <c r="O276" s="11"/>
      <c r="P276" s="6">
        <v>10435.23</v>
      </c>
      <c r="Q276" s="2"/>
      <c r="R276" s="7">
        <f t="shared" si="130"/>
        <v>2.2396156889590017E-3</v>
      </c>
      <c r="S276" s="2"/>
      <c r="T276" s="6">
        <v>75283.090000000011</v>
      </c>
      <c r="U276" s="2"/>
      <c r="V276" s="7">
        <f t="shared" si="131"/>
        <v>4.6775924179329178E-3</v>
      </c>
      <c r="W276" s="2"/>
      <c r="X276" s="6">
        <f t="shared" si="132"/>
        <v>-64847.860000000015</v>
      </c>
      <c r="Y276" s="2"/>
      <c r="Z276" s="7">
        <f t="shared" si="133"/>
        <v>-0.86138680014329916</v>
      </c>
    </row>
    <row r="277" spans="1:26" s="24" customFormat="1" hidden="1" outlineLevel="2" x14ac:dyDescent="0.25">
      <c r="A277" s="25"/>
      <c r="B277" s="11" t="str">
        <f>CONCATENATE("          ", "6239", " - ", "KITCHEN SUPPLIES")</f>
        <v xml:space="preserve">          6239 - KITCHEN SUPPLIES</v>
      </c>
      <c r="C277" s="11"/>
      <c r="D277" s="6">
        <v>1494.83</v>
      </c>
      <c r="E277" s="2"/>
      <c r="F277" s="7">
        <f t="shared" si="126"/>
        <v>3.7795308479683107E-3</v>
      </c>
      <c r="G277" s="2"/>
      <c r="H277" s="6">
        <v>4934.26</v>
      </c>
      <c r="I277" s="2"/>
      <c r="J277" s="7">
        <f t="shared" si="127"/>
        <v>1.8711590643945295E-3</v>
      </c>
      <c r="K277" s="2"/>
      <c r="L277" s="6">
        <f t="shared" si="128"/>
        <v>-3439.4300000000003</v>
      </c>
      <c r="M277" s="2"/>
      <c r="N277" s="7">
        <f t="shared" si="129"/>
        <v>-0.69705082423706899</v>
      </c>
      <c r="O277" s="11"/>
      <c r="P277" s="6">
        <v>5686.34</v>
      </c>
      <c r="Q277" s="2"/>
      <c r="R277" s="7">
        <f t="shared" si="130"/>
        <v>1.2204059016193347E-3</v>
      </c>
      <c r="S277" s="2"/>
      <c r="T277" s="6">
        <v>51806.23</v>
      </c>
      <c r="U277" s="2"/>
      <c r="V277" s="7">
        <f t="shared" si="131"/>
        <v>3.2188958855127871E-3</v>
      </c>
      <c r="W277" s="2"/>
      <c r="X277" s="6">
        <f t="shared" si="132"/>
        <v>-46119.89</v>
      </c>
      <c r="Y277" s="2"/>
      <c r="Z277" s="7">
        <f t="shared" si="133"/>
        <v>-0.89023829759471007</v>
      </c>
    </row>
    <row r="278" spans="1:26" s="24" customFormat="1" hidden="1" outlineLevel="2" x14ac:dyDescent="0.25">
      <c r="A278" s="25"/>
      <c r="B278" s="11" t="str">
        <f>CONCATENATE("          ", "6241", " - ", "OFFICE EXPENSE")</f>
        <v xml:space="preserve">          6241 - OFFICE EXPENSE</v>
      </c>
      <c r="C278" s="11"/>
      <c r="D278" s="6">
        <v>2052.44</v>
      </c>
      <c r="E278" s="2"/>
      <c r="F278" s="7">
        <f t="shared" si="126"/>
        <v>5.1893929701732509E-3</v>
      </c>
      <c r="G278" s="2"/>
      <c r="H278" s="6">
        <v>6264.1</v>
      </c>
      <c r="I278" s="2"/>
      <c r="J278" s="7">
        <f t="shared" si="127"/>
        <v>2.3754580211163929E-3</v>
      </c>
      <c r="K278" s="2"/>
      <c r="L278" s="6">
        <f t="shared" si="128"/>
        <v>-4211.66</v>
      </c>
      <c r="M278" s="2"/>
      <c r="N278" s="7">
        <f t="shared" si="129"/>
        <v>-0.67234878114972618</v>
      </c>
      <c r="O278" s="11"/>
      <c r="P278" s="6">
        <v>24353.1</v>
      </c>
      <c r="Q278" s="2"/>
      <c r="R278" s="7">
        <f t="shared" si="130"/>
        <v>5.2266777861903818E-3</v>
      </c>
      <c r="S278" s="2"/>
      <c r="T278" s="6">
        <v>74030.12</v>
      </c>
      <c r="U278" s="2"/>
      <c r="V278" s="7">
        <f t="shared" si="131"/>
        <v>4.5997411637947374E-3</v>
      </c>
      <c r="W278" s="2"/>
      <c r="X278" s="6">
        <f t="shared" si="132"/>
        <v>-49677.02</v>
      </c>
      <c r="Y278" s="2"/>
      <c r="Z278" s="7">
        <f t="shared" si="133"/>
        <v>-0.67103795049906712</v>
      </c>
    </row>
    <row r="279" spans="1:26" s="24" customFormat="1" hidden="1" outlineLevel="2" x14ac:dyDescent="0.25">
      <c r="A279" s="25"/>
      <c r="B279" s="11" t="str">
        <f>CONCATENATE("          ", "6243", " - ", "PAPER SUPPLIES")</f>
        <v xml:space="preserve">          6243 - PAPER SUPPLIES</v>
      </c>
      <c r="C279" s="11"/>
      <c r="D279" s="6">
        <v>6795.48</v>
      </c>
      <c r="E279" s="2"/>
      <c r="F279" s="7">
        <f t="shared" si="126"/>
        <v>1.7181703796921185E-2</v>
      </c>
      <c r="G279" s="2"/>
      <c r="H279" s="6">
        <v>9102.98</v>
      </c>
      <c r="I279" s="2"/>
      <c r="J279" s="7">
        <f t="shared" si="127"/>
        <v>3.4520117586025285E-3</v>
      </c>
      <c r="K279" s="2"/>
      <c r="L279" s="6">
        <f t="shared" si="128"/>
        <v>-2307.5</v>
      </c>
      <c r="M279" s="2"/>
      <c r="N279" s="7">
        <f t="shared" si="129"/>
        <v>-0.25348841807847539</v>
      </c>
      <c r="O279" s="11"/>
      <c r="P279" s="6">
        <v>16661.990000000002</v>
      </c>
      <c r="Q279" s="2"/>
      <c r="R279" s="7">
        <f t="shared" si="130"/>
        <v>3.5760068741444127E-3</v>
      </c>
      <c r="S279" s="2"/>
      <c r="T279" s="6">
        <v>59433.219999999994</v>
      </c>
      <c r="U279" s="2"/>
      <c r="V279" s="7">
        <f t="shared" si="131"/>
        <v>3.6927865108265213E-3</v>
      </c>
      <c r="W279" s="2"/>
      <c r="X279" s="6">
        <f t="shared" si="132"/>
        <v>-42771.229999999996</v>
      </c>
      <c r="Y279" s="2"/>
      <c r="Z279" s="7">
        <f t="shared" si="133"/>
        <v>-0.71965190511299915</v>
      </c>
    </row>
    <row r="280" spans="1:26" s="24" customFormat="1" hidden="1" outlineLevel="2" x14ac:dyDescent="0.25">
      <c r="A280" s="25"/>
      <c r="B280" s="11" t="str">
        <f>CONCATENATE("          ", "6245", " - ", "PRINTING")</f>
        <v xml:space="preserve">          6245 - PRINTING</v>
      </c>
      <c r="C280" s="11"/>
      <c r="D280" s="6">
        <v>93.72</v>
      </c>
      <c r="E280" s="2"/>
      <c r="F280" s="7">
        <f t="shared" si="126"/>
        <v>2.3696181577275685E-4</v>
      </c>
      <c r="G280" s="2"/>
      <c r="H280" s="6">
        <v>-348.77</v>
      </c>
      <c r="I280" s="2"/>
      <c r="J280" s="7">
        <f t="shared" si="127"/>
        <v>-1.3225978097807574E-4</v>
      </c>
      <c r="K280" s="2"/>
      <c r="L280" s="6">
        <f t="shared" si="128"/>
        <v>442.49</v>
      </c>
      <c r="M280" s="2"/>
      <c r="N280" s="7">
        <f t="shared" si="129"/>
        <v>-1.2687157725721823</v>
      </c>
      <c r="O280" s="11"/>
      <c r="P280" s="6">
        <v>508.27</v>
      </c>
      <c r="Q280" s="2"/>
      <c r="R280" s="7">
        <f t="shared" si="130"/>
        <v>1.0908523015086316E-4</v>
      </c>
      <c r="S280" s="2"/>
      <c r="T280" s="6">
        <v>6669.96</v>
      </c>
      <c r="U280" s="2"/>
      <c r="V280" s="7">
        <f t="shared" si="131"/>
        <v>4.1442712199932067E-4</v>
      </c>
      <c r="W280" s="2"/>
      <c r="X280" s="6">
        <f t="shared" si="132"/>
        <v>-6161.6900000000005</v>
      </c>
      <c r="Y280" s="2"/>
      <c r="Z280" s="7">
        <f t="shared" si="133"/>
        <v>-0.92379714421075998</v>
      </c>
    </row>
    <row r="281" spans="1:26" s="24" customFormat="1" hidden="1" outlineLevel="2" x14ac:dyDescent="0.25">
      <c r="A281" s="25"/>
      <c r="B281" s="11" t="str">
        <f>CONCATENATE("          ", "6247", " - ", "STORE SUPPLIES")</f>
        <v xml:space="preserve">          6247 - STORE SUPPLIES</v>
      </c>
      <c r="C281" s="11"/>
      <c r="D281" s="6">
        <v>10672.33</v>
      </c>
      <c r="E281" s="2"/>
      <c r="F281" s="7">
        <f t="shared" si="126"/>
        <v>2.698393827706003E-2</v>
      </c>
      <c r="G281" s="2"/>
      <c r="H281" s="6">
        <v>4388.82</v>
      </c>
      <c r="I281" s="2"/>
      <c r="J281" s="7">
        <f t="shared" si="127"/>
        <v>1.6643185249654454E-3</v>
      </c>
      <c r="K281" s="2"/>
      <c r="L281" s="6">
        <f t="shared" si="128"/>
        <v>6283.51</v>
      </c>
      <c r="M281" s="2"/>
      <c r="N281" s="7">
        <f t="shared" si="129"/>
        <v>1.4317082951681774</v>
      </c>
      <c r="O281" s="11"/>
      <c r="P281" s="6">
        <v>28345.129999999997</v>
      </c>
      <c r="Q281" s="2"/>
      <c r="R281" s="7">
        <f t="shared" si="130"/>
        <v>6.0834497997248223E-3</v>
      </c>
      <c r="S281" s="2"/>
      <c r="T281" s="6">
        <v>44743.72</v>
      </c>
      <c r="U281" s="2"/>
      <c r="V281" s="7">
        <f t="shared" si="131"/>
        <v>2.7800783073876675E-3</v>
      </c>
      <c r="W281" s="2"/>
      <c r="X281" s="6">
        <f t="shared" si="132"/>
        <v>-16398.590000000004</v>
      </c>
      <c r="Y281" s="2"/>
      <c r="Z281" s="7">
        <f t="shared" si="133"/>
        <v>-0.36650037144877545</v>
      </c>
    </row>
    <row r="282" spans="1:26" s="24" customFormat="1" hidden="1" outlineLevel="2" x14ac:dyDescent="0.25">
      <c r="A282" s="25"/>
      <c r="B282" s="11" t="str">
        <f>CONCATENATE("          ", "6248", " - ", "UNIFORMS")</f>
        <v xml:space="preserve">          6248 - UNIFORMS</v>
      </c>
      <c r="C282" s="11"/>
      <c r="D282" s="6">
        <v>685.91</v>
      </c>
      <c r="E282" s="2"/>
      <c r="F282" s="7">
        <f t="shared" si="126"/>
        <v>1.734256071881046E-3</v>
      </c>
      <c r="G282" s="2"/>
      <c r="H282" s="6">
        <v>820.91</v>
      </c>
      <c r="I282" s="2"/>
      <c r="J282" s="7">
        <f t="shared" si="127"/>
        <v>3.1130365800588402E-4</v>
      </c>
      <c r="K282" s="2"/>
      <c r="L282" s="6">
        <f t="shared" si="128"/>
        <v>-135</v>
      </c>
      <c r="M282" s="2"/>
      <c r="N282" s="7">
        <f t="shared" si="129"/>
        <v>-0.16445164512553143</v>
      </c>
      <c r="O282" s="11"/>
      <c r="P282" s="6">
        <v>4500.59</v>
      </c>
      <c r="Q282" s="2"/>
      <c r="R282" s="7">
        <f t="shared" si="130"/>
        <v>9.6591948366945375E-4</v>
      </c>
      <c r="S282" s="2"/>
      <c r="T282" s="6">
        <v>-151.6</v>
      </c>
      <c r="U282" s="2"/>
      <c r="V282" s="7">
        <f t="shared" si="131"/>
        <v>-9.4194195610014172E-6</v>
      </c>
      <c r="W282" s="2"/>
      <c r="X282" s="6">
        <f t="shared" si="132"/>
        <v>4652.1900000000005</v>
      </c>
      <c r="Y282" s="2"/>
      <c r="Z282" s="7">
        <f t="shared" si="133"/>
        <v>-30.687269129287603</v>
      </c>
    </row>
    <row r="283" spans="1:26" s="26" customFormat="1" outlineLevel="1" collapsed="1" x14ac:dyDescent="0.25">
      <c r="A283" s="27"/>
      <c r="B283" s="13" t="str">
        <f>CONCATENATE("     ","Telephone/Data Lines                              ")</f>
        <v xml:space="preserve">     Telephone/Data Lines                              </v>
      </c>
      <c r="C283" s="13"/>
      <c r="D283" s="1">
        <f>SUM(OSRRefD22_23x_0)</f>
        <v>4365.58</v>
      </c>
      <c r="E283" s="1"/>
      <c r="F283" s="5">
        <f t="shared" ref="F283:F285" si="134">IF(D$12=0,0,D283/D$12)</f>
        <v>1.1037940287038325E-2</v>
      </c>
      <c r="G283" s="1"/>
      <c r="H283" s="1">
        <f>SUM(OSRRefH22_23x_0)</f>
        <v>5340.43</v>
      </c>
      <c r="I283" s="1"/>
      <c r="J283" s="5">
        <f t="shared" ref="J283:J285" si="135">IF(H$12=0,0,H283/H$12)</f>
        <v>2.0251859452611897E-3</v>
      </c>
      <c r="K283" s="1"/>
      <c r="L283" s="1">
        <f t="shared" ref="L283:L285" si="136">+D283-H283</f>
        <v>-974.85000000000036</v>
      </c>
      <c r="M283" s="1"/>
      <c r="N283" s="5">
        <f t="shared" ref="N283:N285" si="137">IF(H283=0,0,L283/H283)</f>
        <v>-0.18254148074218748</v>
      </c>
      <c r="O283" s="13"/>
      <c r="P283" s="1">
        <f>SUM(OSRRefP22_23x_0)</f>
        <v>25670.91</v>
      </c>
      <c r="Q283" s="1"/>
      <c r="R283" s="5">
        <f t="shared" ref="R283:R285" si="138">IF(P$12=0,0,P283/P$12)</f>
        <v>5.5095070051982111E-3</v>
      </c>
      <c r="S283" s="1"/>
      <c r="T283" s="1">
        <f>SUM(OSRRefT22_23x_0)</f>
        <v>28917.95</v>
      </c>
      <c r="U283" s="1"/>
      <c r="V283" s="5">
        <f t="shared" ref="V283:V285" si="139">IF(T$12=0,0,T283/T$12)</f>
        <v>1.7967698146046237E-3</v>
      </c>
      <c r="W283" s="1"/>
      <c r="X283" s="1">
        <f t="shared" ref="X283:X285" si="140">+P283-T283</f>
        <v>-3247.0400000000009</v>
      </c>
      <c r="Y283" s="1"/>
      <c r="Z283" s="5">
        <f t="shared" ref="Z283:Z285" si="141">IF(T283=0,0,X283/T283)</f>
        <v>-0.11228458448818124</v>
      </c>
    </row>
    <row r="284" spans="1:26" s="24" customFormat="1" hidden="1" outlineLevel="2" x14ac:dyDescent="0.25">
      <c r="A284" s="25"/>
      <c r="B284" s="11" t="str">
        <f>CONCATENATE("          ", "6303", " - ", "DATA PHONE LINES")</f>
        <v xml:space="preserve">          6303 - DATA PHONE LINES</v>
      </c>
      <c r="C284" s="11"/>
      <c r="D284" s="6">
        <v>885</v>
      </c>
      <c r="E284" s="2"/>
      <c r="F284" s="7">
        <f t="shared" si="134"/>
        <v>2.2376355842817948E-3</v>
      </c>
      <c r="G284" s="2"/>
      <c r="H284" s="6">
        <v>295</v>
      </c>
      <c r="I284" s="2"/>
      <c r="J284" s="7">
        <f t="shared" si="135"/>
        <v>1.1186924158767196E-4</v>
      </c>
      <c r="K284" s="2"/>
      <c r="L284" s="6">
        <f t="shared" si="136"/>
        <v>590</v>
      </c>
      <c r="M284" s="2"/>
      <c r="N284" s="7">
        <f t="shared" si="137"/>
        <v>2</v>
      </c>
      <c r="O284" s="11"/>
      <c r="P284" s="6">
        <v>2065</v>
      </c>
      <c r="Q284" s="2"/>
      <c r="R284" s="7">
        <f t="shared" si="138"/>
        <v>4.4319161127261581E-4</v>
      </c>
      <c r="S284" s="2"/>
      <c r="T284" s="6">
        <v>1475</v>
      </c>
      <c r="U284" s="2"/>
      <c r="V284" s="7">
        <f t="shared" si="139"/>
        <v>9.1646727259083707E-5</v>
      </c>
      <c r="W284" s="2"/>
      <c r="X284" s="6">
        <f t="shared" si="140"/>
        <v>590</v>
      </c>
      <c r="Y284" s="2"/>
      <c r="Z284" s="7">
        <f t="shared" si="141"/>
        <v>0.4</v>
      </c>
    </row>
    <row r="285" spans="1:26" s="24" customFormat="1" hidden="1" outlineLevel="2" x14ac:dyDescent="0.25">
      <c r="A285" s="25"/>
      <c r="B285" s="11" t="str">
        <f>CONCATENATE("          ", "6309", " - ", "TELEPHONE")</f>
        <v xml:space="preserve">          6309 - TELEPHONE</v>
      </c>
      <c r="C285" s="11"/>
      <c r="D285" s="6">
        <v>3480.58</v>
      </c>
      <c r="E285" s="2"/>
      <c r="F285" s="7">
        <f t="shared" si="134"/>
        <v>8.8003047027565302E-3</v>
      </c>
      <c r="G285" s="2"/>
      <c r="H285" s="6">
        <v>5045.43</v>
      </c>
      <c r="I285" s="2"/>
      <c r="J285" s="7">
        <f t="shared" si="135"/>
        <v>1.9133167036735177E-3</v>
      </c>
      <c r="K285" s="2"/>
      <c r="L285" s="6">
        <f t="shared" si="136"/>
        <v>-1564.8500000000004</v>
      </c>
      <c r="M285" s="2"/>
      <c r="N285" s="7">
        <f t="shared" si="137"/>
        <v>-0.31015195929782008</v>
      </c>
      <c r="O285" s="11"/>
      <c r="P285" s="6">
        <v>23605.91</v>
      </c>
      <c r="Q285" s="2"/>
      <c r="R285" s="7">
        <f t="shared" si="138"/>
        <v>5.0663153939255953E-3</v>
      </c>
      <c r="S285" s="2"/>
      <c r="T285" s="6">
        <v>27442.95</v>
      </c>
      <c r="U285" s="2"/>
      <c r="V285" s="7">
        <f t="shared" si="139"/>
        <v>1.7051230873455399E-3</v>
      </c>
      <c r="W285" s="2"/>
      <c r="X285" s="6">
        <f t="shared" si="140"/>
        <v>-3837.0400000000009</v>
      </c>
      <c r="Y285" s="2"/>
      <c r="Z285" s="7">
        <f t="shared" si="141"/>
        <v>-0.13981878770321707</v>
      </c>
    </row>
    <row r="286" spans="1:26" s="26" customFormat="1" outlineLevel="1" collapsed="1" x14ac:dyDescent="0.25">
      <c r="A286" s="27"/>
      <c r="B286" s="13" t="str">
        <f>CONCATENATE("     ","Training                                          ")</f>
        <v xml:space="preserve">     Training                                          </v>
      </c>
      <c r="C286" s="13"/>
      <c r="D286" s="1">
        <f>SUM(OSRRefD22_24x_0)</f>
        <v>400</v>
      </c>
      <c r="E286" s="1"/>
      <c r="F286" s="5">
        <f t="shared" ref="F286:F291" si="142">IF(D$12=0,0,D286/D$12)</f>
        <v>1.0113607160595682E-3</v>
      </c>
      <c r="G286" s="1"/>
      <c r="H286" s="1">
        <f>SUM(OSRRefH22_24x_0)</f>
        <v>3876.68</v>
      </c>
      <c r="I286" s="1"/>
      <c r="J286" s="5">
        <f t="shared" ref="J286:J291" si="143">IF(H$12=0,0,H286/H$12)</f>
        <v>1.470105937213885E-3</v>
      </c>
      <c r="K286" s="1"/>
      <c r="L286" s="1">
        <f t="shared" ref="L286:L291" si="144">+D286-H286</f>
        <v>-3476.68</v>
      </c>
      <c r="M286" s="1"/>
      <c r="N286" s="5">
        <f t="shared" ref="N286:N291" si="145">IF(H286=0,0,L286/H286)</f>
        <v>-0.89681892753593284</v>
      </c>
      <c r="O286" s="13"/>
      <c r="P286" s="1">
        <f>SUM(OSRRefP22_24x_0)</f>
        <v>1380.63</v>
      </c>
      <c r="Q286" s="1"/>
      <c r="R286" s="5">
        <f t="shared" ref="R286:R291" si="146">IF(P$12=0,0,P286/P$12)</f>
        <v>2.96311687298456E-4</v>
      </c>
      <c r="S286" s="1"/>
      <c r="T286" s="1">
        <f>SUM(OSRRefT22_24x_0)</f>
        <v>14733.21</v>
      </c>
      <c r="U286" s="1"/>
      <c r="V286" s="5">
        <f t="shared" ref="V286:V291" si="147">IF(T$12=0,0,T286/T$12)</f>
        <v>9.1542405323444384E-4</v>
      </c>
      <c r="W286" s="1"/>
      <c r="X286" s="1">
        <f t="shared" ref="X286:X291" si="148">+P286-T286</f>
        <v>-13352.579999999998</v>
      </c>
      <c r="Y286" s="1"/>
      <c r="Z286" s="5">
        <f t="shared" ref="Z286:Z291" si="149">IF(T286=0,0,X286/T286)</f>
        <v>-0.90629129700859479</v>
      </c>
    </row>
    <row r="287" spans="1:26" s="24" customFormat="1" hidden="1" outlineLevel="2" x14ac:dyDescent="0.25">
      <c r="A287" s="25"/>
      <c r="B287" s="11" t="str">
        <f>CONCATENATE("          ", "6376", " - ", "TRAINING")</f>
        <v xml:space="preserve">          6376 - TRAINING</v>
      </c>
      <c r="C287" s="11"/>
      <c r="D287" s="6">
        <v>400</v>
      </c>
      <c r="E287" s="2"/>
      <c r="F287" s="7">
        <f t="shared" si="142"/>
        <v>1.0113607160595682E-3</v>
      </c>
      <c r="G287" s="2"/>
      <c r="H287" s="6">
        <v>3876.68</v>
      </c>
      <c r="I287" s="2"/>
      <c r="J287" s="7">
        <f t="shared" si="143"/>
        <v>1.470105937213885E-3</v>
      </c>
      <c r="K287" s="2"/>
      <c r="L287" s="6">
        <f t="shared" si="144"/>
        <v>-3476.68</v>
      </c>
      <c r="M287" s="2"/>
      <c r="N287" s="7">
        <f t="shared" si="145"/>
        <v>-0.89681892753593284</v>
      </c>
      <c r="O287" s="11"/>
      <c r="P287" s="6">
        <v>1380.63</v>
      </c>
      <c r="Q287" s="2"/>
      <c r="R287" s="7">
        <f t="shared" si="146"/>
        <v>2.96311687298456E-4</v>
      </c>
      <c r="S287" s="2"/>
      <c r="T287" s="6">
        <v>14733.21</v>
      </c>
      <c r="U287" s="2"/>
      <c r="V287" s="7">
        <f t="shared" si="147"/>
        <v>9.1542405323444384E-4</v>
      </c>
      <c r="W287" s="2"/>
      <c r="X287" s="6">
        <f t="shared" si="148"/>
        <v>-13352.579999999998</v>
      </c>
      <c r="Y287" s="2"/>
      <c r="Z287" s="7">
        <f t="shared" si="149"/>
        <v>-0.90629129700859479</v>
      </c>
    </row>
    <row r="288" spans="1:26" s="26" customFormat="1" outlineLevel="1" collapsed="1" x14ac:dyDescent="0.25">
      <c r="A288" s="27"/>
      <c r="B288" s="13" t="str">
        <f>CONCATENATE("     ","Travel                                            ")</f>
        <v xml:space="preserve">     Travel                                            </v>
      </c>
      <c r="C288" s="13"/>
      <c r="D288" s="1">
        <f>SUM(OSRRefD22_25x_0)</f>
        <v>299</v>
      </c>
      <c r="E288" s="1"/>
      <c r="F288" s="5">
        <f t="shared" si="142"/>
        <v>7.5599213525452723E-4</v>
      </c>
      <c r="G288" s="1"/>
      <c r="H288" s="1">
        <f>SUM(OSRRefH22_25x_0)</f>
        <v>505.19999999999993</v>
      </c>
      <c r="I288" s="1"/>
      <c r="J288" s="5">
        <f t="shared" si="143"/>
        <v>1.9158081644098936E-4</v>
      </c>
      <c r="K288" s="1"/>
      <c r="L288" s="1">
        <f t="shared" si="144"/>
        <v>-206.19999999999993</v>
      </c>
      <c r="M288" s="1"/>
      <c r="N288" s="5">
        <f t="shared" si="145"/>
        <v>-0.40815518606492468</v>
      </c>
      <c r="O288" s="13"/>
      <c r="P288" s="1">
        <f>SUM(OSRRefP22_25x_0)</f>
        <v>1013.14</v>
      </c>
      <c r="Q288" s="1"/>
      <c r="R288" s="5">
        <f t="shared" si="146"/>
        <v>2.1744075014273025E-4</v>
      </c>
      <c r="S288" s="1"/>
      <c r="T288" s="1">
        <f>SUM(OSRRefT22_25x_0)</f>
        <v>4833.16</v>
      </c>
      <c r="U288" s="1"/>
      <c r="V288" s="5">
        <f t="shared" si="147"/>
        <v>3.0030053987763596E-4</v>
      </c>
      <c r="W288" s="1"/>
      <c r="X288" s="1">
        <f t="shared" si="148"/>
        <v>-3820.02</v>
      </c>
      <c r="Y288" s="1"/>
      <c r="Z288" s="5">
        <f t="shared" si="149"/>
        <v>-0.7903773100828444</v>
      </c>
    </row>
    <row r="289" spans="1:26" s="24" customFormat="1" hidden="1" outlineLevel="2" x14ac:dyDescent="0.25">
      <c r="A289" s="25"/>
      <c r="B289" s="11" t="str">
        <f>CONCATENATE("          ", "6292", " - ", "TRAVEL/CONFERENCE")</f>
        <v xml:space="preserve">          6292 - TRAVEL/CONFERENCE</v>
      </c>
      <c r="C289" s="11"/>
      <c r="D289" s="6">
        <v>299</v>
      </c>
      <c r="E289" s="2"/>
      <c r="F289" s="7">
        <f t="shared" si="142"/>
        <v>7.5599213525452723E-4</v>
      </c>
      <c r="G289" s="2"/>
      <c r="H289" s="6">
        <v>50.47</v>
      </c>
      <c r="I289" s="2"/>
      <c r="J289" s="7">
        <f t="shared" si="143"/>
        <v>1.913912075569425E-5</v>
      </c>
      <c r="K289" s="2"/>
      <c r="L289" s="6">
        <f t="shared" si="144"/>
        <v>248.53</v>
      </c>
      <c r="M289" s="2"/>
      <c r="N289" s="7">
        <f t="shared" si="145"/>
        <v>4.9243114721616807</v>
      </c>
      <c r="O289" s="11"/>
      <c r="P289" s="6">
        <v>299.16000000000003</v>
      </c>
      <c r="Q289" s="2"/>
      <c r="R289" s="7">
        <f t="shared" si="146"/>
        <v>6.4205909166254596E-5</v>
      </c>
      <c r="S289" s="2"/>
      <c r="T289" s="6">
        <v>3216.48</v>
      </c>
      <c r="U289" s="2"/>
      <c r="V289" s="7">
        <f t="shared" si="147"/>
        <v>1.9985075613172717E-4</v>
      </c>
      <c r="W289" s="2"/>
      <c r="X289" s="6">
        <f t="shared" si="148"/>
        <v>-2917.32</v>
      </c>
      <c r="Y289" s="2"/>
      <c r="Z289" s="7">
        <f t="shared" si="149"/>
        <v>-0.90699149380689459</v>
      </c>
    </row>
    <row r="290" spans="1:26" s="24" customFormat="1" hidden="1" outlineLevel="2" x14ac:dyDescent="0.25">
      <c r="A290" s="25"/>
      <c r="B290" s="11" t="str">
        <f>CONCATENATE("          ", "6294", " - ", "TRAVEL OPERATIONAL")</f>
        <v xml:space="preserve">          6294 - TRAVEL OPERATIONAL</v>
      </c>
      <c r="C290" s="11"/>
      <c r="D290" s="6"/>
      <c r="E290" s="2"/>
      <c r="F290" s="7">
        <f t="shared" si="142"/>
        <v>0</v>
      </c>
      <c r="G290" s="2"/>
      <c r="H290" s="6">
        <v>257.33</v>
      </c>
      <c r="I290" s="2"/>
      <c r="J290" s="7">
        <f t="shared" si="143"/>
        <v>9.7584108263578379E-5</v>
      </c>
      <c r="K290" s="2"/>
      <c r="L290" s="6">
        <f t="shared" si="144"/>
        <v>-257.33</v>
      </c>
      <c r="M290" s="2"/>
      <c r="N290" s="7">
        <f t="shared" si="145"/>
        <v>-1</v>
      </c>
      <c r="O290" s="11"/>
      <c r="P290" s="6">
        <v>321.88</v>
      </c>
      <c r="Q290" s="2"/>
      <c r="R290" s="7">
        <f t="shared" si="146"/>
        <v>6.9082089993428359E-5</v>
      </c>
      <c r="S290" s="2"/>
      <c r="T290" s="6">
        <v>739.29</v>
      </c>
      <c r="U290" s="2"/>
      <c r="V290" s="7">
        <f t="shared" si="147"/>
        <v>4.5934582369741011E-5</v>
      </c>
      <c r="W290" s="2"/>
      <c r="X290" s="6">
        <f t="shared" si="148"/>
        <v>-417.40999999999997</v>
      </c>
      <c r="Y290" s="2"/>
      <c r="Z290" s="7">
        <f t="shared" si="149"/>
        <v>-0.56460928728915583</v>
      </c>
    </row>
    <row r="291" spans="1:26" s="24" customFormat="1" hidden="1" outlineLevel="2" x14ac:dyDescent="0.25">
      <c r="A291" s="25"/>
      <c r="B291" s="11" t="str">
        <f>CONCATENATE("          ", "6298", " - ", "VEHICLE MILEAGE")</f>
        <v xml:space="preserve">          6298 - VEHICLE MILEAGE</v>
      </c>
      <c r="C291" s="11"/>
      <c r="D291" s="6"/>
      <c r="E291" s="2"/>
      <c r="F291" s="7">
        <f t="shared" si="142"/>
        <v>0</v>
      </c>
      <c r="G291" s="2"/>
      <c r="H291" s="6">
        <v>197.4</v>
      </c>
      <c r="I291" s="2"/>
      <c r="J291" s="7">
        <f t="shared" si="143"/>
        <v>7.4857587421716756E-5</v>
      </c>
      <c r="K291" s="2"/>
      <c r="L291" s="6">
        <f t="shared" si="144"/>
        <v>-197.4</v>
      </c>
      <c r="M291" s="2"/>
      <c r="N291" s="7">
        <f t="shared" si="145"/>
        <v>-1</v>
      </c>
      <c r="O291" s="11"/>
      <c r="P291" s="6">
        <v>392.1</v>
      </c>
      <c r="Q291" s="2"/>
      <c r="R291" s="7">
        <f t="shared" si="146"/>
        <v>8.4152750983047291E-5</v>
      </c>
      <c r="S291" s="2"/>
      <c r="T291" s="6">
        <v>877.39</v>
      </c>
      <c r="U291" s="2"/>
      <c r="V291" s="7">
        <f t="shared" si="147"/>
        <v>5.4515201376167771E-5</v>
      </c>
      <c r="W291" s="2"/>
      <c r="X291" s="6">
        <f t="shared" si="148"/>
        <v>-485.28999999999996</v>
      </c>
      <c r="Y291" s="2"/>
      <c r="Z291" s="7">
        <f t="shared" si="149"/>
        <v>-0.55310637230877946</v>
      </c>
    </row>
    <row r="292" spans="1:26" s="26" customFormat="1" outlineLevel="1" collapsed="1" x14ac:dyDescent="0.25">
      <c r="A292" s="27"/>
      <c r="B292" s="13" t="str">
        <f>CONCATENATE("     ","Utilities                                         ")</f>
        <v xml:space="preserve">     Utilities                                         </v>
      </c>
      <c r="C292" s="13"/>
      <c r="D292" s="1">
        <f>SUM(OSRRefD22_26x_0)</f>
        <v>10946.38</v>
      </c>
      <c r="E292" s="1"/>
      <c r="F292" s="5">
        <f t="shared" ref="F292:F293" si="150">IF(D$12=0,0,D292/D$12)</f>
        <v>2.7676846787650339E-2</v>
      </c>
      <c r="G292" s="1"/>
      <c r="H292" s="1">
        <f>SUM(OSRRefH22_26x_0)</f>
        <v>20293.259999999998</v>
      </c>
      <c r="I292" s="1"/>
      <c r="J292" s="5">
        <f t="shared" ref="J292:J293" si="151">IF(H$12=0,0,H292/H$12)</f>
        <v>7.6955647645472521E-3</v>
      </c>
      <c r="K292" s="1"/>
      <c r="L292" s="1">
        <f t="shared" ref="L292:L293" si="152">+D292-H292</f>
        <v>-9346.8799999999992</v>
      </c>
      <c r="M292" s="1"/>
      <c r="N292" s="5">
        <f t="shared" ref="N292:N293" si="153">IF(H292=0,0,L292/H292)</f>
        <v>-0.46059036349999949</v>
      </c>
      <c r="O292" s="13"/>
      <c r="P292" s="1">
        <f>SUM(OSRRefP22_26x_0)</f>
        <v>30339.809999999998</v>
      </c>
      <c r="Q292" s="1"/>
      <c r="R292" s="5">
        <f t="shared" ref="R292:R293" si="154">IF(P$12=0,0,P292/P$12)</f>
        <v>6.5115492879443196E-3</v>
      </c>
      <c r="S292" s="1"/>
      <c r="T292" s="1">
        <f>SUM(OSRRefT22_26x_0)</f>
        <v>83977.04</v>
      </c>
      <c r="U292" s="1"/>
      <c r="V292" s="5">
        <f t="shared" ref="V292:V293" si="155">IF(T$12=0,0,T292/T$12)</f>
        <v>5.2177768684102798E-3</v>
      </c>
      <c r="W292" s="1"/>
      <c r="X292" s="1">
        <f t="shared" ref="X292:X293" si="156">+P292-T292</f>
        <v>-53637.229999999996</v>
      </c>
      <c r="Y292" s="1"/>
      <c r="Z292" s="5">
        <f t="shared" ref="Z292:Z293" si="157">IF(T292=0,0,X292/T292)</f>
        <v>-0.6387130339435636</v>
      </c>
    </row>
    <row r="293" spans="1:26" s="24" customFormat="1" hidden="1" outlineLevel="2" x14ac:dyDescent="0.25">
      <c r="A293" s="25"/>
      <c r="B293" s="11" t="str">
        <f>CONCATENATE("          ", "6274", " - ", "UTILITIES")</f>
        <v xml:space="preserve">          6274 - UTILITIES</v>
      </c>
      <c r="C293" s="11"/>
      <c r="D293" s="6">
        <v>10946.38</v>
      </c>
      <c r="E293" s="2"/>
      <c r="F293" s="7">
        <f t="shared" si="150"/>
        <v>2.7676846787650339E-2</v>
      </c>
      <c r="G293" s="2"/>
      <c r="H293" s="6">
        <v>20293.259999999998</v>
      </c>
      <c r="I293" s="2"/>
      <c r="J293" s="7">
        <f t="shared" si="151"/>
        <v>7.6955647645472521E-3</v>
      </c>
      <c r="K293" s="2"/>
      <c r="L293" s="6">
        <f t="shared" si="152"/>
        <v>-9346.8799999999992</v>
      </c>
      <c r="M293" s="2"/>
      <c r="N293" s="7">
        <f t="shared" si="153"/>
        <v>-0.46059036349999949</v>
      </c>
      <c r="O293" s="11"/>
      <c r="P293" s="6">
        <v>30339.809999999998</v>
      </c>
      <c r="Q293" s="2"/>
      <c r="R293" s="7">
        <f t="shared" si="154"/>
        <v>6.5115492879443196E-3</v>
      </c>
      <c r="S293" s="2"/>
      <c r="T293" s="6">
        <v>83977.04</v>
      </c>
      <c r="U293" s="2"/>
      <c r="V293" s="7">
        <f t="shared" si="155"/>
        <v>5.2177768684102798E-3</v>
      </c>
      <c r="W293" s="2"/>
      <c r="X293" s="6">
        <f t="shared" si="156"/>
        <v>-53637.229999999996</v>
      </c>
      <c r="Y293" s="2"/>
      <c r="Z293" s="7">
        <f t="shared" si="157"/>
        <v>-0.6387130339435636</v>
      </c>
    </row>
    <row r="294" spans="1:26" s="53" customFormat="1" x14ac:dyDescent="0.25">
      <c r="A294" s="37"/>
      <c r="B294" s="37"/>
      <c r="C294" s="37"/>
      <c r="D294" s="1"/>
      <c r="E294" s="1"/>
      <c r="F294" s="5"/>
      <c r="G294" s="1"/>
      <c r="H294" s="1"/>
      <c r="I294" s="1"/>
      <c r="J294" s="5"/>
      <c r="K294" s="1"/>
      <c r="L294" s="1"/>
      <c r="M294" s="1"/>
      <c r="N294" s="5"/>
      <c r="O294" s="37"/>
      <c r="P294" s="1"/>
      <c r="Q294" s="1"/>
      <c r="R294" s="5"/>
      <c r="S294" s="1"/>
      <c r="T294" s="1"/>
      <c r="U294" s="1"/>
      <c r="V294" s="5"/>
      <c r="W294" s="1"/>
      <c r="X294" s="1"/>
      <c r="Y294" s="1"/>
      <c r="Z294" s="5"/>
    </row>
    <row r="295" spans="1:26" s="23" customFormat="1" collapsed="1" x14ac:dyDescent="0.25">
      <c r="A295" s="10"/>
      <c r="B295" s="29" t="s">
        <v>0</v>
      </c>
      <c r="C295" s="10"/>
      <c r="D295" s="4">
        <f>SUM(OSRRefD25x_0)</f>
        <v>72335.209999999992</v>
      </c>
      <c r="E295" s="4"/>
      <c r="F295" s="12">
        <f t="shared" ref="F295:F307" si="158">IF(D$12=0,0,D295/D$12)</f>
        <v>0.18289247445479809</v>
      </c>
      <c r="G295" s="4"/>
      <c r="H295" s="4">
        <f>SUM(OSRRefH25x_0)</f>
        <v>90828.310000000012</v>
      </c>
      <c r="I295" s="4"/>
      <c r="J295" s="12">
        <f t="shared" ref="J295:J307" si="159">IF(H$12=0,0,H295/H$12)</f>
        <v>3.4443708997932074E-2</v>
      </c>
      <c r="K295" s="4"/>
      <c r="L295" s="4">
        <f t="shared" ref="L295:L307" si="160">+D295-H295</f>
        <v>-18493.10000000002</v>
      </c>
      <c r="M295" s="4"/>
      <c r="N295" s="12">
        <f t="shared" ref="N295:N307" si="161">IF(H295=0,0,L295/H295)</f>
        <v>-0.20360502138595354</v>
      </c>
      <c r="O295" s="10"/>
      <c r="P295" s="4">
        <f>SUM(OSRRefP25x_0)</f>
        <v>530506.23</v>
      </c>
      <c r="Q295" s="4"/>
      <c r="R295" s="12">
        <f t="shared" ref="R295:R307" si="162">IF(P$12=0,0,P295/P$12)</f>
        <v>0.11385758395344353</v>
      </c>
      <c r="S295" s="4"/>
      <c r="T295" s="4">
        <f>SUM(OSRRefT25x_0)</f>
        <v>912886.37000000011</v>
      </c>
      <c r="U295" s="4"/>
      <c r="V295" s="12">
        <f t="shared" ref="V295:V307" si="163">IF(T$12=0,0,T295/T$12)</f>
        <v>5.6720710623677957E-2</v>
      </c>
      <c r="W295" s="4"/>
      <c r="X295" s="4">
        <f t="shared" ref="X295:X307" si="164">+P295-T295</f>
        <v>-382380.14000000013</v>
      </c>
      <c r="Y295" s="4"/>
      <c r="Z295" s="12">
        <f t="shared" ref="Z295:Z307" si="165">IF(T295=0,0,X295/T295)</f>
        <v>-0.41886937144214353</v>
      </c>
    </row>
    <row r="296" spans="1:26" s="24" customFormat="1" hidden="1" outlineLevel="1" x14ac:dyDescent="0.25">
      <c r="A296" s="44"/>
      <c r="B296" s="11" t="str">
        <f>CONCATENATE("          ", "4098", " - ", "TAXABLE SALES-GRAD RENTALS")</f>
        <v xml:space="preserve">          4098 - TAXABLE SALES-GRAD RENTALS</v>
      </c>
      <c r="C296" s="11"/>
      <c r="D296" s="2">
        <f>0</f>
        <v>0</v>
      </c>
      <c r="E296" s="2"/>
      <c r="F296" s="19">
        <f t="shared" si="158"/>
        <v>0</v>
      </c>
      <c r="G296" s="2"/>
      <c r="H296" s="2">
        <f>0</f>
        <v>0</v>
      </c>
      <c r="I296" s="2"/>
      <c r="J296" s="19">
        <f t="shared" si="159"/>
        <v>0</v>
      </c>
      <c r="K296" s="2"/>
      <c r="L296" s="2">
        <f t="shared" si="160"/>
        <v>0</v>
      </c>
      <c r="M296" s="2"/>
      <c r="N296" s="19">
        <f t="shared" si="161"/>
        <v>0</v>
      </c>
      <c r="O296" s="11"/>
      <c r="P296" s="2">
        <f>0</f>
        <v>0</v>
      </c>
      <c r="Q296" s="2"/>
      <c r="R296" s="19">
        <f t="shared" si="162"/>
        <v>0</v>
      </c>
      <c r="S296" s="2"/>
      <c r="T296" s="2">
        <f>--1626.85</f>
        <v>1626.85</v>
      </c>
      <c r="U296" s="2"/>
      <c r="V296" s="19">
        <f t="shared" si="163"/>
        <v>1.0108168016368835E-4</v>
      </c>
      <c r="W296" s="2"/>
      <c r="X296" s="2">
        <f t="shared" si="164"/>
        <v>-1626.85</v>
      </c>
      <c r="Y296" s="2"/>
      <c r="Z296" s="19">
        <f t="shared" si="165"/>
        <v>-1</v>
      </c>
    </row>
    <row r="297" spans="1:26" s="24" customFormat="1" hidden="1" outlineLevel="1" x14ac:dyDescent="0.25">
      <c r="A297" s="44"/>
      <c r="B297" s="11" t="str">
        <f>CONCATENATE("          ", "4187", " - ", "NON-TAXABLE SALES-COMPUTER REP")</f>
        <v xml:space="preserve">          4187 - NON-TAXABLE SALES-COMPUTER REP</v>
      </c>
      <c r="C297" s="11"/>
      <c r="D297" s="2">
        <f>-374.75</f>
        <v>-374.75</v>
      </c>
      <c r="E297" s="2"/>
      <c r="F297" s="19">
        <f t="shared" si="158"/>
        <v>-9.4751857085830806E-4</v>
      </c>
      <c r="G297" s="2"/>
      <c r="H297" s="2">
        <f>--949.24</f>
        <v>949.24</v>
      </c>
      <c r="I297" s="2"/>
      <c r="J297" s="19">
        <f t="shared" si="159"/>
        <v>3.5996867418536179E-4</v>
      </c>
      <c r="K297" s="2"/>
      <c r="L297" s="2">
        <f t="shared" si="160"/>
        <v>-1323.99</v>
      </c>
      <c r="M297" s="2"/>
      <c r="N297" s="19">
        <f t="shared" si="161"/>
        <v>-1.3947895158231849</v>
      </c>
      <c r="O297" s="11"/>
      <c r="P297" s="2">
        <f>--563.21</f>
        <v>563.21</v>
      </c>
      <c r="Q297" s="2"/>
      <c r="R297" s="19">
        <f t="shared" si="162"/>
        <v>1.2087648783769973E-4</v>
      </c>
      <c r="S297" s="2"/>
      <c r="T297" s="2">
        <f>--12731.93</f>
        <v>12731.93</v>
      </c>
      <c r="U297" s="2"/>
      <c r="V297" s="19">
        <f t="shared" si="163"/>
        <v>7.9107777368931916E-4</v>
      </c>
      <c r="W297" s="2"/>
      <c r="X297" s="2">
        <f t="shared" si="164"/>
        <v>-12168.720000000001</v>
      </c>
      <c r="Y297" s="2"/>
      <c r="Z297" s="19">
        <f t="shared" si="165"/>
        <v>-0.95576397294047333</v>
      </c>
    </row>
    <row r="298" spans="1:26" s="24" customFormat="1" hidden="1" outlineLevel="1" x14ac:dyDescent="0.25">
      <c r="A298" s="44"/>
      <c r="B298" s="11" t="str">
        <f>CONCATENATE("          ", "4197", " - ", "NON-TAXABLE SALES-RETURNED CHE")</f>
        <v xml:space="preserve">          4197 - NON-TAXABLE SALES-RETURNED CHE</v>
      </c>
      <c r="C298" s="11"/>
      <c r="D298" s="2">
        <f t="shared" ref="D298:D300" si="166">0</f>
        <v>0</v>
      </c>
      <c r="E298" s="2"/>
      <c r="F298" s="19">
        <f t="shared" si="158"/>
        <v>0</v>
      </c>
      <c r="G298" s="2"/>
      <c r="H298" s="2">
        <f t="shared" ref="H298:H299" si="167">0</f>
        <v>0</v>
      </c>
      <c r="I298" s="2"/>
      <c r="J298" s="19">
        <f t="shared" si="159"/>
        <v>0</v>
      </c>
      <c r="K298" s="2"/>
      <c r="L298" s="2">
        <f t="shared" si="160"/>
        <v>0</v>
      </c>
      <c r="M298" s="2"/>
      <c r="N298" s="19">
        <f t="shared" si="161"/>
        <v>0</v>
      </c>
      <c r="O298" s="11"/>
      <c r="P298" s="2">
        <f t="shared" ref="P298:P300" si="168">0</f>
        <v>0</v>
      </c>
      <c r="Q298" s="2"/>
      <c r="R298" s="19">
        <f t="shared" si="162"/>
        <v>0</v>
      </c>
      <c r="S298" s="2"/>
      <c r="T298" s="2">
        <f>--30</f>
        <v>30</v>
      </c>
      <c r="U298" s="2"/>
      <c r="V298" s="19">
        <f t="shared" si="163"/>
        <v>1.8640012323881434E-6</v>
      </c>
      <c r="W298" s="2"/>
      <c r="X298" s="2">
        <f t="shared" si="164"/>
        <v>-30</v>
      </c>
      <c r="Y298" s="2"/>
      <c r="Z298" s="19">
        <f t="shared" si="165"/>
        <v>-1</v>
      </c>
    </row>
    <row r="299" spans="1:26" s="24" customFormat="1" hidden="1" outlineLevel="1" x14ac:dyDescent="0.25">
      <c r="A299" s="44"/>
      <c r="B299" s="11" t="str">
        <f>CONCATENATE("          ", "4198", " - ", "NON-TAXABLE SALES-GRAD RENTALS")</f>
        <v xml:space="preserve">          4198 - NON-TAXABLE SALES-GRAD RENTALS</v>
      </c>
      <c r="C299" s="11"/>
      <c r="D299" s="2">
        <f t="shared" si="166"/>
        <v>0</v>
      </c>
      <c r="E299" s="2"/>
      <c r="F299" s="19">
        <f t="shared" si="158"/>
        <v>0</v>
      </c>
      <c r="G299" s="2"/>
      <c r="H299" s="2">
        <f t="shared" si="167"/>
        <v>0</v>
      </c>
      <c r="I299" s="2"/>
      <c r="J299" s="19">
        <f t="shared" si="159"/>
        <v>0</v>
      </c>
      <c r="K299" s="2"/>
      <c r="L299" s="2">
        <f t="shared" si="160"/>
        <v>0</v>
      </c>
      <c r="M299" s="2"/>
      <c r="N299" s="19">
        <f t="shared" si="161"/>
        <v>0</v>
      </c>
      <c r="O299" s="11"/>
      <c r="P299" s="2">
        <f t="shared" si="168"/>
        <v>0</v>
      </c>
      <c r="Q299" s="2"/>
      <c r="R299" s="19">
        <f t="shared" si="162"/>
        <v>0</v>
      </c>
      <c r="S299" s="2"/>
      <c r="T299" s="2">
        <f>--495</f>
        <v>495</v>
      </c>
      <c r="U299" s="2"/>
      <c r="V299" s="19">
        <f t="shared" si="163"/>
        <v>3.0756020334404362E-5</v>
      </c>
      <c r="W299" s="2"/>
      <c r="X299" s="2">
        <f t="shared" si="164"/>
        <v>-495</v>
      </c>
      <c r="Y299" s="2"/>
      <c r="Z299" s="19">
        <f t="shared" si="165"/>
        <v>-1</v>
      </c>
    </row>
    <row r="300" spans="1:26" s="24" customFormat="1" hidden="1" outlineLevel="1" x14ac:dyDescent="0.25">
      <c r="A300" s="44"/>
      <c r="B300" s="11" t="str">
        <f>CONCATENATE("          ", "4387", " - ", "SALES RETURN NON TAXABLE-COMPU")</f>
        <v xml:space="preserve">          4387 - SALES RETURN NON TAXABLE-COMPU</v>
      </c>
      <c r="C300" s="11"/>
      <c r="D300" s="2">
        <f t="shared" si="166"/>
        <v>0</v>
      </c>
      <c r="E300" s="2"/>
      <c r="F300" s="19">
        <f t="shared" si="158"/>
        <v>0</v>
      </c>
      <c r="G300" s="2"/>
      <c r="H300" s="2">
        <f>-1098.25</f>
        <v>-1098.25</v>
      </c>
      <c r="I300" s="2"/>
      <c r="J300" s="19">
        <f t="shared" si="159"/>
        <v>-4.1647591380901937E-4</v>
      </c>
      <c r="K300" s="2"/>
      <c r="L300" s="2">
        <f t="shared" si="160"/>
        <v>1098.25</v>
      </c>
      <c r="M300" s="2"/>
      <c r="N300" s="19">
        <f t="shared" si="161"/>
        <v>-1</v>
      </c>
      <c r="O300" s="11"/>
      <c r="P300" s="2">
        <f t="shared" si="168"/>
        <v>0</v>
      </c>
      <c r="Q300" s="2"/>
      <c r="R300" s="19">
        <f t="shared" si="162"/>
        <v>0</v>
      </c>
      <c r="S300" s="2"/>
      <c r="T300" s="2">
        <f>-7889</f>
        <v>-7889</v>
      </c>
      <c r="U300" s="2"/>
      <c r="V300" s="19">
        <f t="shared" si="163"/>
        <v>-4.9017019074366875E-4</v>
      </c>
      <c r="W300" s="2"/>
      <c r="X300" s="2">
        <f t="shared" si="164"/>
        <v>7889</v>
      </c>
      <c r="Y300" s="2"/>
      <c r="Z300" s="19">
        <f t="shared" si="165"/>
        <v>-1</v>
      </c>
    </row>
    <row r="301" spans="1:26" s="24" customFormat="1" hidden="1" outlineLevel="1" x14ac:dyDescent="0.25">
      <c r="A301" s="44"/>
      <c r="B301" s="11" t="str">
        <f>CONCATENATE("          ", "9150", " - ", "MISC. INCOME")</f>
        <v xml:space="preserve">          9150 - MISC. INCOME</v>
      </c>
      <c r="C301" s="11"/>
      <c r="D301" s="2">
        <f>--57539.34</f>
        <v>57539.34</v>
      </c>
      <c r="E301" s="2"/>
      <c r="F301" s="19">
        <f t="shared" si="158"/>
        <v>0.1454825702599874</v>
      </c>
      <c r="G301" s="2"/>
      <c r="H301" s="2">
        <f>--70871.73</f>
        <v>70871.73</v>
      </c>
      <c r="I301" s="2"/>
      <c r="J301" s="19">
        <f t="shared" si="159"/>
        <v>2.6875819271546635E-2</v>
      </c>
      <c r="K301" s="2"/>
      <c r="L301" s="2">
        <f t="shared" si="160"/>
        <v>-13332.39</v>
      </c>
      <c r="M301" s="2"/>
      <c r="N301" s="19">
        <f t="shared" si="161"/>
        <v>-0.18812000215036376</v>
      </c>
      <c r="O301" s="11"/>
      <c r="P301" s="2">
        <f>--201318.66</f>
        <v>201318.66</v>
      </c>
      <c r="Q301" s="2"/>
      <c r="R301" s="19">
        <f t="shared" si="162"/>
        <v>4.3207138646316659E-2</v>
      </c>
      <c r="S301" s="2"/>
      <c r="T301" s="2">
        <f>--406363.13</f>
        <v>406363.13</v>
      </c>
      <c r="U301" s="2"/>
      <c r="V301" s="19">
        <f t="shared" si="163"/>
        <v>2.5248712503903443E-2</v>
      </c>
      <c r="W301" s="2"/>
      <c r="X301" s="2">
        <f t="shared" si="164"/>
        <v>-205044.47</v>
      </c>
      <c r="Y301" s="2"/>
      <c r="Z301" s="19">
        <f t="shared" si="165"/>
        <v>-0.50458433569010064</v>
      </c>
    </row>
    <row r="302" spans="1:26" s="24" customFormat="1" hidden="1" outlineLevel="1" x14ac:dyDescent="0.25">
      <c r="A302" s="44"/>
      <c r="B302" s="11" t="str">
        <f>CONCATENATE("          ", "9151", " - ", "MISC. INCOME")</f>
        <v xml:space="preserve">          9151 - MISC. INCOME</v>
      </c>
      <c r="C302" s="11"/>
      <c r="D302" s="2">
        <f>0</f>
        <v>0</v>
      </c>
      <c r="E302" s="2"/>
      <c r="F302" s="19">
        <f t="shared" si="158"/>
        <v>0</v>
      </c>
      <c r="G302" s="2"/>
      <c r="H302" s="2">
        <f>0</f>
        <v>0</v>
      </c>
      <c r="I302" s="2"/>
      <c r="J302" s="19">
        <f t="shared" si="159"/>
        <v>0</v>
      </c>
      <c r="K302" s="2"/>
      <c r="L302" s="2">
        <f t="shared" si="160"/>
        <v>0</v>
      </c>
      <c r="M302" s="2"/>
      <c r="N302" s="19">
        <f t="shared" si="161"/>
        <v>0</v>
      </c>
      <c r="O302" s="11"/>
      <c r="P302" s="2">
        <f>--147285.39</f>
        <v>147285.39000000001</v>
      </c>
      <c r="Q302" s="2"/>
      <c r="R302" s="19">
        <f t="shared" si="162"/>
        <v>3.1610483927852602E-2</v>
      </c>
      <c r="S302" s="2"/>
      <c r="T302" s="2">
        <f>--87224.27</f>
        <v>87224.27</v>
      </c>
      <c r="U302" s="2"/>
      <c r="V302" s="19">
        <f t="shared" si="163"/>
        <v>5.4195382258052059E-3</v>
      </c>
      <c r="W302" s="2"/>
      <c r="X302" s="2">
        <f t="shared" si="164"/>
        <v>60061.12000000001</v>
      </c>
      <c r="Y302" s="2"/>
      <c r="Z302" s="19">
        <f t="shared" si="165"/>
        <v>0.68858266168349713</v>
      </c>
    </row>
    <row r="303" spans="1:26" s="24" customFormat="1" hidden="1" outlineLevel="1" x14ac:dyDescent="0.25">
      <c r="A303" s="44"/>
      <c r="B303" s="11" t="str">
        <f>CONCATENATE("          ", "9152", " - ", "MISC. INCOME")</f>
        <v xml:space="preserve">          9152 - MISC. INCOME</v>
      </c>
      <c r="C303" s="11"/>
      <c r="D303" s="2">
        <f>--255.21</f>
        <v>255.21</v>
      </c>
      <c r="E303" s="2"/>
      <c r="F303" s="19">
        <f t="shared" si="158"/>
        <v>6.4527342086390604E-4</v>
      </c>
      <c r="G303" s="2"/>
      <c r="H303" s="2">
        <f>--154.22</f>
        <v>154.22</v>
      </c>
      <c r="I303" s="2"/>
      <c r="J303" s="19">
        <f t="shared" si="159"/>
        <v>5.8482964195426334E-5</v>
      </c>
      <c r="K303" s="2"/>
      <c r="L303" s="2">
        <f t="shared" si="160"/>
        <v>100.99000000000001</v>
      </c>
      <c r="M303" s="2"/>
      <c r="N303" s="19">
        <f t="shared" si="161"/>
        <v>0.65484372973673977</v>
      </c>
      <c r="O303" s="11"/>
      <c r="P303" s="2">
        <f>--2606.23</f>
        <v>2606.23</v>
      </c>
      <c r="Q303" s="2"/>
      <c r="R303" s="19">
        <f t="shared" si="162"/>
        <v>5.593507375530409E-4</v>
      </c>
      <c r="S303" s="2"/>
      <c r="T303" s="2">
        <f>--848.32</f>
        <v>848.32</v>
      </c>
      <c r="U303" s="2"/>
      <c r="V303" s="19">
        <f t="shared" si="163"/>
        <v>5.2708984181983663E-5</v>
      </c>
      <c r="W303" s="2"/>
      <c r="X303" s="2">
        <f t="shared" si="164"/>
        <v>1757.9099999999999</v>
      </c>
      <c r="Y303" s="2"/>
      <c r="Z303" s="19">
        <f t="shared" si="165"/>
        <v>2.0722251037344397</v>
      </c>
    </row>
    <row r="304" spans="1:26" s="24" customFormat="1" hidden="1" outlineLevel="1" x14ac:dyDescent="0.25">
      <c r="A304" s="44"/>
      <c r="B304" s="11" t="str">
        <f>CONCATENATE("          ", "9153", " - ", "MISC. INCOME")</f>
        <v xml:space="preserve">          9153 - MISC. INCOME</v>
      </c>
      <c r="C304" s="11"/>
      <c r="D304" s="2">
        <f t="shared" ref="D304:D305" si="169">0</f>
        <v>0</v>
      </c>
      <c r="E304" s="2"/>
      <c r="F304" s="19">
        <f t="shared" si="158"/>
        <v>0</v>
      </c>
      <c r="G304" s="2"/>
      <c r="H304" s="2">
        <f>--450</f>
        <v>450</v>
      </c>
      <c r="I304" s="2"/>
      <c r="J304" s="19">
        <f t="shared" si="159"/>
        <v>1.7064799564221145E-4</v>
      </c>
      <c r="K304" s="2"/>
      <c r="L304" s="2">
        <f t="shared" si="160"/>
        <v>-450</v>
      </c>
      <c r="M304" s="2"/>
      <c r="N304" s="19">
        <f t="shared" si="161"/>
        <v>-1</v>
      </c>
      <c r="O304" s="11"/>
      <c r="P304" s="2">
        <f>0</f>
        <v>0</v>
      </c>
      <c r="Q304" s="2"/>
      <c r="R304" s="19">
        <f t="shared" si="162"/>
        <v>0</v>
      </c>
      <c r="S304" s="2"/>
      <c r="T304" s="2">
        <f>--450</f>
        <v>450</v>
      </c>
      <c r="U304" s="2"/>
      <c r="V304" s="19">
        <f t="shared" si="163"/>
        <v>2.796001848582215E-5</v>
      </c>
      <c r="W304" s="2"/>
      <c r="X304" s="2">
        <f t="shared" si="164"/>
        <v>-450</v>
      </c>
      <c r="Y304" s="2"/>
      <c r="Z304" s="19">
        <f t="shared" si="165"/>
        <v>-1</v>
      </c>
    </row>
    <row r="305" spans="1:26" s="24" customFormat="1" hidden="1" outlineLevel="1" x14ac:dyDescent="0.25">
      <c r="A305" s="44"/>
      <c r="B305" s="11" t="str">
        <f>CONCATENATE("          ", "9160", " - ", "MISC. INCOME")</f>
        <v xml:space="preserve">          9160 - MISC. INCOME</v>
      </c>
      <c r="C305" s="11"/>
      <c r="D305" s="2">
        <f t="shared" si="169"/>
        <v>0</v>
      </c>
      <c r="E305" s="2"/>
      <c r="F305" s="19">
        <f t="shared" si="158"/>
        <v>0</v>
      </c>
      <c r="G305" s="2"/>
      <c r="H305" s="2">
        <f>--8997.32</f>
        <v>8997.32</v>
      </c>
      <c r="I305" s="2"/>
      <c r="J305" s="19">
        <f t="shared" si="159"/>
        <v>3.4119436092257373E-3</v>
      </c>
      <c r="K305" s="2"/>
      <c r="L305" s="2">
        <f t="shared" si="160"/>
        <v>-8997.32</v>
      </c>
      <c r="M305" s="2"/>
      <c r="N305" s="19">
        <f t="shared" si="161"/>
        <v>-1</v>
      </c>
      <c r="O305" s="11"/>
      <c r="P305" s="2">
        <f>--2328.25</f>
        <v>2328.25</v>
      </c>
      <c r="Q305" s="2"/>
      <c r="R305" s="19">
        <f t="shared" si="162"/>
        <v>4.9969049343606188E-4</v>
      </c>
      <c r="S305" s="2"/>
      <c r="T305" s="2">
        <f>--126525.2</f>
        <v>126525.2</v>
      </c>
      <c r="U305" s="2"/>
      <c r="V305" s="19">
        <f t="shared" si="163"/>
        <v>7.8614376242718761E-3</v>
      </c>
      <c r="W305" s="2"/>
      <c r="X305" s="2">
        <f t="shared" si="164"/>
        <v>-124196.95</v>
      </c>
      <c r="Y305" s="2"/>
      <c r="Z305" s="19">
        <f t="shared" si="165"/>
        <v>-0.98159852740797882</v>
      </c>
    </row>
    <row r="306" spans="1:26" s="24" customFormat="1" hidden="1" outlineLevel="1" x14ac:dyDescent="0.25">
      <c r="A306" s="44"/>
      <c r="B306" s="11" t="str">
        <f>CONCATENATE("          ", "9163", " - ", "MISC. INCOME")</f>
        <v xml:space="preserve">          9163 - MISC. INCOME</v>
      </c>
      <c r="C306" s="11"/>
      <c r="D306" s="2">
        <f>--14741.94</f>
        <v>14741.94</v>
      </c>
      <c r="E306" s="2"/>
      <c r="F306" s="19">
        <f t="shared" si="158"/>
        <v>3.7273547486267981E-2</v>
      </c>
      <c r="G306" s="2"/>
      <c r="H306" s="2">
        <f>0</f>
        <v>0</v>
      </c>
      <c r="I306" s="2"/>
      <c r="J306" s="19">
        <f t="shared" si="159"/>
        <v>0</v>
      </c>
      <c r="K306" s="2"/>
      <c r="L306" s="2">
        <f t="shared" si="160"/>
        <v>14741.94</v>
      </c>
      <c r="M306" s="2"/>
      <c r="N306" s="19">
        <f t="shared" si="161"/>
        <v>0</v>
      </c>
      <c r="O306" s="11"/>
      <c r="P306" s="2">
        <f>--175405.84</f>
        <v>175405.84</v>
      </c>
      <c r="Q306" s="2"/>
      <c r="R306" s="19">
        <f t="shared" si="162"/>
        <v>3.7645712763305882E-2</v>
      </c>
      <c r="S306" s="2"/>
      <c r="T306" s="2">
        <f>--61106.55</f>
        <v>61106.55</v>
      </c>
      <c r="U306" s="2"/>
      <c r="V306" s="19">
        <f t="shared" si="163"/>
        <v>3.7967561502329234E-3</v>
      </c>
      <c r="W306" s="2"/>
      <c r="X306" s="2">
        <f t="shared" si="164"/>
        <v>114299.29</v>
      </c>
      <c r="Y306" s="2"/>
      <c r="Z306" s="19">
        <f t="shared" si="165"/>
        <v>1.8704916248749108</v>
      </c>
    </row>
    <row r="307" spans="1:26" s="24" customFormat="1" hidden="1" outlineLevel="1" x14ac:dyDescent="0.25">
      <c r="A307" s="44"/>
      <c r="B307" s="11" t="str">
        <f>CONCATENATE("          ", "9165", " - ", "OTHER INCOME")</f>
        <v xml:space="preserve">          9165 - OTHER INCOME</v>
      </c>
      <c r="C307" s="11"/>
      <c r="D307" s="2">
        <f>--173.47</f>
        <v>173.47</v>
      </c>
      <c r="E307" s="2"/>
      <c r="F307" s="19">
        <f t="shared" si="158"/>
        <v>4.3860185853713326E-4</v>
      </c>
      <c r="G307" s="2"/>
      <c r="H307" s="2">
        <f>--10504.05</f>
        <v>10504.05</v>
      </c>
      <c r="I307" s="2"/>
      <c r="J307" s="19">
        <f t="shared" si="159"/>
        <v>3.9833223969457134E-3</v>
      </c>
      <c r="K307" s="2"/>
      <c r="L307" s="2">
        <f t="shared" si="160"/>
        <v>-10330.58</v>
      </c>
      <c r="M307" s="2"/>
      <c r="N307" s="19">
        <f t="shared" si="161"/>
        <v>-0.9834854175294292</v>
      </c>
      <c r="O307" s="11"/>
      <c r="P307" s="2">
        <f>--998.65</f>
        <v>998.65</v>
      </c>
      <c r="Q307" s="2"/>
      <c r="R307" s="19">
        <f t="shared" si="162"/>
        <v>2.1433089714159698E-4</v>
      </c>
      <c r="S307" s="2"/>
      <c r="T307" s="2">
        <f>--223374.12</f>
        <v>223374.12</v>
      </c>
      <c r="U307" s="2"/>
      <c r="V307" s="19">
        <f t="shared" si="163"/>
        <v>1.3878987832120568E-2</v>
      </c>
      <c r="W307" s="2"/>
      <c r="X307" s="2">
        <f t="shared" si="164"/>
        <v>-222375.47</v>
      </c>
      <c r="Y307" s="2"/>
      <c r="Z307" s="19">
        <f t="shared" si="165"/>
        <v>-0.99552924931500575</v>
      </c>
    </row>
    <row r="308" spans="1:26" x14ac:dyDescent="0.25">
      <c r="A308" s="9"/>
      <c r="B308" s="10"/>
      <c r="C308" s="10"/>
      <c r="D308" s="3"/>
      <c r="E308" s="3"/>
      <c r="F308" s="8"/>
      <c r="G308" s="3"/>
      <c r="H308" s="3"/>
      <c r="I308" s="3"/>
      <c r="J308" s="8"/>
      <c r="K308" s="3"/>
      <c r="L308" s="3"/>
      <c r="M308" s="3"/>
      <c r="N308" s="8"/>
      <c r="O308" s="10"/>
      <c r="P308" s="3"/>
      <c r="Q308" s="3"/>
      <c r="R308" s="8"/>
      <c r="S308" s="3"/>
      <c r="T308" s="3"/>
      <c r="U308" s="3"/>
      <c r="V308" s="8"/>
      <c r="W308" s="3"/>
      <c r="X308" s="3"/>
      <c r="Y308" s="3"/>
      <c r="Z308" s="8"/>
    </row>
    <row r="309" spans="1:26" s="23" customFormat="1" x14ac:dyDescent="0.25">
      <c r="A309" s="10"/>
      <c r="B309" s="28" t="s">
        <v>3</v>
      </c>
      <c r="C309" s="28"/>
      <c r="D309" s="20">
        <f>+D195-D197+D295</f>
        <v>-341238.00999999943</v>
      </c>
      <c r="E309" s="14"/>
      <c r="F309" s="22">
        <f>IF(D$12=0,0,D309/D$12)</f>
        <v>-0.8627867953508539</v>
      </c>
      <c r="G309" s="14"/>
      <c r="H309" s="20">
        <f>+H195-H197+H295</f>
        <v>319480.62000000029</v>
      </c>
      <c r="I309" s="14"/>
      <c r="J309" s="22">
        <f>IF(H$12=0,0,H309/H$12)</f>
        <v>0.12115272766562458</v>
      </c>
      <c r="K309" s="15"/>
      <c r="L309" s="20">
        <f>+D309-H309</f>
        <v>-660718.62999999966</v>
      </c>
      <c r="M309" s="15"/>
      <c r="N309" s="22">
        <f>IF(H309=0,0,L309/H309)</f>
        <v>-2.0681023781661594</v>
      </c>
      <c r="O309" s="29"/>
      <c r="P309" s="20">
        <f>+P195-P197+P295</f>
        <v>-1349428.3899999997</v>
      </c>
      <c r="Q309" s="14"/>
      <c r="R309" s="22">
        <f>IF(P$12=0,0,P309/P$12)</f>
        <v>-0.28961517794726954</v>
      </c>
      <c r="S309" s="14"/>
      <c r="T309" s="20">
        <f>+T195-T197+T295</f>
        <v>2206452.3399999952</v>
      </c>
      <c r="U309" s="14"/>
      <c r="V309" s="22">
        <f>IF(T$12=0,0,T309/T$12)</f>
        <v>0.13709432936552313</v>
      </c>
      <c r="W309" s="15"/>
      <c r="X309" s="20">
        <f>+P309-T309</f>
        <v>-3555880.7299999949</v>
      </c>
      <c r="Y309" s="15"/>
      <c r="Z309" s="22">
        <f>IF(T309=0,0,X309/T309)</f>
        <v>-1.6115828407152464</v>
      </c>
    </row>
    <row r="310" spans="1:26" x14ac:dyDescent="0.25">
      <c r="A310" s="9"/>
      <c r="B310" s="10"/>
      <c r="C310" s="9"/>
      <c r="D310" s="3"/>
      <c r="E310" s="3"/>
      <c r="F310" s="8"/>
      <c r="G310" s="3"/>
      <c r="H310" s="3"/>
      <c r="I310" s="3"/>
      <c r="J310" s="8"/>
      <c r="K310" s="3"/>
      <c r="L310" s="3"/>
      <c r="M310" s="3"/>
      <c r="N310" s="8"/>
      <c r="P310" s="3"/>
      <c r="Q310" s="3"/>
      <c r="R310" s="8"/>
      <c r="S310" s="3"/>
      <c r="T310" s="3"/>
      <c r="U310" s="3"/>
      <c r="V310" s="8"/>
      <c r="W310" s="3"/>
      <c r="X310" s="3"/>
      <c r="Y310" s="3"/>
      <c r="Z310" s="8"/>
    </row>
    <row r="311" spans="1:26" s="23" customFormat="1" x14ac:dyDescent="0.25">
      <c r="A311" s="51"/>
      <c r="B311" s="10" t="s">
        <v>13</v>
      </c>
      <c r="C311" s="10"/>
      <c r="D311" s="4">
        <v>-183271.43</v>
      </c>
      <c r="E311" s="4"/>
      <c r="F311" s="12">
        <f>IF(D$12=0,0,D311/D$12)</f>
        <v>-0.46338381169515258</v>
      </c>
      <c r="G311" s="4"/>
      <c r="H311" s="4">
        <v>349632.63</v>
      </c>
      <c r="I311" s="4"/>
      <c r="J311" s="12">
        <f>IF(H$12=0,0,H311/H$12)</f>
        <v>0.13258690560136652</v>
      </c>
      <c r="K311" s="4"/>
      <c r="L311" s="4">
        <f>+D311-H311</f>
        <v>-532904.06000000006</v>
      </c>
      <c r="M311" s="4"/>
      <c r="N311" s="12">
        <f>IF(H311=0,0,L311/H311)</f>
        <v>-1.5241828544435343</v>
      </c>
      <c r="O311" s="10"/>
      <c r="P311" s="4">
        <v>740376.26</v>
      </c>
      <c r="Q311" s="4"/>
      <c r="R311" s="12">
        <f>IF(P$12=0,0,P311/P$12)</f>
        <v>0.15890002305927028</v>
      </c>
      <c r="S311" s="4"/>
      <c r="T311" s="4">
        <v>1704289.1400000001</v>
      </c>
      <c r="U311" s="4"/>
      <c r="V311" s="12">
        <f>IF(T$12=0,0,T311/T$12)</f>
        <v>0.1058932352435243</v>
      </c>
      <c r="W311" s="4"/>
      <c r="X311" s="4">
        <f>+P311-T311</f>
        <v>-963912.88000000012</v>
      </c>
      <c r="Y311" s="4"/>
      <c r="Z311" s="12">
        <f>IF(T311=0,0,X311/T311)</f>
        <v>-0.56558060330068172</v>
      </c>
    </row>
    <row r="312" spans="1:26" x14ac:dyDescent="0.25">
      <c r="A312" s="9"/>
      <c r="B312" s="10"/>
      <c r="C312" s="10"/>
      <c r="D312" s="3"/>
      <c r="E312" s="3"/>
      <c r="F312" s="8"/>
      <c r="G312" s="3"/>
      <c r="H312" s="3"/>
      <c r="I312" s="3"/>
      <c r="J312" s="8"/>
      <c r="K312" s="3"/>
      <c r="L312" s="3"/>
      <c r="M312" s="3"/>
      <c r="N312" s="8"/>
      <c r="O312" s="10"/>
      <c r="P312" s="3"/>
      <c r="Q312" s="3"/>
      <c r="R312" s="8"/>
      <c r="S312" s="3"/>
      <c r="T312" s="3"/>
      <c r="U312" s="3"/>
      <c r="V312" s="8"/>
      <c r="W312" s="3"/>
      <c r="X312" s="3"/>
      <c r="Y312" s="3"/>
      <c r="Z312" s="8"/>
    </row>
    <row r="313" spans="1:26" s="23" customFormat="1" ht="15.75" thickBot="1" x14ac:dyDescent="0.3">
      <c r="A313" s="10"/>
      <c r="B313" s="28" t="s">
        <v>4</v>
      </c>
      <c r="C313" s="28"/>
      <c r="D313" s="31">
        <f>+D309-D311</f>
        <v>-157966.57999999943</v>
      </c>
      <c r="E313" s="14"/>
      <c r="F313" s="34">
        <f>IF(D$12=0,0,D313/D$12)</f>
        <v>-0.39940298365570126</v>
      </c>
      <c r="G313" s="14"/>
      <c r="H313" s="31">
        <f>+H309-H311</f>
        <v>-30152.009999999718</v>
      </c>
      <c r="I313" s="14"/>
      <c r="J313" s="34">
        <f>IF(H$12=0,0,H313/H$12)</f>
        <v>-1.1434177935741929E-2</v>
      </c>
      <c r="K313" s="15"/>
      <c r="L313" s="31">
        <f>D313-H313</f>
        <v>-127814.56999999972</v>
      </c>
      <c r="M313" s="15"/>
      <c r="N313" s="34">
        <f>IF(H313=0,0,L313/H313)</f>
        <v>4.2390066201225363</v>
      </c>
      <c r="O313" s="29"/>
      <c r="P313" s="31">
        <f>+P309-P311</f>
        <v>-2089804.6499999997</v>
      </c>
      <c r="Q313" s="14"/>
      <c r="R313" s="34">
        <f>IF(P$12=0,0,P313/P$12)</f>
        <v>-0.44851520100653985</v>
      </c>
      <c r="S313" s="14"/>
      <c r="T313" s="31">
        <f>+T309-T311</f>
        <v>502163.19999999506</v>
      </c>
      <c r="U313" s="14"/>
      <c r="V313" s="34">
        <f>IF(T$12=0,0,T313/T$12)</f>
        <v>3.1201094121998816E-2</v>
      </c>
      <c r="W313" s="15"/>
      <c r="X313" s="31">
        <f>P313-T313</f>
        <v>-2591967.849999995</v>
      </c>
      <c r="Y313" s="15"/>
      <c r="Z313" s="34">
        <f>IF(T313=0,0,X313/T313)</f>
        <v>-5.1616045341435219</v>
      </c>
    </row>
    <row r="314" spans="1:26" ht="15.75" thickTop="1" x14ac:dyDescent="0.25">
      <c r="A314" s="9"/>
      <c r="B314" s="9"/>
      <c r="C314" s="9"/>
      <c r="D314" s="3"/>
      <c r="E314" s="3"/>
      <c r="F314" s="8"/>
      <c r="G314" s="3"/>
      <c r="H314" s="3"/>
      <c r="I314" s="3"/>
      <c r="J314" s="8"/>
      <c r="K314" s="3"/>
      <c r="L314" s="3"/>
      <c r="M314" s="3"/>
      <c r="N314" s="8"/>
      <c r="P314" s="3"/>
      <c r="Q314" s="3"/>
      <c r="R314" s="8"/>
      <c r="S314" s="3"/>
      <c r="T314" s="3"/>
      <c r="U314" s="3"/>
      <c r="V314" s="8"/>
      <c r="W314" s="3"/>
      <c r="X314" s="3"/>
      <c r="Y314" s="3"/>
      <c r="Z314" s="8"/>
    </row>
    <row r="315" spans="1:26" s="23" customFormat="1" x14ac:dyDescent="0.25">
      <c r="A315" s="51"/>
      <c r="B315" s="10" t="s">
        <v>2</v>
      </c>
      <c r="C315" s="10"/>
      <c r="D315" s="4">
        <f>--1068713.4</f>
        <v>1068713.3999999999</v>
      </c>
      <c r="E315" s="4"/>
      <c r="F315" s="12">
        <f t="shared" ref="F315:F316" si="170">IF(D$12=0,0,D315/D$12)</f>
        <v>2.7021368737161393</v>
      </c>
      <c r="G315" s="4"/>
      <c r="H315" s="4">
        <f>--198901.42</f>
        <v>198901.42</v>
      </c>
      <c r="I315" s="4"/>
      <c r="J315" s="12">
        <f t="shared" ref="J315:J316" si="171">IF(H$12=0,0,H315/H$12)</f>
        <v>7.5426952563088165E-2</v>
      </c>
      <c r="K315" s="4"/>
      <c r="L315" s="4">
        <f t="shared" ref="L315:L316" si="172">+D315-H315</f>
        <v>869811.97999999986</v>
      </c>
      <c r="M315" s="4"/>
      <c r="N315" s="12">
        <f t="shared" ref="N315:N316" si="173">IF(H315=0,0,L315/H315)</f>
        <v>4.3730807955016102</v>
      </c>
      <c r="O315" s="10"/>
      <c r="P315" s="4">
        <f>--1649406.18</f>
        <v>1649406.18</v>
      </c>
      <c r="Q315" s="4"/>
      <c r="R315" s="12">
        <f t="shared" ref="R315:R316" si="174">IF(P$12=0,0,P315/P$12)</f>
        <v>0.35399660172261993</v>
      </c>
      <c r="S315" s="4"/>
      <c r="T315" s="4">
        <f>--317204.67</f>
        <v>317204.67</v>
      </c>
      <c r="U315" s="4"/>
      <c r="V315" s="12">
        <f t="shared" ref="V315:V316" si="175">IF(T$12=0,0,T315/T$12)</f>
        <v>1.9708996526642476E-2</v>
      </c>
      <c r="W315" s="4"/>
      <c r="X315" s="4">
        <f t="shared" ref="X315:X316" si="176">+P315-T315</f>
        <v>1332201.51</v>
      </c>
      <c r="Y315" s="4"/>
      <c r="Z315" s="12">
        <f t="shared" ref="Z315:Z316" si="177">IF(T315=0,0,X315/T315)</f>
        <v>4.1998168248910082</v>
      </c>
    </row>
    <row r="316" spans="1:26" s="23" customFormat="1" x14ac:dyDescent="0.25">
      <c r="A316" s="51"/>
      <c r="B316" s="10" t="s">
        <v>1</v>
      </c>
      <c r="C316" s="10"/>
      <c r="D316" s="4">
        <f>--16697.28</f>
        <v>16697.28</v>
      </c>
      <c r="E316" s="4"/>
      <c r="F316" s="12">
        <f t="shared" si="170"/>
        <v>4.2217432642617771E-2</v>
      </c>
      <c r="G316" s="4"/>
      <c r="H316" s="4">
        <f>--12962.29</f>
        <v>12962.29</v>
      </c>
      <c r="I316" s="4"/>
      <c r="J316" s="12">
        <f t="shared" si="171"/>
        <v>4.9155306831846247E-3</v>
      </c>
      <c r="K316" s="4"/>
      <c r="L316" s="4">
        <f t="shared" si="172"/>
        <v>3734.989999999998</v>
      </c>
      <c r="M316" s="4"/>
      <c r="N316" s="12">
        <f t="shared" si="173"/>
        <v>0.28814275872550282</v>
      </c>
      <c r="O316" s="10"/>
      <c r="P316" s="4">
        <f>-6422.54</f>
        <v>-6422.54</v>
      </c>
      <c r="Q316" s="4"/>
      <c r="R316" s="12">
        <f t="shared" si="174"/>
        <v>-1.3784096131054847E-3</v>
      </c>
      <c r="S316" s="4"/>
      <c r="T316" s="4">
        <f>--78175.3</f>
        <v>78175.3</v>
      </c>
      <c r="U316" s="4"/>
      <c r="V316" s="12">
        <f t="shared" si="175"/>
        <v>4.8572951847437613E-3</v>
      </c>
      <c r="W316" s="4"/>
      <c r="X316" s="4">
        <f t="shared" si="176"/>
        <v>-84597.84</v>
      </c>
      <c r="Y316" s="4"/>
      <c r="Z316" s="12">
        <f t="shared" si="177"/>
        <v>-1.0821556169275972</v>
      </c>
    </row>
    <row r="317" spans="1:26" x14ac:dyDescent="0.25">
      <c r="A317" s="9"/>
      <c r="B317" s="9"/>
      <c r="C317" s="9"/>
      <c r="D317" s="3"/>
      <c r="E317" s="3"/>
      <c r="F317" s="8"/>
      <c r="G317" s="3"/>
      <c r="H317" s="3"/>
      <c r="I317" s="3"/>
      <c r="J317" s="8"/>
      <c r="K317" s="3"/>
      <c r="L317" s="3"/>
      <c r="M317" s="3"/>
      <c r="N317" s="8"/>
      <c r="P317" s="3"/>
      <c r="Q317" s="3"/>
      <c r="R317" s="8"/>
      <c r="S317" s="3"/>
      <c r="T317" s="3"/>
      <c r="U317" s="3"/>
      <c r="V317" s="8"/>
      <c r="W317" s="3"/>
      <c r="X317" s="3"/>
      <c r="Y317" s="3"/>
      <c r="Z317" s="8"/>
    </row>
    <row r="318" spans="1:26" s="23" customFormat="1" ht="15.75" thickBot="1" x14ac:dyDescent="0.3">
      <c r="A318" s="10"/>
      <c r="B318" s="28" t="s">
        <v>5</v>
      </c>
      <c r="C318" s="28"/>
      <c r="D318" s="32">
        <f>SUM(D313:D317)</f>
        <v>927444.10000000056</v>
      </c>
      <c r="E318" s="14"/>
      <c r="F318" s="30">
        <f>IF(D$12=0,0,D318/D$12)</f>
        <v>2.3449513227030558</v>
      </c>
      <c r="G318" s="14"/>
      <c r="H318" s="32">
        <f>SUM(H313:H317)</f>
        <v>181711.7000000003</v>
      </c>
      <c r="I318" s="14"/>
      <c r="J318" s="30">
        <f>IF(H$12=0,0,H318/H$12)</f>
        <v>6.8908305310530854E-2</v>
      </c>
      <c r="K318" s="15"/>
      <c r="L318" s="32">
        <f>+D318-H318</f>
        <v>745732.40000000026</v>
      </c>
      <c r="M318" s="15"/>
      <c r="N318" s="30">
        <f>IF(H318=0,0,L318/H318)</f>
        <v>4.1039316675811133</v>
      </c>
      <c r="O318" s="29"/>
      <c r="P318" s="32">
        <f>SUM(P313:P317)</f>
        <v>-446821.00999999972</v>
      </c>
      <c r="Q318" s="14"/>
      <c r="R318" s="30">
        <f>IF(P$12=0,0,P318/P$12)</f>
        <v>-9.5897008897025404E-2</v>
      </c>
      <c r="S318" s="14"/>
      <c r="T318" s="32">
        <f>SUM(T313:T317)</f>
        <v>897543.16999999504</v>
      </c>
      <c r="U318" s="14"/>
      <c r="V318" s="30">
        <f>IF(T$12=0,0,T318/T$12)</f>
        <v>5.5767385833385051E-2</v>
      </c>
      <c r="W318" s="15"/>
      <c r="X318" s="32">
        <f>+P318-T318</f>
        <v>-1344364.1799999948</v>
      </c>
      <c r="Y318" s="15"/>
      <c r="Z318" s="30">
        <f>IF(T318=0,0,X318/T318)</f>
        <v>-1.4978267619149754</v>
      </c>
    </row>
    <row r="319" spans="1:26" ht="15.75" thickTop="1" x14ac:dyDescent="0.25">
      <c r="A319" s="9"/>
      <c r="C319" s="9"/>
      <c r="D319" s="17"/>
      <c r="E319" s="17"/>
      <c r="G319" s="17"/>
      <c r="H319" s="17"/>
      <c r="I319" s="17"/>
      <c r="J319" s="43"/>
      <c r="K319" s="17"/>
      <c r="L319" s="17"/>
      <c r="M319" s="17"/>
      <c r="P319" s="17"/>
      <c r="Q319" s="17"/>
      <c r="R319" s="43"/>
      <c r="S319" s="17"/>
      <c r="T319" s="17"/>
      <c r="U319" s="17"/>
      <c r="V319" s="43"/>
      <c r="W319" s="17"/>
      <c r="X319" s="17"/>
    </row>
    <row r="320" spans="1:26" x14ac:dyDescent="0.25">
      <c r="A320" s="9"/>
      <c r="B320" s="54">
        <v>44174.684942789354</v>
      </c>
      <c r="D320" s="17"/>
      <c r="E320" s="17"/>
      <c r="G320" s="17"/>
      <c r="H320" s="17"/>
      <c r="I320" s="17"/>
      <c r="J320" s="43"/>
      <c r="K320" s="17"/>
      <c r="L320" s="17"/>
      <c r="M320" s="17"/>
      <c r="P320" s="17"/>
      <c r="Q320" s="17"/>
      <c r="R320" s="43"/>
      <c r="S320" s="17"/>
      <c r="T320" s="17"/>
      <c r="U320" s="17"/>
      <c r="V320" s="43"/>
      <c r="W320" s="17"/>
      <c r="X320" s="17"/>
    </row>
    <row r="321" spans="1:24" x14ac:dyDescent="0.25">
      <c r="A321" s="9"/>
      <c r="B321" s="56" t="s">
        <v>313</v>
      </c>
      <c r="D321" s="17"/>
      <c r="E321" s="17"/>
      <c r="G321" s="17"/>
      <c r="H321" s="17"/>
      <c r="I321" s="17"/>
      <c r="J321" s="43"/>
      <c r="K321" s="17"/>
      <c r="L321" s="17"/>
      <c r="M321" s="17"/>
      <c r="P321" s="17"/>
      <c r="Q321" s="17"/>
      <c r="R321" s="43"/>
      <c r="S321" s="17"/>
      <c r="T321" s="17"/>
      <c r="U321" s="17"/>
      <c r="V321" s="43"/>
      <c r="W321" s="17"/>
      <c r="X321" s="17"/>
    </row>
    <row r="322" spans="1:24" x14ac:dyDescent="0.25">
      <c r="A322" s="9"/>
      <c r="B322" s="61"/>
      <c r="D322" s="17"/>
      <c r="E322" s="17"/>
      <c r="G322" s="17"/>
      <c r="H322" s="17"/>
      <c r="I322" s="17"/>
      <c r="J322" s="43"/>
      <c r="K322" s="17"/>
      <c r="L322" s="17"/>
      <c r="M322" s="17"/>
      <c r="P322" s="17"/>
      <c r="Q322" s="17"/>
      <c r="R322" s="43"/>
      <c r="S322" s="17"/>
      <c r="T322" s="17"/>
      <c r="U322" s="17"/>
      <c r="V322" s="43"/>
      <c r="W322" s="17"/>
      <c r="X322" s="17"/>
    </row>
    <row r="323" spans="1:24" x14ac:dyDescent="0.25">
      <c r="D323" s="17"/>
      <c r="E323" s="17"/>
      <c r="G323" s="17"/>
      <c r="H323" s="17"/>
      <c r="I323" s="17"/>
      <c r="J323" s="43"/>
      <c r="K323" s="17"/>
      <c r="L323" s="17"/>
      <c r="M323" s="17"/>
      <c r="P323" s="17"/>
      <c r="Q323" s="17"/>
      <c r="R323" s="43"/>
      <c r="S323" s="17"/>
      <c r="T323" s="17"/>
      <c r="U323" s="17"/>
      <c r="V323" s="43"/>
      <c r="W323" s="17"/>
      <c r="X323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312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299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299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300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300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296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296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310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310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","100", " - ", "Corporate")</f>
        <v>Department 100 - Corporate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SUM(0)</f>
        <v>0</v>
      </c>
      <c r="E18" s="21"/>
      <c r="F18" s="35">
        <f>IF(D$12=0,0,D18/D$12)</f>
        <v>0</v>
      </c>
      <c r="G18" s="21"/>
      <c r="H18" s="21">
        <f>SUM(0)</f>
        <v>0</v>
      </c>
      <c r="I18" s="21"/>
      <c r="J18" s="35">
        <f>IF(H$12=0,0,H18/H$12)</f>
        <v>0</v>
      </c>
      <c r="K18" s="4"/>
      <c r="L18" s="21">
        <f>+D18-H18</f>
        <v>0</v>
      </c>
      <c r="M18" s="4"/>
      <c r="N18" s="35">
        <f>IF(H18=0,0,L18/H18)</f>
        <v>0</v>
      </c>
      <c r="O18" s="10"/>
      <c r="P18" s="21">
        <f>SUM(0)</f>
        <v>0</v>
      </c>
      <c r="Q18" s="21"/>
      <c r="R18" s="35">
        <f>IF(P$12=0,0,P18/P$12)</f>
        <v>0</v>
      </c>
      <c r="S18" s="21"/>
      <c r="T18" s="21">
        <f>SUM(0)</f>
        <v>0</v>
      </c>
      <c r="U18" s="21"/>
      <c r="V18" s="35">
        <f>IF(T$12=0,0,T18/T$12)</f>
        <v>0</v>
      </c>
      <c r="W18" s="4"/>
      <c r="X18" s="21">
        <f>+P18-T18</f>
        <v>0</v>
      </c>
      <c r="Y18" s="4"/>
      <c r="Z18" s="35">
        <f>IF(T18=0,0,X18/T18)</f>
        <v>0</v>
      </c>
    </row>
    <row r="19" spans="1:26" s="53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0">
        <f>+D16-D18+D20</f>
        <v>0</v>
      </c>
      <c r="E22" s="14"/>
      <c r="F22" s="22">
        <f>IF(D$12=0,0,D22/D$12)</f>
        <v>0</v>
      </c>
      <c r="G22" s="14"/>
      <c r="H22" s="20">
        <f>+H16-H18+H20</f>
        <v>0</v>
      </c>
      <c r="I22" s="14"/>
      <c r="J22" s="22">
        <f>IF(H$12=0,0,H22/H$12)</f>
        <v>0</v>
      </c>
      <c r="K22" s="15"/>
      <c r="L22" s="20">
        <f>+D22-H22</f>
        <v>0</v>
      </c>
      <c r="M22" s="15"/>
      <c r="N22" s="22">
        <f>IF(H22=0,0,L22/H22)</f>
        <v>0</v>
      </c>
      <c r="O22" s="29"/>
      <c r="P22" s="20">
        <f>+P16-P18+P20</f>
        <v>0</v>
      </c>
      <c r="Q22" s="14"/>
      <c r="R22" s="22">
        <f>IF(P$12=0,0,P22/P$12)</f>
        <v>0</v>
      </c>
      <c r="S22" s="14"/>
      <c r="T22" s="20">
        <f>+T16-T18+T20</f>
        <v>0</v>
      </c>
      <c r="U22" s="14"/>
      <c r="V22" s="22">
        <f>IF(T$12=0,0,T22/T$12)</f>
        <v>0</v>
      </c>
      <c r="W22" s="15"/>
      <c r="X22" s="20">
        <f>+P22-T22</f>
        <v>0</v>
      </c>
      <c r="Y22" s="15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1">
        <f>+D22-D24</f>
        <v>0</v>
      </c>
      <c r="E26" s="14"/>
      <c r="F26" s="34">
        <f>IF(D$12=0,0,D26/D$12)</f>
        <v>0</v>
      </c>
      <c r="G26" s="14"/>
      <c r="H26" s="31">
        <f>+H22-H24</f>
        <v>0</v>
      </c>
      <c r="I26" s="14"/>
      <c r="J26" s="34">
        <f>IF(H$12=0,0,H26/H$12)</f>
        <v>0</v>
      </c>
      <c r="K26" s="15"/>
      <c r="L26" s="31">
        <f>D26-H26</f>
        <v>0</v>
      </c>
      <c r="M26" s="15"/>
      <c r="N26" s="34">
        <f>IF(H26=0,0,L26/H26)</f>
        <v>0</v>
      </c>
      <c r="O26" s="29"/>
      <c r="P26" s="31">
        <f>+P22-P24</f>
        <v>0</v>
      </c>
      <c r="Q26" s="14"/>
      <c r="R26" s="34">
        <f>IF(P$12=0,0,P26/P$12)</f>
        <v>0</v>
      </c>
      <c r="S26" s="14"/>
      <c r="T26" s="31">
        <f>+T22-T24</f>
        <v>0</v>
      </c>
      <c r="U26" s="14"/>
      <c r="V26" s="34">
        <f>IF(T$12=0,0,T26/T$12)</f>
        <v>0</v>
      </c>
      <c r="W26" s="15"/>
      <c r="X26" s="31">
        <f>P26-T26</f>
        <v>0</v>
      </c>
      <c r="Y26" s="15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--1068713.4</f>
        <v>1068713.3999999999</v>
      </c>
      <c r="E28" s="4"/>
      <c r="F28" s="12">
        <f t="shared" ref="F28:F29" si="0">IF(D$12=0,0,D28/D$12)</f>
        <v>0</v>
      </c>
      <c r="G28" s="4"/>
      <c r="H28" s="4">
        <f>--198901.42</f>
        <v>198901.42</v>
      </c>
      <c r="I28" s="4"/>
      <c r="J28" s="12">
        <f t="shared" ref="J28:J29" si="1">IF(H$12=0,0,H28/H$12)</f>
        <v>0</v>
      </c>
      <c r="K28" s="4"/>
      <c r="L28" s="4">
        <f t="shared" ref="L28:L29" si="2">+D28-H28</f>
        <v>869811.97999999986</v>
      </c>
      <c r="M28" s="4"/>
      <c r="N28" s="12">
        <f t="shared" ref="N28:N29" si="3">IF(H28=0,0,L28/H28)</f>
        <v>4.3730807955016102</v>
      </c>
      <c r="O28" s="10"/>
      <c r="P28" s="4">
        <f>--1649406.18</f>
        <v>1649406.18</v>
      </c>
      <c r="Q28" s="4"/>
      <c r="R28" s="12">
        <f t="shared" ref="R28:R29" si="4">IF(P$12=0,0,P28/P$12)</f>
        <v>0</v>
      </c>
      <c r="S28" s="4"/>
      <c r="T28" s="4">
        <f>--317204.67</f>
        <v>317204.67</v>
      </c>
      <c r="U28" s="4"/>
      <c r="V28" s="12">
        <f t="shared" ref="V28:V29" si="5">IF(T$12=0,0,T28/T$12)</f>
        <v>0</v>
      </c>
      <c r="W28" s="4"/>
      <c r="X28" s="4">
        <f t="shared" ref="X28:X29" si="6">+P28-T28</f>
        <v>1332201.51</v>
      </c>
      <c r="Y28" s="4"/>
      <c r="Z28" s="12">
        <f t="shared" ref="Z28:Z29" si="7">IF(T28=0,0,X28/T28)</f>
        <v>4.1998168248910082</v>
      </c>
    </row>
    <row r="29" spans="1:26" s="23" customFormat="1" x14ac:dyDescent="0.25">
      <c r="A29" s="51"/>
      <c r="B29" s="10" t="s">
        <v>1</v>
      </c>
      <c r="C29" s="10"/>
      <c r="D29" s="4">
        <f>--16697.28</f>
        <v>16697.28</v>
      </c>
      <c r="E29" s="4"/>
      <c r="F29" s="12">
        <f t="shared" si="0"/>
        <v>0</v>
      </c>
      <c r="G29" s="4"/>
      <c r="H29" s="4">
        <f>--12962.29</f>
        <v>12962.29</v>
      </c>
      <c r="I29" s="4"/>
      <c r="J29" s="12">
        <f t="shared" si="1"/>
        <v>0</v>
      </c>
      <c r="K29" s="4"/>
      <c r="L29" s="4">
        <f t="shared" si="2"/>
        <v>3734.989999999998</v>
      </c>
      <c r="M29" s="4"/>
      <c r="N29" s="12">
        <f t="shared" si="3"/>
        <v>0.28814275872550282</v>
      </c>
      <c r="O29" s="10"/>
      <c r="P29" s="4">
        <f>-6422.54</f>
        <v>-6422.54</v>
      </c>
      <c r="Q29" s="4"/>
      <c r="R29" s="12">
        <f t="shared" si="4"/>
        <v>0</v>
      </c>
      <c r="S29" s="4"/>
      <c r="T29" s="4">
        <f>--78175.3</f>
        <v>78175.3</v>
      </c>
      <c r="U29" s="4"/>
      <c r="V29" s="12">
        <f t="shared" si="5"/>
        <v>0</v>
      </c>
      <c r="W29" s="4"/>
      <c r="X29" s="4">
        <f t="shared" si="6"/>
        <v>-84597.84</v>
      </c>
      <c r="Y29" s="4"/>
      <c r="Z29" s="12">
        <f t="shared" si="7"/>
        <v>-1.0821556169275972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2">
        <f>SUM(D26:D30)</f>
        <v>1085410.68</v>
      </c>
      <c r="E31" s="14"/>
      <c r="F31" s="30">
        <f>IF(D$12=0,0,D31/D$12)</f>
        <v>0</v>
      </c>
      <c r="G31" s="14"/>
      <c r="H31" s="32">
        <f>SUM(H26:H30)</f>
        <v>211863.71000000002</v>
      </c>
      <c r="I31" s="14"/>
      <c r="J31" s="30">
        <f>IF(H$12=0,0,H31/H$12)</f>
        <v>0</v>
      </c>
      <c r="K31" s="15"/>
      <c r="L31" s="32">
        <f>+D31-H31</f>
        <v>873546.97</v>
      </c>
      <c r="M31" s="15"/>
      <c r="N31" s="30">
        <f>IF(H31=0,0,L31/H31)</f>
        <v>4.1231552586330142</v>
      </c>
      <c r="O31" s="29"/>
      <c r="P31" s="32">
        <f>SUM(P26:P30)</f>
        <v>1642983.64</v>
      </c>
      <c r="Q31" s="14"/>
      <c r="R31" s="30">
        <f>IF(P$12=0,0,P31/P$12)</f>
        <v>0</v>
      </c>
      <c r="S31" s="14"/>
      <c r="T31" s="32">
        <f>SUM(T26:T30)</f>
        <v>395379.97</v>
      </c>
      <c r="U31" s="14"/>
      <c r="V31" s="30">
        <f>IF(T$12=0,0,T31/T$12)</f>
        <v>0</v>
      </c>
      <c r="W31" s="15"/>
      <c r="X31" s="32">
        <f>+P31-T31</f>
        <v>1247603.67</v>
      </c>
      <c r="Y31" s="15"/>
      <c r="Z31" s="30">
        <f>IF(T31=0,0,X31/T31)</f>
        <v>3.155454915938205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4">
        <v>44174.685319328702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56" t="s">
        <v>313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61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295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298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-183271.43000000002</v>
      </c>
      <c r="E18" s="21"/>
      <c r="F18" s="35">
        <f t="shared" ref="F18:F30" si="0">IF(D$12=0,0,D18/D$12)</f>
        <v>0</v>
      </c>
      <c r="G18" s="21"/>
      <c r="H18" s="21">
        <f>SUM(OSRRefH22x_0)</f>
        <v>349632.63</v>
      </c>
      <c r="I18" s="21"/>
      <c r="J18" s="35">
        <f t="shared" ref="J18:J30" si="1">IF(H$12=0,0,H18/H$12)</f>
        <v>0</v>
      </c>
      <c r="K18" s="4"/>
      <c r="L18" s="21">
        <f t="shared" ref="L18:L30" si="2">+D18-H18</f>
        <v>-532904.06000000006</v>
      </c>
      <c r="M18" s="4"/>
      <c r="N18" s="35">
        <f t="shared" ref="N18:N30" si="3">IF(H18=0,0,L18/H18)</f>
        <v>-1.5241828544435343</v>
      </c>
      <c r="O18" s="10"/>
      <c r="P18" s="21">
        <f>SUM(OSRRefP22x_0)</f>
        <v>740376.26000000024</v>
      </c>
      <c r="Q18" s="21"/>
      <c r="R18" s="35">
        <f t="shared" ref="R18:R30" si="4">IF(P$12=0,0,P18/P$12)</f>
        <v>0</v>
      </c>
      <c r="S18" s="21"/>
      <c r="T18" s="21">
        <f>SUM(OSRRefT22x_0)</f>
        <v>1704289.1400000006</v>
      </c>
      <c r="U18" s="21"/>
      <c r="V18" s="35">
        <f t="shared" ref="V18:V30" si="5">IF(T$12=0,0,T18/T$12)</f>
        <v>0</v>
      </c>
      <c r="W18" s="4"/>
      <c r="X18" s="21">
        <f t="shared" ref="X18:X30" si="6">+P18-T18</f>
        <v>-963912.88000000035</v>
      </c>
      <c r="Y18" s="4"/>
      <c r="Z18" s="35">
        <f t="shared" ref="Z18:Z30" si="7">IF(T18=0,0,X18/T18)</f>
        <v>-0.56558060330068172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-312624.37000000005</v>
      </c>
      <c r="E19" s="1"/>
      <c r="F19" s="5">
        <f t="shared" si="0"/>
        <v>0</v>
      </c>
      <c r="G19" s="1"/>
      <c r="H19" s="1">
        <f>SUM(OSRRefH22_0x_0)</f>
        <v>80994.819999999992</v>
      </c>
      <c r="I19" s="1"/>
      <c r="J19" s="5">
        <f t="shared" si="1"/>
        <v>0</v>
      </c>
      <c r="K19" s="1"/>
      <c r="L19" s="1">
        <f t="shared" si="2"/>
        <v>-393619.19000000006</v>
      </c>
      <c r="M19" s="1"/>
      <c r="N19" s="5">
        <f t="shared" si="3"/>
        <v>-4.8598069604945122</v>
      </c>
      <c r="O19" s="13"/>
      <c r="P19" s="1">
        <f>SUM(OSRRefP22_0x_0)</f>
        <v>26954.540000000023</v>
      </c>
      <c r="Q19" s="1"/>
      <c r="R19" s="5">
        <f t="shared" si="4"/>
        <v>0</v>
      </c>
      <c r="S19" s="1"/>
      <c r="T19" s="1">
        <f>SUM(OSRRefT22_0x_0)</f>
        <v>474123.82</v>
      </c>
      <c r="U19" s="1"/>
      <c r="V19" s="5">
        <f t="shared" si="5"/>
        <v>0</v>
      </c>
      <c r="W19" s="1"/>
      <c r="X19" s="1">
        <f t="shared" si="6"/>
        <v>-447169.27999999997</v>
      </c>
      <c r="Y19" s="1"/>
      <c r="Z19" s="5">
        <f t="shared" si="7"/>
        <v>-0.94314873275086653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6381.52</v>
      </c>
      <c r="E20" s="2"/>
      <c r="F20" s="7">
        <f t="shared" si="0"/>
        <v>0</v>
      </c>
      <c r="G20" s="2"/>
      <c r="H20" s="6">
        <v>6791.99</v>
      </c>
      <c r="I20" s="2"/>
      <c r="J20" s="7">
        <f t="shared" si="1"/>
        <v>0</v>
      </c>
      <c r="K20" s="2"/>
      <c r="L20" s="6">
        <f t="shared" si="2"/>
        <v>-410.46999999999935</v>
      </c>
      <c r="M20" s="2"/>
      <c r="N20" s="7">
        <f t="shared" si="3"/>
        <v>-6.0434423490022711E-2</v>
      </c>
      <c r="O20" s="11"/>
      <c r="P20" s="6">
        <v>41858.07</v>
      </c>
      <c r="Q20" s="2"/>
      <c r="R20" s="7">
        <f t="shared" si="4"/>
        <v>0</v>
      </c>
      <c r="S20" s="2"/>
      <c r="T20" s="6">
        <v>51917.65</v>
      </c>
      <c r="U20" s="2"/>
      <c r="V20" s="7">
        <f t="shared" si="5"/>
        <v>0</v>
      </c>
      <c r="W20" s="2"/>
      <c r="X20" s="6">
        <f t="shared" si="6"/>
        <v>-10059.580000000002</v>
      </c>
      <c r="Y20" s="2"/>
      <c r="Z20" s="7">
        <f t="shared" si="7"/>
        <v>-0.19376031079989178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1162.5899999999999</v>
      </c>
      <c r="E21" s="2"/>
      <c r="F21" s="7">
        <f t="shared" si="0"/>
        <v>0</v>
      </c>
      <c r="G21" s="2"/>
      <c r="H21" s="6">
        <v>656.32</v>
      </c>
      <c r="I21" s="2"/>
      <c r="J21" s="7">
        <f t="shared" si="1"/>
        <v>0</v>
      </c>
      <c r="K21" s="2"/>
      <c r="L21" s="6">
        <f t="shared" si="2"/>
        <v>506.26999999999987</v>
      </c>
      <c r="M21" s="2"/>
      <c r="N21" s="7">
        <f t="shared" si="3"/>
        <v>0.77137676743052142</v>
      </c>
      <c r="O21" s="11"/>
      <c r="P21" s="6">
        <v>3544.43</v>
      </c>
      <c r="Q21" s="2"/>
      <c r="R21" s="7">
        <f t="shared" si="4"/>
        <v>0</v>
      </c>
      <c r="S21" s="2"/>
      <c r="T21" s="6">
        <v>2964.79</v>
      </c>
      <c r="U21" s="2"/>
      <c r="V21" s="7">
        <f t="shared" si="5"/>
        <v>0</v>
      </c>
      <c r="W21" s="2"/>
      <c r="X21" s="6">
        <f t="shared" si="6"/>
        <v>579.63999999999987</v>
      </c>
      <c r="Y21" s="2"/>
      <c r="Z21" s="7">
        <f t="shared" si="7"/>
        <v>0.19550794491346768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23374.05</v>
      </c>
      <c r="E22" s="2"/>
      <c r="F22" s="7">
        <f t="shared" si="0"/>
        <v>0</v>
      </c>
      <c r="G22" s="2"/>
      <c r="H22" s="6">
        <v>22318.02</v>
      </c>
      <c r="I22" s="2"/>
      <c r="J22" s="7">
        <f t="shared" si="1"/>
        <v>0</v>
      </c>
      <c r="K22" s="2"/>
      <c r="L22" s="6">
        <f t="shared" si="2"/>
        <v>1056.0299999999988</v>
      </c>
      <c r="M22" s="2"/>
      <c r="N22" s="7">
        <f t="shared" si="3"/>
        <v>4.7317369551599951E-2</v>
      </c>
      <c r="O22" s="11"/>
      <c r="P22" s="6">
        <v>114725.89</v>
      </c>
      <c r="Q22" s="2"/>
      <c r="R22" s="7">
        <f t="shared" si="4"/>
        <v>0</v>
      </c>
      <c r="S22" s="2"/>
      <c r="T22" s="6">
        <v>112996.56999999999</v>
      </c>
      <c r="U22" s="2"/>
      <c r="V22" s="7">
        <f t="shared" si="5"/>
        <v>0</v>
      </c>
      <c r="W22" s="2"/>
      <c r="X22" s="6">
        <f t="shared" si="6"/>
        <v>1729.320000000007</v>
      </c>
      <c r="Y22" s="2"/>
      <c r="Z22" s="7">
        <f t="shared" si="7"/>
        <v>1.5304181357009394E-2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554.75</v>
      </c>
      <c r="E23" s="2"/>
      <c r="F23" s="7">
        <f t="shared" si="0"/>
        <v>0</v>
      </c>
      <c r="G23" s="2"/>
      <c r="H23" s="6">
        <v>296.02</v>
      </c>
      <c r="I23" s="2"/>
      <c r="J23" s="7">
        <f t="shared" si="1"/>
        <v>0</v>
      </c>
      <c r="K23" s="2"/>
      <c r="L23" s="6">
        <f t="shared" si="2"/>
        <v>258.73</v>
      </c>
      <c r="M23" s="2"/>
      <c r="N23" s="7">
        <f t="shared" si="3"/>
        <v>0.87402878183906507</v>
      </c>
      <c r="O23" s="11"/>
      <c r="P23" s="6">
        <v>1570.72</v>
      </c>
      <c r="Q23" s="2"/>
      <c r="R23" s="7">
        <f t="shared" si="4"/>
        <v>0</v>
      </c>
      <c r="S23" s="2"/>
      <c r="T23" s="6">
        <v>2083.79</v>
      </c>
      <c r="U23" s="2"/>
      <c r="V23" s="7">
        <f t="shared" si="5"/>
        <v>0</v>
      </c>
      <c r="W23" s="2"/>
      <c r="X23" s="6">
        <f t="shared" si="6"/>
        <v>-513.06999999999994</v>
      </c>
      <c r="Y23" s="2"/>
      <c r="Z23" s="7">
        <f t="shared" si="7"/>
        <v>-0.24621962865739827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14364.64</v>
      </c>
      <c r="E24" s="2"/>
      <c r="F24" s="7">
        <f t="shared" si="0"/>
        <v>0</v>
      </c>
      <c r="G24" s="2"/>
      <c r="H24" s="6">
        <v>6783.07</v>
      </c>
      <c r="I24" s="2"/>
      <c r="J24" s="7">
        <f t="shared" si="1"/>
        <v>0</v>
      </c>
      <c r="K24" s="2"/>
      <c r="L24" s="6">
        <f t="shared" si="2"/>
        <v>7581.57</v>
      </c>
      <c r="M24" s="2"/>
      <c r="N24" s="7">
        <f t="shared" si="3"/>
        <v>1.1177195576634178</v>
      </c>
      <c r="O24" s="11"/>
      <c r="P24" s="6">
        <v>47861.53</v>
      </c>
      <c r="Q24" s="2"/>
      <c r="R24" s="7">
        <f t="shared" si="4"/>
        <v>0</v>
      </c>
      <c r="S24" s="2"/>
      <c r="T24" s="6">
        <v>46724.94</v>
      </c>
      <c r="U24" s="2"/>
      <c r="V24" s="7">
        <f t="shared" si="5"/>
        <v>0</v>
      </c>
      <c r="W24" s="2"/>
      <c r="X24" s="6">
        <f t="shared" si="6"/>
        <v>1136.5899999999965</v>
      </c>
      <c r="Y24" s="2"/>
      <c r="Z24" s="7">
        <f t="shared" si="7"/>
        <v>2.4325124869074129E-2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1971.94</v>
      </c>
      <c r="U25" s="2"/>
      <c r="V25" s="7">
        <f t="shared" si="5"/>
        <v>0</v>
      </c>
      <c r="W25" s="2"/>
      <c r="X25" s="6">
        <f t="shared" si="6"/>
        <v>-1971.94</v>
      </c>
      <c r="Y25" s="2"/>
      <c r="Z25" s="7">
        <f t="shared" si="7"/>
        <v>-1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6">
        <v>749.92</v>
      </c>
      <c r="E26" s="2"/>
      <c r="F26" s="7">
        <f t="shared" si="0"/>
        <v>0</v>
      </c>
      <c r="G26" s="2"/>
      <c r="H26" s="6">
        <v>843.9</v>
      </c>
      <c r="I26" s="2"/>
      <c r="J26" s="7">
        <f t="shared" si="1"/>
        <v>0</v>
      </c>
      <c r="K26" s="2"/>
      <c r="L26" s="6">
        <f t="shared" si="2"/>
        <v>-93.980000000000018</v>
      </c>
      <c r="M26" s="2"/>
      <c r="N26" s="7">
        <f t="shared" si="3"/>
        <v>-0.111363905676028</v>
      </c>
      <c r="O26" s="11"/>
      <c r="P26" s="6">
        <v>4167.4399999999996</v>
      </c>
      <c r="Q26" s="2"/>
      <c r="R26" s="7">
        <f t="shared" si="4"/>
        <v>0</v>
      </c>
      <c r="S26" s="2"/>
      <c r="T26" s="6">
        <v>4337.6400000000003</v>
      </c>
      <c r="U26" s="2"/>
      <c r="V26" s="7">
        <f t="shared" si="5"/>
        <v>0</v>
      </c>
      <c r="W26" s="2"/>
      <c r="X26" s="6">
        <f t="shared" si="6"/>
        <v>-170.20000000000073</v>
      </c>
      <c r="Y26" s="2"/>
      <c r="Z26" s="7">
        <f t="shared" si="7"/>
        <v>-3.9237926614472549E-2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5868.44</v>
      </c>
      <c r="E27" s="2"/>
      <c r="F27" s="7">
        <f t="shared" si="0"/>
        <v>0</v>
      </c>
      <c r="G27" s="2"/>
      <c r="H27" s="6">
        <v>6949.45</v>
      </c>
      <c r="I27" s="2"/>
      <c r="J27" s="7">
        <f t="shared" si="1"/>
        <v>0</v>
      </c>
      <c r="K27" s="2"/>
      <c r="L27" s="6">
        <f t="shared" si="2"/>
        <v>-1081.0100000000002</v>
      </c>
      <c r="M27" s="2"/>
      <c r="N27" s="7">
        <f t="shared" si="3"/>
        <v>-0.15555331716898463</v>
      </c>
      <c r="O27" s="11"/>
      <c r="P27" s="6">
        <v>33854.68</v>
      </c>
      <c r="Q27" s="2"/>
      <c r="R27" s="7">
        <f t="shared" si="4"/>
        <v>0</v>
      </c>
      <c r="S27" s="2"/>
      <c r="T27" s="6">
        <v>48342.6</v>
      </c>
      <c r="U27" s="2"/>
      <c r="V27" s="7">
        <f t="shared" si="5"/>
        <v>0</v>
      </c>
      <c r="W27" s="2"/>
      <c r="X27" s="6">
        <f t="shared" si="6"/>
        <v>-14487.919999999998</v>
      </c>
      <c r="Y27" s="2"/>
      <c r="Z27" s="7">
        <f t="shared" si="7"/>
        <v>-0.29969261065809449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4081.01</v>
      </c>
      <c r="E28" s="2"/>
      <c r="F28" s="7">
        <f t="shared" si="0"/>
        <v>0</v>
      </c>
      <c r="G28" s="2"/>
      <c r="H28" s="6">
        <v>4880.68</v>
      </c>
      <c r="I28" s="2"/>
      <c r="J28" s="7">
        <f t="shared" si="1"/>
        <v>0</v>
      </c>
      <c r="K28" s="2"/>
      <c r="L28" s="6">
        <f t="shared" si="2"/>
        <v>-799.67000000000007</v>
      </c>
      <c r="M28" s="2"/>
      <c r="N28" s="7">
        <f t="shared" si="3"/>
        <v>-0.16384397256120051</v>
      </c>
      <c r="O28" s="11"/>
      <c r="P28" s="6">
        <v>22794.26</v>
      </c>
      <c r="Q28" s="2"/>
      <c r="R28" s="7">
        <f t="shared" si="4"/>
        <v>0</v>
      </c>
      <c r="S28" s="2"/>
      <c r="T28" s="6">
        <v>44206.86</v>
      </c>
      <c r="U28" s="2"/>
      <c r="V28" s="7">
        <f t="shared" si="5"/>
        <v>0</v>
      </c>
      <c r="W28" s="2"/>
      <c r="X28" s="6">
        <f t="shared" si="6"/>
        <v>-21412.600000000002</v>
      </c>
      <c r="Y28" s="2"/>
      <c r="Z28" s="7">
        <f t="shared" si="7"/>
        <v>-0.48437278739091627</v>
      </c>
    </row>
    <row r="29" spans="1:26" s="24" customFormat="1" hidden="1" outlineLevel="2" x14ac:dyDescent="0.25">
      <c r="A29" s="25"/>
      <c r="B29" s="11" t="str">
        <f>CONCATENATE("          ", "6120", " - ", "RETIREES HEALTH INSURANCE")</f>
        <v xml:space="preserve">          6120 - RETIREES HEALTH INSURANCE</v>
      </c>
      <c r="C29" s="11"/>
      <c r="D29" s="6">
        <v>-369662.33</v>
      </c>
      <c r="E29" s="2"/>
      <c r="F29" s="7">
        <f t="shared" si="0"/>
        <v>0</v>
      </c>
      <c r="G29" s="2"/>
      <c r="H29" s="6">
        <v>29023.1</v>
      </c>
      <c r="I29" s="2"/>
      <c r="J29" s="7">
        <f t="shared" si="1"/>
        <v>0</v>
      </c>
      <c r="K29" s="2"/>
      <c r="L29" s="6">
        <f t="shared" si="2"/>
        <v>-398685.43</v>
      </c>
      <c r="M29" s="2"/>
      <c r="N29" s="7">
        <f t="shared" si="3"/>
        <v>-13.736831351578571</v>
      </c>
      <c r="O29" s="11"/>
      <c r="P29" s="6">
        <v>-247256.65</v>
      </c>
      <c r="Q29" s="2"/>
      <c r="R29" s="7">
        <f t="shared" si="4"/>
        <v>0</v>
      </c>
      <c r="S29" s="2"/>
      <c r="T29" s="6">
        <v>146429.12</v>
      </c>
      <c r="U29" s="2"/>
      <c r="V29" s="7">
        <f t="shared" si="5"/>
        <v>0</v>
      </c>
      <c r="W29" s="2"/>
      <c r="X29" s="6">
        <f t="shared" si="6"/>
        <v>-393685.77</v>
      </c>
      <c r="Y29" s="2"/>
      <c r="Z29" s="7">
        <f t="shared" si="7"/>
        <v>-2.6885756740189386</v>
      </c>
    </row>
    <row r="30" spans="1:26" s="24" customFormat="1" hidden="1" outlineLevel="2" x14ac:dyDescent="0.25">
      <c r="A30" s="25"/>
      <c r="B30" s="11" t="str">
        <f>CONCATENATE("          ", "6156", " - ", "EMPLOYEE MEALS")</f>
        <v xml:space="preserve">          6156 - EMPLOYEE MEALS</v>
      </c>
      <c r="C30" s="11"/>
      <c r="D30" s="6">
        <v>501.04</v>
      </c>
      <c r="E30" s="2"/>
      <c r="F30" s="7">
        <f t="shared" si="0"/>
        <v>0</v>
      </c>
      <c r="G30" s="2"/>
      <c r="H30" s="6">
        <v>2452.27</v>
      </c>
      <c r="I30" s="2"/>
      <c r="J30" s="7">
        <f t="shared" si="1"/>
        <v>0</v>
      </c>
      <c r="K30" s="2"/>
      <c r="L30" s="6">
        <f t="shared" si="2"/>
        <v>-1951.23</v>
      </c>
      <c r="M30" s="2"/>
      <c r="N30" s="7">
        <f t="shared" si="3"/>
        <v>-0.79568318333625576</v>
      </c>
      <c r="O30" s="11"/>
      <c r="P30" s="6">
        <v>3834.17</v>
      </c>
      <c r="Q30" s="2"/>
      <c r="R30" s="7">
        <f t="shared" si="4"/>
        <v>0</v>
      </c>
      <c r="S30" s="2"/>
      <c r="T30" s="6">
        <v>12147.92</v>
      </c>
      <c r="U30" s="2"/>
      <c r="V30" s="7">
        <f t="shared" si="5"/>
        <v>0</v>
      </c>
      <c r="W30" s="2"/>
      <c r="X30" s="6">
        <f t="shared" si="6"/>
        <v>-8313.75</v>
      </c>
      <c r="Y30" s="2"/>
      <c r="Z30" s="7">
        <f t="shared" si="7"/>
        <v>-0.68437641999618037</v>
      </c>
    </row>
    <row r="31" spans="1:26" s="26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84394.29</v>
      </c>
      <c r="E31" s="1"/>
      <c r="F31" s="5">
        <f t="shared" ref="F31:F38" si="8">IF(D$12=0,0,D31/D$12)</f>
        <v>0</v>
      </c>
      <c r="G31" s="1"/>
      <c r="H31" s="1">
        <f>SUM(OSRRefH22_1x_0)</f>
        <v>105565.87</v>
      </c>
      <c r="I31" s="1"/>
      <c r="J31" s="5">
        <f t="shared" ref="J31:J38" si="9">IF(H$12=0,0,H31/H$12)</f>
        <v>0</v>
      </c>
      <c r="K31" s="1"/>
      <c r="L31" s="1">
        <f t="shared" ref="L31:L38" si="10">+D31-H31</f>
        <v>-21171.58</v>
      </c>
      <c r="M31" s="1"/>
      <c r="N31" s="5">
        <f t="shared" ref="N31:N38" si="11">IF(H31=0,0,L31/H31)</f>
        <v>-0.20055326593718217</v>
      </c>
      <c r="O31" s="13"/>
      <c r="P31" s="1">
        <f>SUM(OSRRefP22_1x_0)</f>
        <v>455946.59</v>
      </c>
      <c r="Q31" s="1"/>
      <c r="R31" s="5">
        <f t="shared" ref="R31:R38" si="12">IF(P$12=0,0,P31/P$12)</f>
        <v>0</v>
      </c>
      <c r="S31" s="1"/>
      <c r="T31" s="1">
        <f>SUM(OSRRefT22_1x_0)</f>
        <v>542837.17999999993</v>
      </c>
      <c r="U31" s="1"/>
      <c r="V31" s="5">
        <f t="shared" ref="V31:V38" si="13">IF(T$12=0,0,T31/T$12)</f>
        <v>0</v>
      </c>
      <c r="W31" s="1"/>
      <c r="X31" s="1">
        <f t="shared" ref="X31:X38" si="14">+P31-T31</f>
        <v>-86890.589999999909</v>
      </c>
      <c r="Y31" s="1"/>
      <c r="Z31" s="5">
        <f t="shared" ref="Z31:Z38" si="15">IF(T31=0,0,X31/T31)</f>
        <v>-0.16006749942957099</v>
      </c>
    </row>
    <row r="32" spans="1:26" s="24" customFormat="1" hidden="1" outlineLevel="2" x14ac:dyDescent="0.25">
      <c r="A32" s="25"/>
      <c r="B32" s="11" t="str">
        <f>CONCATENATE("          ", "6001", " - ", "ADMINISTRATIVE SALARIES")</f>
        <v xml:space="preserve">          6001 - ADMINISTRATIVE SALARIES</v>
      </c>
      <c r="C32" s="11"/>
      <c r="D32" s="6">
        <v>22667.08</v>
      </c>
      <c r="E32" s="2"/>
      <c r="F32" s="7">
        <f t="shared" si="8"/>
        <v>0</v>
      </c>
      <c r="G32" s="2"/>
      <c r="H32" s="6">
        <v>21786.16</v>
      </c>
      <c r="I32" s="2"/>
      <c r="J32" s="7">
        <f t="shared" si="9"/>
        <v>0</v>
      </c>
      <c r="K32" s="2"/>
      <c r="L32" s="6">
        <f t="shared" si="10"/>
        <v>880.92000000000189</v>
      </c>
      <c r="M32" s="2"/>
      <c r="N32" s="7">
        <f t="shared" si="11"/>
        <v>4.0434844873993486E-2</v>
      </c>
      <c r="O32" s="11"/>
      <c r="P32" s="6">
        <v>123941.58999999998</v>
      </c>
      <c r="Q32" s="2"/>
      <c r="R32" s="7">
        <f t="shared" si="12"/>
        <v>0</v>
      </c>
      <c r="S32" s="2"/>
      <c r="T32" s="6">
        <v>125443.37999999999</v>
      </c>
      <c r="U32" s="2"/>
      <c r="V32" s="7">
        <f t="shared" si="13"/>
        <v>0</v>
      </c>
      <c r="W32" s="2"/>
      <c r="X32" s="6">
        <f t="shared" si="14"/>
        <v>-1501.7900000000081</v>
      </c>
      <c r="Y32" s="2"/>
      <c r="Z32" s="7">
        <f t="shared" si="15"/>
        <v>-1.1971855350198698E-2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>
        <v>41615.5</v>
      </c>
      <c r="E33" s="2"/>
      <c r="F33" s="7">
        <f t="shared" si="8"/>
        <v>0</v>
      </c>
      <c r="G33" s="2"/>
      <c r="H33" s="6">
        <v>41108.85</v>
      </c>
      <c r="I33" s="2"/>
      <c r="J33" s="7">
        <f t="shared" si="9"/>
        <v>0</v>
      </c>
      <c r="K33" s="2"/>
      <c r="L33" s="6">
        <f t="shared" si="10"/>
        <v>506.65000000000146</v>
      </c>
      <c r="M33" s="2"/>
      <c r="N33" s="7">
        <f t="shared" si="11"/>
        <v>1.23245967717414E-2</v>
      </c>
      <c r="O33" s="11"/>
      <c r="P33" s="6">
        <v>244034.55000000002</v>
      </c>
      <c r="Q33" s="2"/>
      <c r="R33" s="7">
        <f t="shared" si="12"/>
        <v>0</v>
      </c>
      <c r="S33" s="2"/>
      <c r="T33" s="6">
        <v>234050.78</v>
      </c>
      <c r="U33" s="2"/>
      <c r="V33" s="7">
        <f t="shared" si="13"/>
        <v>0</v>
      </c>
      <c r="W33" s="2"/>
      <c r="X33" s="6">
        <f t="shared" si="14"/>
        <v>9983.7700000000186</v>
      </c>
      <c r="Y33" s="2"/>
      <c r="Z33" s="7">
        <f t="shared" si="15"/>
        <v>4.2656426951450527E-2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>
        <v>14290.33</v>
      </c>
      <c r="E34" s="2"/>
      <c r="F34" s="7">
        <f t="shared" si="8"/>
        <v>0</v>
      </c>
      <c r="G34" s="2"/>
      <c r="H34" s="6">
        <v>22623.11</v>
      </c>
      <c r="I34" s="2"/>
      <c r="J34" s="7">
        <f t="shared" si="9"/>
        <v>0</v>
      </c>
      <c r="K34" s="2"/>
      <c r="L34" s="6">
        <f t="shared" si="10"/>
        <v>-8332.7800000000007</v>
      </c>
      <c r="M34" s="2"/>
      <c r="N34" s="7">
        <f t="shared" si="11"/>
        <v>-0.36833043732714027</v>
      </c>
      <c r="O34" s="11"/>
      <c r="P34" s="6">
        <v>94373.62999999999</v>
      </c>
      <c r="Q34" s="2"/>
      <c r="R34" s="7">
        <f t="shared" si="12"/>
        <v>0</v>
      </c>
      <c r="S34" s="2"/>
      <c r="T34" s="6">
        <v>116356.58</v>
      </c>
      <c r="U34" s="2"/>
      <c r="V34" s="7">
        <f t="shared" si="13"/>
        <v>0</v>
      </c>
      <c r="W34" s="2"/>
      <c r="X34" s="6">
        <f t="shared" si="14"/>
        <v>-21982.950000000012</v>
      </c>
      <c r="Y34" s="2"/>
      <c r="Z34" s="7">
        <f t="shared" si="15"/>
        <v>-0.18892743324013142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>
        <v>4658.76</v>
      </c>
      <c r="E35" s="2"/>
      <c r="F35" s="7">
        <f t="shared" si="8"/>
        <v>0</v>
      </c>
      <c r="G35" s="2"/>
      <c r="H35" s="6">
        <v>7653.73</v>
      </c>
      <c r="I35" s="2"/>
      <c r="J35" s="7">
        <f t="shared" si="9"/>
        <v>0</v>
      </c>
      <c r="K35" s="2"/>
      <c r="L35" s="6">
        <f t="shared" si="10"/>
        <v>-2994.9699999999993</v>
      </c>
      <c r="M35" s="2"/>
      <c r="N35" s="7">
        <f t="shared" si="11"/>
        <v>-0.3913085515167114</v>
      </c>
      <c r="O35" s="11"/>
      <c r="P35" s="6">
        <v>31314.25</v>
      </c>
      <c r="Q35" s="2"/>
      <c r="R35" s="7">
        <f t="shared" si="12"/>
        <v>0</v>
      </c>
      <c r="S35" s="2"/>
      <c r="T35" s="6">
        <v>50763.23</v>
      </c>
      <c r="U35" s="2"/>
      <c r="V35" s="7">
        <f t="shared" si="13"/>
        <v>0</v>
      </c>
      <c r="W35" s="2"/>
      <c r="X35" s="6">
        <f t="shared" si="14"/>
        <v>-19448.980000000003</v>
      </c>
      <c r="Y35" s="2"/>
      <c r="Z35" s="7">
        <f t="shared" si="15"/>
        <v>-0.3831312546502656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2361.4299999999998</v>
      </c>
      <c r="U36" s="2"/>
      <c r="V36" s="7">
        <f t="shared" si="13"/>
        <v>0</v>
      </c>
      <c r="W36" s="2"/>
      <c r="X36" s="6">
        <f t="shared" si="14"/>
        <v>-2361.4299999999998</v>
      </c>
      <c r="Y36" s="2"/>
      <c r="Z36" s="7">
        <f t="shared" si="15"/>
        <v>-1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8"/>
        <v>0</v>
      </c>
      <c r="G37" s="2"/>
      <c r="H37" s="6">
        <v>10867.77</v>
      </c>
      <c r="I37" s="2"/>
      <c r="J37" s="7">
        <f t="shared" si="9"/>
        <v>0</v>
      </c>
      <c r="K37" s="2"/>
      <c r="L37" s="6">
        <f t="shared" si="10"/>
        <v>-10867.77</v>
      </c>
      <c r="M37" s="2"/>
      <c r="N37" s="7">
        <f t="shared" si="11"/>
        <v>-1</v>
      </c>
      <c r="O37" s="11"/>
      <c r="P37" s="6">
        <v>-44841.009999999995</v>
      </c>
      <c r="Q37" s="2"/>
      <c r="R37" s="7">
        <f t="shared" si="12"/>
        <v>0</v>
      </c>
      <c r="S37" s="2"/>
      <c r="T37" s="6">
        <v>4977.08</v>
      </c>
      <c r="U37" s="2"/>
      <c r="V37" s="7">
        <f t="shared" si="13"/>
        <v>0</v>
      </c>
      <c r="W37" s="2"/>
      <c r="X37" s="6">
        <f t="shared" si="14"/>
        <v>-49818.09</v>
      </c>
      <c r="Y37" s="2"/>
      <c r="Z37" s="7">
        <f t="shared" si="15"/>
        <v>-10.009501555128709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>
        <v>1162.6199999999999</v>
      </c>
      <c r="E38" s="2"/>
      <c r="F38" s="7">
        <f t="shared" si="8"/>
        <v>0</v>
      </c>
      <c r="G38" s="2"/>
      <c r="H38" s="6">
        <v>1526.25</v>
      </c>
      <c r="I38" s="2"/>
      <c r="J38" s="7">
        <f t="shared" si="9"/>
        <v>0</v>
      </c>
      <c r="K38" s="2"/>
      <c r="L38" s="6">
        <f t="shared" si="10"/>
        <v>-363.63000000000011</v>
      </c>
      <c r="M38" s="2"/>
      <c r="N38" s="7">
        <f t="shared" si="11"/>
        <v>-0.23825061425061433</v>
      </c>
      <c r="O38" s="11"/>
      <c r="P38" s="6">
        <v>7123.58</v>
      </c>
      <c r="Q38" s="2"/>
      <c r="R38" s="7">
        <f t="shared" si="12"/>
        <v>0</v>
      </c>
      <c r="S38" s="2"/>
      <c r="T38" s="6">
        <v>8884.7000000000007</v>
      </c>
      <c r="U38" s="2"/>
      <c r="V38" s="7">
        <f t="shared" si="13"/>
        <v>0</v>
      </c>
      <c r="W38" s="2"/>
      <c r="X38" s="6">
        <f t="shared" si="14"/>
        <v>-1761.1200000000008</v>
      </c>
      <c r="Y38" s="2"/>
      <c r="Z38" s="7">
        <f t="shared" si="15"/>
        <v>-0.19821941089738546</v>
      </c>
    </row>
    <row r="39" spans="1:26" s="26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173.21</v>
      </c>
      <c r="E39" s="1"/>
      <c r="F39" s="5">
        <f t="shared" ref="F39:F55" si="16">IF(D$12=0,0,D39/D$12)</f>
        <v>0</v>
      </c>
      <c r="G39" s="1"/>
      <c r="H39" s="1">
        <f>SUM(OSRRefH22_2x_0)</f>
        <v>-5570.04</v>
      </c>
      <c r="I39" s="1"/>
      <c r="J39" s="5">
        <f t="shared" ref="J39:J55" si="17">IF(H$12=0,0,H39/H$12)</f>
        <v>0</v>
      </c>
      <c r="K39" s="1"/>
      <c r="L39" s="1">
        <f t="shared" ref="L39:L55" si="18">+D39-H39</f>
        <v>5743.25</v>
      </c>
      <c r="M39" s="1"/>
      <c r="N39" s="5">
        <f t="shared" ref="N39:N55" si="19">IF(H39=0,0,L39/H39)</f>
        <v>-1.0310967246195719</v>
      </c>
      <c r="O39" s="13"/>
      <c r="P39" s="1">
        <f>SUM(OSRRefP22_2x_0)</f>
        <v>759.64</v>
      </c>
      <c r="Q39" s="1"/>
      <c r="R39" s="5">
        <f t="shared" ref="R39:R55" si="20">IF(P$12=0,0,P39/P$12)</f>
        <v>0</v>
      </c>
      <c r="S39" s="1"/>
      <c r="T39" s="1">
        <f>SUM(OSRRefT22_2x_0)</f>
        <v>-17866.809999999998</v>
      </c>
      <c r="U39" s="1"/>
      <c r="V39" s="5">
        <f t="shared" ref="V39:V55" si="21">IF(T$12=0,0,T39/T$12)</f>
        <v>0</v>
      </c>
      <c r="W39" s="1"/>
      <c r="X39" s="1">
        <f t="shared" ref="X39:X55" si="22">+P39-T39</f>
        <v>18626.449999999997</v>
      </c>
      <c r="Y39" s="1"/>
      <c r="Z39" s="5">
        <f t="shared" ref="Z39:Z55" si="23">IF(T39=0,0,X39/T39)</f>
        <v>-1.0425168230926505</v>
      </c>
    </row>
    <row r="40" spans="1:26" s="24" customFormat="1" hidden="1" outlineLevel="2" x14ac:dyDescent="0.25">
      <c r="A40" s="25"/>
      <c r="B40" s="11" t="str">
        <f>CONCATENATE("          ", "6362", " - ", "ADVERTISING EXPENSE")</f>
        <v xml:space="preserve">          6362 - ADVERTISING EXPENSE</v>
      </c>
      <c r="C40" s="11"/>
      <c r="D40" s="6">
        <v>173.21</v>
      </c>
      <c r="E40" s="2"/>
      <c r="F40" s="7">
        <f t="shared" si="16"/>
        <v>0</v>
      </c>
      <c r="G40" s="2"/>
      <c r="H40" s="6">
        <v>-5570.04</v>
      </c>
      <c r="I40" s="2"/>
      <c r="J40" s="7">
        <f t="shared" si="17"/>
        <v>0</v>
      </c>
      <c r="K40" s="2"/>
      <c r="L40" s="6">
        <f t="shared" si="18"/>
        <v>5743.25</v>
      </c>
      <c r="M40" s="2"/>
      <c r="N40" s="7">
        <f t="shared" si="19"/>
        <v>-1.0310967246195719</v>
      </c>
      <c r="O40" s="11"/>
      <c r="P40" s="6">
        <v>759.64</v>
      </c>
      <c r="Q40" s="2"/>
      <c r="R40" s="7">
        <f t="shared" si="20"/>
        <v>0</v>
      </c>
      <c r="S40" s="2"/>
      <c r="T40" s="6">
        <v>-17866.809999999998</v>
      </c>
      <c r="U40" s="2"/>
      <c r="V40" s="7">
        <f t="shared" si="21"/>
        <v>0</v>
      </c>
      <c r="W40" s="2"/>
      <c r="X40" s="6">
        <f t="shared" si="22"/>
        <v>18626.449999999997</v>
      </c>
      <c r="Y40" s="2"/>
      <c r="Z40" s="7">
        <f t="shared" si="23"/>
        <v>-1.0425168230926505</v>
      </c>
    </row>
    <row r="41" spans="1:26" s="26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SUM(OSRRefD22_3x_0)</f>
        <v>-13.34</v>
      </c>
      <c r="E41" s="1"/>
      <c r="F41" s="5">
        <f t="shared" si="16"/>
        <v>0</v>
      </c>
      <c r="G41" s="1"/>
      <c r="H41" s="1">
        <f>SUM(OSRRefH22_3x_0)</f>
        <v>1830.56</v>
      </c>
      <c r="I41" s="1"/>
      <c r="J41" s="5">
        <f t="shared" si="17"/>
        <v>0</v>
      </c>
      <c r="K41" s="1"/>
      <c r="L41" s="1">
        <f t="shared" si="18"/>
        <v>-1843.8999999999999</v>
      </c>
      <c r="M41" s="1"/>
      <c r="N41" s="5">
        <f t="shared" si="19"/>
        <v>-1.0072873874661306</v>
      </c>
      <c r="O41" s="13"/>
      <c r="P41" s="1">
        <f>SUM(OSRRefP22_3x_0)</f>
        <v>2897.58</v>
      </c>
      <c r="Q41" s="1"/>
      <c r="R41" s="5">
        <f t="shared" si="20"/>
        <v>0</v>
      </c>
      <c r="S41" s="1"/>
      <c r="T41" s="1">
        <f>SUM(OSRRefT22_3x_0)</f>
        <v>22756.720000000001</v>
      </c>
      <c r="U41" s="1"/>
      <c r="V41" s="5">
        <f t="shared" si="21"/>
        <v>0</v>
      </c>
      <c r="W41" s="1"/>
      <c r="X41" s="1">
        <f t="shared" si="22"/>
        <v>-19859.14</v>
      </c>
      <c r="Y41" s="1"/>
      <c r="Z41" s="5">
        <f t="shared" si="23"/>
        <v>-0.87267145704653393</v>
      </c>
    </row>
    <row r="42" spans="1:26" s="24" customFormat="1" hidden="1" outlineLevel="2" x14ac:dyDescent="0.25">
      <c r="A42" s="25"/>
      <c r="B42" s="11" t="str">
        <f>CONCATENATE("          ", "6381", " - ", "BANK/CREDIT CARD FEES")</f>
        <v xml:space="preserve">          6381 - BANK/CREDIT CARD FEES</v>
      </c>
      <c r="C42" s="11"/>
      <c r="D42" s="6">
        <v>-13.34</v>
      </c>
      <c r="E42" s="2"/>
      <c r="F42" s="7">
        <f t="shared" si="16"/>
        <v>0</v>
      </c>
      <c r="G42" s="2"/>
      <c r="H42" s="6">
        <v>1830.56</v>
      </c>
      <c r="I42" s="2"/>
      <c r="J42" s="7">
        <f t="shared" si="17"/>
        <v>0</v>
      </c>
      <c r="K42" s="2"/>
      <c r="L42" s="6">
        <f t="shared" si="18"/>
        <v>-1843.8999999999999</v>
      </c>
      <c r="M42" s="2"/>
      <c r="N42" s="7">
        <f t="shared" si="19"/>
        <v>-1.0072873874661306</v>
      </c>
      <c r="O42" s="11"/>
      <c r="P42" s="6">
        <v>2897.58</v>
      </c>
      <c r="Q42" s="2"/>
      <c r="R42" s="7">
        <f t="shared" si="20"/>
        <v>0</v>
      </c>
      <c r="S42" s="2"/>
      <c r="T42" s="6">
        <v>22756.720000000001</v>
      </c>
      <c r="U42" s="2"/>
      <c r="V42" s="7">
        <f t="shared" si="21"/>
        <v>0</v>
      </c>
      <c r="W42" s="2"/>
      <c r="X42" s="6">
        <f t="shared" si="22"/>
        <v>-19859.14</v>
      </c>
      <c r="Y42" s="2"/>
      <c r="Z42" s="7">
        <f t="shared" si="23"/>
        <v>-0.87267145704653393</v>
      </c>
    </row>
    <row r="43" spans="1:26" s="26" customFormat="1" outlineLevel="1" collapsed="1" x14ac:dyDescent="0.25">
      <c r="A43" s="27"/>
      <c r="B43" s="13" t="str">
        <f>CONCATENATE("     ","Board                                             ")</f>
        <v xml:space="preserve">     Board                                             </v>
      </c>
      <c r="C43" s="13"/>
      <c r="D43" s="1">
        <f>SUM(OSRRefD22_4x_0)</f>
        <v>601.16</v>
      </c>
      <c r="E43" s="1"/>
      <c r="F43" s="5">
        <f t="shared" si="16"/>
        <v>0</v>
      </c>
      <c r="G43" s="1"/>
      <c r="H43" s="1">
        <f>SUM(OSRRefH22_4x_0)</f>
        <v>2318.88</v>
      </c>
      <c r="I43" s="1"/>
      <c r="J43" s="5">
        <f t="shared" si="17"/>
        <v>0</v>
      </c>
      <c r="K43" s="1"/>
      <c r="L43" s="1">
        <f t="shared" si="18"/>
        <v>-1717.7200000000003</v>
      </c>
      <c r="M43" s="1"/>
      <c r="N43" s="5">
        <f t="shared" si="19"/>
        <v>-0.74075415717932802</v>
      </c>
      <c r="O43" s="13"/>
      <c r="P43" s="1">
        <f>SUM(OSRRefP22_4x_0)</f>
        <v>7122.17</v>
      </c>
      <c r="Q43" s="1"/>
      <c r="R43" s="5">
        <f t="shared" si="20"/>
        <v>0</v>
      </c>
      <c r="S43" s="1"/>
      <c r="T43" s="1">
        <f>SUM(OSRRefT22_4x_0)</f>
        <v>14165.11</v>
      </c>
      <c r="U43" s="1"/>
      <c r="V43" s="5">
        <f t="shared" si="21"/>
        <v>0</v>
      </c>
      <c r="W43" s="1"/>
      <c r="X43" s="1">
        <f t="shared" si="22"/>
        <v>-7042.9400000000005</v>
      </c>
      <c r="Y43" s="1"/>
      <c r="Z43" s="5">
        <f t="shared" si="23"/>
        <v>-0.49720333975521547</v>
      </c>
    </row>
    <row r="44" spans="1:26" s="24" customFormat="1" hidden="1" outlineLevel="2" x14ac:dyDescent="0.25">
      <c r="A44" s="25"/>
      <c r="B44" s="11" t="str">
        <f>CONCATENATE("          ", "6397", " - ", "BOARD EXPENSES")</f>
        <v xml:space="preserve">          6397 - BOARD EXPENSES</v>
      </c>
      <c r="C44" s="11"/>
      <c r="D44" s="6">
        <v>601.16</v>
      </c>
      <c r="E44" s="2"/>
      <c r="F44" s="7">
        <f t="shared" si="16"/>
        <v>0</v>
      </c>
      <c r="G44" s="2"/>
      <c r="H44" s="6">
        <v>2318.88</v>
      </c>
      <c r="I44" s="2"/>
      <c r="J44" s="7">
        <f t="shared" si="17"/>
        <v>0</v>
      </c>
      <c r="K44" s="2"/>
      <c r="L44" s="6">
        <f t="shared" si="18"/>
        <v>-1717.7200000000003</v>
      </c>
      <c r="M44" s="2"/>
      <c r="N44" s="7">
        <f t="shared" si="19"/>
        <v>-0.74075415717932802</v>
      </c>
      <c r="O44" s="11"/>
      <c r="P44" s="6">
        <v>7122.17</v>
      </c>
      <c r="Q44" s="2"/>
      <c r="R44" s="7">
        <f t="shared" si="20"/>
        <v>0</v>
      </c>
      <c r="S44" s="2"/>
      <c r="T44" s="6">
        <v>14165.11</v>
      </c>
      <c r="U44" s="2"/>
      <c r="V44" s="7">
        <f t="shared" si="21"/>
        <v>0</v>
      </c>
      <c r="W44" s="2"/>
      <c r="X44" s="6">
        <f t="shared" si="22"/>
        <v>-7042.9400000000005</v>
      </c>
      <c r="Y44" s="2"/>
      <c r="Z44" s="7">
        <f t="shared" si="23"/>
        <v>-0.49720333975521547</v>
      </c>
    </row>
    <row r="45" spans="1:26" s="26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7222.15</v>
      </c>
      <c r="E45" s="1"/>
      <c r="F45" s="5">
        <f t="shared" si="16"/>
        <v>0</v>
      </c>
      <c r="G45" s="1"/>
      <c r="H45" s="1">
        <f>SUM(OSRRefH22_5x_0)</f>
        <v>8599.93</v>
      </c>
      <c r="I45" s="1"/>
      <c r="J45" s="5">
        <f t="shared" si="17"/>
        <v>0</v>
      </c>
      <c r="K45" s="1"/>
      <c r="L45" s="1">
        <f t="shared" si="18"/>
        <v>-1377.7800000000007</v>
      </c>
      <c r="M45" s="1"/>
      <c r="N45" s="5">
        <f t="shared" si="19"/>
        <v>-0.16020828076507607</v>
      </c>
      <c r="O45" s="13"/>
      <c r="P45" s="1">
        <f>SUM(OSRRefP22_5x_0)</f>
        <v>37265.769999999997</v>
      </c>
      <c r="Q45" s="1"/>
      <c r="R45" s="5">
        <f t="shared" si="20"/>
        <v>0</v>
      </c>
      <c r="S45" s="1"/>
      <c r="T45" s="1">
        <f>SUM(OSRRefT22_5x_0)</f>
        <v>42999.65</v>
      </c>
      <c r="U45" s="1"/>
      <c r="V45" s="5">
        <f t="shared" si="21"/>
        <v>0</v>
      </c>
      <c r="W45" s="1"/>
      <c r="X45" s="1">
        <f t="shared" si="22"/>
        <v>-5733.8800000000047</v>
      </c>
      <c r="Y45" s="1"/>
      <c r="Z45" s="5">
        <f t="shared" si="23"/>
        <v>-0.13334713189525971</v>
      </c>
    </row>
    <row r="46" spans="1:26" s="24" customFormat="1" hidden="1" outlineLevel="2" x14ac:dyDescent="0.25">
      <c r="A46" s="25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7222.15</v>
      </c>
      <c r="E46" s="2"/>
      <c r="F46" s="7">
        <f t="shared" si="16"/>
        <v>0</v>
      </c>
      <c r="G46" s="2"/>
      <c r="H46" s="6">
        <v>8599.93</v>
      </c>
      <c r="I46" s="2"/>
      <c r="J46" s="7">
        <f t="shared" si="17"/>
        <v>0</v>
      </c>
      <c r="K46" s="2"/>
      <c r="L46" s="6">
        <f t="shared" si="18"/>
        <v>-1377.7800000000007</v>
      </c>
      <c r="M46" s="2"/>
      <c r="N46" s="7">
        <f t="shared" si="19"/>
        <v>-0.16020828076507607</v>
      </c>
      <c r="O46" s="11"/>
      <c r="P46" s="6">
        <v>37265.769999999997</v>
      </c>
      <c r="Q46" s="2"/>
      <c r="R46" s="7">
        <f t="shared" si="20"/>
        <v>0</v>
      </c>
      <c r="S46" s="2"/>
      <c r="T46" s="6">
        <v>42999.65</v>
      </c>
      <c r="U46" s="2"/>
      <c r="V46" s="7">
        <f t="shared" si="21"/>
        <v>0</v>
      </c>
      <c r="W46" s="2"/>
      <c r="X46" s="6">
        <f t="shared" si="22"/>
        <v>-5733.8800000000047</v>
      </c>
      <c r="Y46" s="2"/>
      <c r="Z46" s="7">
        <f t="shared" si="23"/>
        <v>-0.13334713189525971</v>
      </c>
    </row>
    <row r="47" spans="1:26" s="26" customFormat="1" outlineLevel="1" collapsed="1" x14ac:dyDescent="0.25">
      <c r="A47" s="27"/>
      <c r="B47" s="13" t="str">
        <f>CONCATENATE("     ","Donations                                         ")</f>
        <v xml:space="preserve">     Donations                                         </v>
      </c>
      <c r="C47" s="13"/>
      <c r="D47" s="1">
        <f>SUM(OSRRefD22_6x_0)</f>
        <v>0</v>
      </c>
      <c r="E47" s="1"/>
      <c r="F47" s="5">
        <f t="shared" si="16"/>
        <v>0</v>
      </c>
      <c r="G47" s="1"/>
      <c r="H47" s="1">
        <f>SUM(OSRRefH22_6x_0)</f>
        <v>98765.54</v>
      </c>
      <c r="I47" s="1"/>
      <c r="J47" s="5">
        <f t="shared" si="17"/>
        <v>0</v>
      </c>
      <c r="K47" s="1"/>
      <c r="L47" s="1">
        <f t="shared" si="18"/>
        <v>-98765.54</v>
      </c>
      <c r="M47" s="1"/>
      <c r="N47" s="5">
        <f t="shared" si="19"/>
        <v>-1</v>
      </c>
      <c r="O47" s="13"/>
      <c r="P47" s="1">
        <f>SUM(OSRRefP22_6x_0)</f>
        <v>25000</v>
      </c>
      <c r="Q47" s="1"/>
      <c r="R47" s="5">
        <f t="shared" si="20"/>
        <v>0</v>
      </c>
      <c r="S47" s="1"/>
      <c r="T47" s="1">
        <f>SUM(OSRRefT22_6x_0)</f>
        <v>243142.79</v>
      </c>
      <c r="U47" s="1"/>
      <c r="V47" s="5">
        <f t="shared" si="21"/>
        <v>0</v>
      </c>
      <c r="W47" s="1"/>
      <c r="X47" s="1">
        <f t="shared" si="22"/>
        <v>-218142.79</v>
      </c>
      <c r="Y47" s="1"/>
      <c r="Z47" s="5">
        <f t="shared" si="23"/>
        <v>-0.89717976009076805</v>
      </c>
    </row>
    <row r="48" spans="1:26" s="24" customFormat="1" hidden="1" outlineLevel="2" x14ac:dyDescent="0.25">
      <c r="A48" s="25"/>
      <c r="B48" s="11" t="str">
        <f>CONCATENATE("          ", "6399", " - ", "DONATION-ON CAMPUS")</f>
        <v xml:space="preserve">          6399 - DONATION-ON CAMPUS</v>
      </c>
      <c r="C48" s="11"/>
      <c r="D48" s="6"/>
      <c r="E48" s="2"/>
      <c r="F48" s="7">
        <f t="shared" si="16"/>
        <v>0</v>
      </c>
      <c r="G48" s="2"/>
      <c r="H48" s="6">
        <v>98765.54</v>
      </c>
      <c r="I48" s="2"/>
      <c r="J48" s="7">
        <f t="shared" si="17"/>
        <v>0</v>
      </c>
      <c r="K48" s="2"/>
      <c r="L48" s="6">
        <f t="shared" si="18"/>
        <v>-98765.54</v>
      </c>
      <c r="M48" s="2"/>
      <c r="N48" s="7">
        <f t="shared" si="19"/>
        <v>-1</v>
      </c>
      <c r="O48" s="11"/>
      <c r="P48" s="6">
        <v>25000</v>
      </c>
      <c r="Q48" s="2"/>
      <c r="R48" s="7">
        <f t="shared" si="20"/>
        <v>0</v>
      </c>
      <c r="S48" s="2"/>
      <c r="T48" s="6">
        <v>243142.79</v>
      </c>
      <c r="U48" s="2"/>
      <c r="V48" s="7">
        <f t="shared" si="21"/>
        <v>0</v>
      </c>
      <c r="W48" s="2"/>
      <c r="X48" s="6">
        <f t="shared" si="22"/>
        <v>-218142.79</v>
      </c>
      <c r="Y48" s="2"/>
      <c r="Z48" s="7">
        <f t="shared" si="23"/>
        <v>-0.89717976009076805</v>
      </c>
    </row>
    <row r="49" spans="1:26" s="26" customFormat="1" outlineLevel="1" collapsed="1" x14ac:dyDescent="0.25">
      <c r="A49" s="27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SUM(OSRRefD22_7x_0)</f>
        <v>0</v>
      </c>
      <c r="E49" s="1"/>
      <c r="F49" s="5">
        <f t="shared" si="16"/>
        <v>0</v>
      </c>
      <c r="G49" s="1"/>
      <c r="H49" s="1">
        <f>SUM(OSRRefH22_7x_0)</f>
        <v>330</v>
      </c>
      <c r="I49" s="1"/>
      <c r="J49" s="5">
        <f t="shared" si="17"/>
        <v>0</v>
      </c>
      <c r="K49" s="1"/>
      <c r="L49" s="1">
        <f t="shared" si="18"/>
        <v>-330</v>
      </c>
      <c r="M49" s="1"/>
      <c r="N49" s="5">
        <f t="shared" si="19"/>
        <v>-1</v>
      </c>
      <c r="O49" s="13"/>
      <c r="P49" s="1">
        <f>SUM(OSRRefP22_7x_0)</f>
        <v>81.56</v>
      </c>
      <c r="Q49" s="1"/>
      <c r="R49" s="5">
        <f t="shared" si="20"/>
        <v>0</v>
      </c>
      <c r="S49" s="1"/>
      <c r="T49" s="1">
        <f>SUM(OSRRefT22_7x_0)</f>
        <v>12159.12</v>
      </c>
      <c r="U49" s="1"/>
      <c r="V49" s="5">
        <f t="shared" si="21"/>
        <v>0</v>
      </c>
      <c r="W49" s="1"/>
      <c r="X49" s="1">
        <f t="shared" si="22"/>
        <v>-12077.560000000001</v>
      </c>
      <c r="Y49" s="1"/>
      <c r="Z49" s="5">
        <f t="shared" si="23"/>
        <v>-0.99329227773062534</v>
      </c>
    </row>
    <row r="50" spans="1:26" s="24" customFormat="1" hidden="1" outlineLevel="2" x14ac:dyDescent="0.25">
      <c r="A50" s="25"/>
      <c r="B50" s="11" t="str">
        <f>CONCATENATE("          ", "6277", " - ", "EMPLOYEE APPRECIATION")</f>
        <v xml:space="preserve">          6277 - EMPLOYEE APPRECIATION</v>
      </c>
      <c r="C50" s="11"/>
      <c r="D50" s="6"/>
      <c r="E50" s="2"/>
      <c r="F50" s="7">
        <f t="shared" si="16"/>
        <v>0</v>
      </c>
      <c r="G50" s="2"/>
      <c r="H50" s="6">
        <v>330</v>
      </c>
      <c r="I50" s="2"/>
      <c r="J50" s="7">
        <f t="shared" si="17"/>
        <v>0</v>
      </c>
      <c r="K50" s="2"/>
      <c r="L50" s="6">
        <f t="shared" si="18"/>
        <v>-330</v>
      </c>
      <c r="M50" s="2"/>
      <c r="N50" s="7">
        <f t="shared" si="19"/>
        <v>-1</v>
      </c>
      <c r="O50" s="11"/>
      <c r="P50" s="6">
        <v>81.56</v>
      </c>
      <c r="Q50" s="2"/>
      <c r="R50" s="7">
        <f t="shared" si="20"/>
        <v>0</v>
      </c>
      <c r="S50" s="2"/>
      <c r="T50" s="6">
        <v>12159.12</v>
      </c>
      <c r="U50" s="2"/>
      <c r="V50" s="7">
        <f t="shared" si="21"/>
        <v>0</v>
      </c>
      <c r="W50" s="2"/>
      <c r="X50" s="6">
        <f t="shared" si="22"/>
        <v>-12077.560000000001</v>
      </c>
      <c r="Y50" s="2"/>
      <c r="Z50" s="7">
        <f t="shared" si="23"/>
        <v>-0.99329227773062534</v>
      </c>
    </row>
    <row r="51" spans="1:26" s="26" customFormat="1" outlineLevel="1" collapsed="1" x14ac:dyDescent="0.25">
      <c r="A51" s="27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SUM(OSRRefD22_8x_0)</f>
        <v>208.97</v>
      </c>
      <c r="E51" s="1"/>
      <c r="F51" s="5">
        <f t="shared" si="16"/>
        <v>0</v>
      </c>
      <c r="G51" s="1"/>
      <c r="H51" s="1">
        <f>SUM(OSRRefH22_8x_0)</f>
        <v>208.98</v>
      </c>
      <c r="I51" s="1"/>
      <c r="J51" s="5">
        <f t="shared" si="17"/>
        <v>0</v>
      </c>
      <c r="K51" s="1"/>
      <c r="L51" s="1">
        <f t="shared" si="18"/>
        <v>-9.9999999999909051E-3</v>
      </c>
      <c r="M51" s="1"/>
      <c r="N51" s="5">
        <f t="shared" si="19"/>
        <v>-4.7851469040056015E-5</v>
      </c>
      <c r="O51" s="13"/>
      <c r="P51" s="1">
        <f>SUM(OSRRefP22_8x_0)</f>
        <v>1044.8499999999999</v>
      </c>
      <c r="Q51" s="1"/>
      <c r="R51" s="5">
        <f t="shared" si="20"/>
        <v>0</v>
      </c>
      <c r="S51" s="1"/>
      <c r="T51" s="1">
        <f>SUM(OSRRefT22_8x_0)</f>
        <v>1527.66</v>
      </c>
      <c r="U51" s="1"/>
      <c r="V51" s="5">
        <f t="shared" si="21"/>
        <v>0</v>
      </c>
      <c r="W51" s="1"/>
      <c r="X51" s="1">
        <f t="shared" si="22"/>
        <v>-482.81000000000017</v>
      </c>
      <c r="Y51" s="1"/>
      <c r="Z51" s="5">
        <f t="shared" si="23"/>
        <v>-0.31604545514054183</v>
      </c>
    </row>
    <row r="52" spans="1:26" s="24" customFormat="1" hidden="1" outlineLevel="2" x14ac:dyDescent="0.25">
      <c r="A52" s="25"/>
      <c r="B52" s="11" t="str">
        <f>CONCATENATE("          ", "6351", " - ", "EQUIPMENT RENTAL")</f>
        <v xml:space="preserve">          6351 - EQUIPMENT RENTAL</v>
      </c>
      <c r="C52" s="11"/>
      <c r="D52" s="6">
        <v>208.97</v>
      </c>
      <c r="E52" s="2"/>
      <c r="F52" s="7">
        <f t="shared" si="16"/>
        <v>0</v>
      </c>
      <c r="G52" s="2"/>
      <c r="H52" s="6">
        <v>208.98</v>
      </c>
      <c r="I52" s="2"/>
      <c r="J52" s="7">
        <f t="shared" si="17"/>
        <v>0</v>
      </c>
      <c r="K52" s="2"/>
      <c r="L52" s="6">
        <f t="shared" si="18"/>
        <v>-9.9999999999909051E-3</v>
      </c>
      <c r="M52" s="2"/>
      <c r="N52" s="7">
        <f t="shared" si="19"/>
        <v>-4.7851469040056015E-5</v>
      </c>
      <c r="O52" s="11"/>
      <c r="P52" s="6">
        <v>1044.8499999999999</v>
      </c>
      <c r="Q52" s="2"/>
      <c r="R52" s="7">
        <f t="shared" si="20"/>
        <v>0</v>
      </c>
      <c r="S52" s="2"/>
      <c r="T52" s="6">
        <v>1527.66</v>
      </c>
      <c r="U52" s="2"/>
      <c r="V52" s="7">
        <f t="shared" si="21"/>
        <v>0</v>
      </c>
      <c r="W52" s="2"/>
      <c r="X52" s="6">
        <f t="shared" si="22"/>
        <v>-482.81000000000017</v>
      </c>
      <c r="Y52" s="2"/>
      <c r="Z52" s="7">
        <f t="shared" si="23"/>
        <v>-0.31604545514054183</v>
      </c>
    </row>
    <row r="53" spans="1:26" s="26" customFormat="1" outlineLevel="1" collapsed="1" x14ac:dyDescent="0.25">
      <c r="A53" s="27"/>
      <c r="B53" s="13" t="str">
        <f>CONCATENATE("     ","Freight out/Postage                               ")</f>
        <v xml:space="preserve">     Freight out/Postage                               </v>
      </c>
      <c r="C53" s="13"/>
      <c r="D53" s="1">
        <f>SUM(OSRRefD22_9x_0)</f>
        <v>86.7</v>
      </c>
      <c r="E53" s="1"/>
      <c r="F53" s="5">
        <f t="shared" si="16"/>
        <v>0</v>
      </c>
      <c r="G53" s="1"/>
      <c r="H53" s="1">
        <f>SUM(OSRRefH22_9x_0)</f>
        <v>172.5</v>
      </c>
      <c r="I53" s="1"/>
      <c r="J53" s="5">
        <f t="shared" si="17"/>
        <v>0</v>
      </c>
      <c r="K53" s="1"/>
      <c r="L53" s="1">
        <f t="shared" si="18"/>
        <v>-85.8</v>
      </c>
      <c r="M53" s="1"/>
      <c r="N53" s="5">
        <f t="shared" si="19"/>
        <v>-0.49739130434782608</v>
      </c>
      <c r="O53" s="13"/>
      <c r="P53" s="1">
        <f>SUM(OSRRefP22_9x_0)</f>
        <v>683.67</v>
      </c>
      <c r="Q53" s="1"/>
      <c r="R53" s="5">
        <f t="shared" si="20"/>
        <v>0</v>
      </c>
      <c r="S53" s="1"/>
      <c r="T53" s="1">
        <f>SUM(OSRRefT22_9x_0)</f>
        <v>958</v>
      </c>
      <c r="U53" s="1"/>
      <c r="V53" s="5">
        <f t="shared" si="21"/>
        <v>0</v>
      </c>
      <c r="W53" s="1"/>
      <c r="X53" s="1">
        <f t="shared" si="22"/>
        <v>-274.33000000000004</v>
      </c>
      <c r="Y53" s="1"/>
      <c r="Z53" s="5">
        <f t="shared" si="23"/>
        <v>-0.286356993736952</v>
      </c>
    </row>
    <row r="54" spans="1:26" s="24" customFormat="1" hidden="1" outlineLevel="2" x14ac:dyDescent="0.25">
      <c r="A54" s="25"/>
      <c r="B54" s="11" t="str">
        <f>CONCATENATE("          ", "6305", " - ", "FREIGHT OUT")</f>
        <v xml:space="preserve">          6305 - FREIGHT OUT</v>
      </c>
      <c r="C54" s="11"/>
      <c r="D54" s="6"/>
      <c r="E54" s="2"/>
      <c r="F54" s="7">
        <f t="shared" si="16"/>
        <v>0</v>
      </c>
      <c r="G54" s="2"/>
      <c r="H54" s="6"/>
      <c r="I54" s="2"/>
      <c r="J54" s="7">
        <f t="shared" si="17"/>
        <v>0</v>
      </c>
      <c r="K54" s="2"/>
      <c r="L54" s="6">
        <f t="shared" si="18"/>
        <v>0</v>
      </c>
      <c r="M54" s="2"/>
      <c r="N54" s="7">
        <f t="shared" si="19"/>
        <v>0</v>
      </c>
      <c r="O54" s="11"/>
      <c r="P54" s="6">
        <v>5.41</v>
      </c>
      <c r="Q54" s="2"/>
      <c r="R54" s="7">
        <f t="shared" si="20"/>
        <v>0</v>
      </c>
      <c r="S54" s="2"/>
      <c r="T54" s="6"/>
      <c r="U54" s="2"/>
      <c r="V54" s="7">
        <f t="shared" si="21"/>
        <v>0</v>
      </c>
      <c r="W54" s="2"/>
      <c r="X54" s="6">
        <f t="shared" si="22"/>
        <v>5.41</v>
      </c>
      <c r="Y54" s="2"/>
      <c r="Z54" s="7">
        <f t="shared" si="23"/>
        <v>0</v>
      </c>
    </row>
    <row r="55" spans="1:26" s="24" customFormat="1" hidden="1" outlineLevel="2" x14ac:dyDescent="0.25">
      <c r="A55" s="25"/>
      <c r="B55" s="11" t="str">
        <f>CONCATENATE("          ", "6307", " - ", "POSTAGE")</f>
        <v xml:space="preserve">          6307 - POSTAGE</v>
      </c>
      <c r="C55" s="11"/>
      <c r="D55" s="6">
        <v>86.7</v>
      </c>
      <c r="E55" s="2"/>
      <c r="F55" s="7">
        <f t="shared" si="16"/>
        <v>0</v>
      </c>
      <c r="G55" s="2"/>
      <c r="H55" s="6">
        <v>172.5</v>
      </c>
      <c r="I55" s="2"/>
      <c r="J55" s="7">
        <f t="shared" si="17"/>
        <v>0</v>
      </c>
      <c r="K55" s="2"/>
      <c r="L55" s="6">
        <f t="shared" si="18"/>
        <v>-85.8</v>
      </c>
      <c r="M55" s="2"/>
      <c r="N55" s="7">
        <f t="shared" si="19"/>
        <v>-0.49739130434782608</v>
      </c>
      <c r="O55" s="11"/>
      <c r="P55" s="6">
        <v>678.26</v>
      </c>
      <c r="Q55" s="2"/>
      <c r="R55" s="7">
        <f t="shared" si="20"/>
        <v>0</v>
      </c>
      <c r="S55" s="2"/>
      <c r="T55" s="6">
        <v>958</v>
      </c>
      <c r="U55" s="2"/>
      <c r="V55" s="7">
        <f t="shared" si="21"/>
        <v>0</v>
      </c>
      <c r="W55" s="2"/>
      <c r="X55" s="6">
        <f t="shared" si="22"/>
        <v>-279.74</v>
      </c>
      <c r="Y55" s="2"/>
      <c r="Z55" s="7">
        <f t="shared" si="23"/>
        <v>-0.29200417536534445</v>
      </c>
    </row>
    <row r="56" spans="1:26" s="26" customFormat="1" outlineLevel="1" collapsed="1" x14ac:dyDescent="0.25">
      <c r="A56" s="27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SUM(OSRRefD22_10x_0)</f>
        <v>0</v>
      </c>
      <c r="E56" s="1"/>
      <c r="F56" s="5">
        <f t="shared" ref="F56:F64" si="24">IF(D$12=0,0,D56/D$12)</f>
        <v>0</v>
      </c>
      <c r="G56" s="1"/>
      <c r="H56" s="1">
        <f>SUM(OSRRefH22_10x_0)</f>
        <v>-8.7899999999999991</v>
      </c>
      <c r="I56" s="1"/>
      <c r="J56" s="5">
        <f t="shared" ref="J56:J64" si="25">IF(H$12=0,0,H56/H$12)</f>
        <v>0</v>
      </c>
      <c r="K56" s="1"/>
      <c r="L56" s="1">
        <f t="shared" ref="L56:L64" si="26">+D56-H56</f>
        <v>8.7899999999999991</v>
      </c>
      <c r="M56" s="1"/>
      <c r="N56" s="5">
        <f t="shared" ref="N56:N64" si="27">IF(H56=0,0,L56/H56)</f>
        <v>-1</v>
      </c>
      <c r="O56" s="13"/>
      <c r="P56" s="1">
        <f>SUM(OSRRefP22_10x_0)</f>
        <v>166.54</v>
      </c>
      <c r="Q56" s="1"/>
      <c r="R56" s="5">
        <f t="shared" ref="R56:R64" si="28">IF(P$12=0,0,P56/P$12)</f>
        <v>0</v>
      </c>
      <c r="S56" s="1"/>
      <c r="T56" s="1">
        <f>SUM(OSRRefT22_10x_0)</f>
        <v>12571.35</v>
      </c>
      <c r="U56" s="1"/>
      <c r="V56" s="5">
        <f t="shared" ref="V56:V64" si="29">IF(T$12=0,0,T56/T$12)</f>
        <v>0</v>
      </c>
      <c r="W56" s="1"/>
      <c r="X56" s="1">
        <f t="shared" ref="X56:X64" si="30">+P56-T56</f>
        <v>-12404.81</v>
      </c>
      <c r="Y56" s="1"/>
      <c r="Z56" s="5">
        <f t="shared" ref="Z56:Z64" si="31">IF(T56=0,0,X56/T56)</f>
        <v>-0.98675241720260742</v>
      </c>
    </row>
    <row r="57" spans="1:26" s="24" customFormat="1" hidden="1" outlineLevel="2" x14ac:dyDescent="0.25">
      <c r="A57" s="25"/>
      <c r="B57" s="11" t="str">
        <f>CONCATENATE("          ", "6279", " - ", "GENERAL EXPENSE")</f>
        <v xml:space="preserve">          6279 - GENERAL EXPENSE</v>
      </c>
      <c r="C57" s="11"/>
      <c r="D57" s="6"/>
      <c r="E57" s="2"/>
      <c r="F57" s="7">
        <f t="shared" si="24"/>
        <v>0</v>
      </c>
      <c r="G57" s="2"/>
      <c r="H57" s="6">
        <v>-8.7899999999999991</v>
      </c>
      <c r="I57" s="2"/>
      <c r="J57" s="7">
        <f t="shared" si="25"/>
        <v>0</v>
      </c>
      <c r="K57" s="2"/>
      <c r="L57" s="6">
        <f t="shared" si="26"/>
        <v>8.7899999999999991</v>
      </c>
      <c r="M57" s="2"/>
      <c r="N57" s="7">
        <f t="shared" si="27"/>
        <v>-1</v>
      </c>
      <c r="O57" s="11"/>
      <c r="P57" s="6">
        <v>166.54</v>
      </c>
      <c r="Q57" s="2"/>
      <c r="R57" s="7">
        <f t="shared" si="28"/>
        <v>0</v>
      </c>
      <c r="S57" s="2"/>
      <c r="T57" s="6">
        <v>12571.35</v>
      </c>
      <c r="U57" s="2"/>
      <c r="V57" s="7">
        <f t="shared" si="29"/>
        <v>0</v>
      </c>
      <c r="W57" s="2"/>
      <c r="X57" s="6">
        <f t="shared" si="30"/>
        <v>-12404.81</v>
      </c>
      <c r="Y57" s="2"/>
      <c r="Z57" s="7">
        <f t="shared" si="31"/>
        <v>-0.98675241720260742</v>
      </c>
    </row>
    <row r="58" spans="1:26" s="26" customFormat="1" outlineLevel="1" collapsed="1" x14ac:dyDescent="0.25">
      <c r="A58" s="27"/>
      <c r="B58" s="13" t="str">
        <f>CONCATENATE("     ","Insurance                                         ")</f>
        <v xml:space="preserve">     Insurance                                         </v>
      </c>
      <c r="C58" s="13"/>
      <c r="D58" s="1">
        <f>SUM(OSRRefD22_11x_0)</f>
        <v>393.67</v>
      </c>
      <c r="E58" s="1"/>
      <c r="F58" s="5">
        <f t="shared" si="24"/>
        <v>0</v>
      </c>
      <c r="G58" s="1"/>
      <c r="H58" s="1">
        <f>SUM(OSRRefH22_11x_0)</f>
        <v>393.67</v>
      </c>
      <c r="I58" s="1"/>
      <c r="J58" s="5">
        <f t="shared" si="25"/>
        <v>0</v>
      </c>
      <c r="K58" s="1"/>
      <c r="L58" s="1">
        <f t="shared" si="26"/>
        <v>0</v>
      </c>
      <c r="M58" s="1"/>
      <c r="N58" s="5">
        <f t="shared" si="27"/>
        <v>0</v>
      </c>
      <c r="O58" s="13"/>
      <c r="P58" s="1">
        <f>SUM(OSRRefP22_11x_0)</f>
        <v>1968.35</v>
      </c>
      <c r="Q58" s="1"/>
      <c r="R58" s="5">
        <f t="shared" si="28"/>
        <v>0</v>
      </c>
      <c r="S58" s="1"/>
      <c r="T58" s="1">
        <f>SUM(OSRRefT22_11x_0)</f>
        <v>1968.35</v>
      </c>
      <c r="U58" s="1"/>
      <c r="V58" s="5">
        <f t="shared" si="29"/>
        <v>0</v>
      </c>
      <c r="W58" s="1"/>
      <c r="X58" s="1">
        <f t="shared" si="30"/>
        <v>0</v>
      </c>
      <c r="Y58" s="1"/>
      <c r="Z58" s="5">
        <f t="shared" si="31"/>
        <v>0</v>
      </c>
    </row>
    <row r="59" spans="1:26" s="24" customFormat="1" hidden="1" outlineLevel="2" x14ac:dyDescent="0.25">
      <c r="A59" s="25"/>
      <c r="B59" s="11" t="str">
        <f>CONCATENATE("          ", "6314", " - ", "LIABILITY INSURANCE")</f>
        <v xml:space="preserve">          6314 - LIABILITY INSURANCE</v>
      </c>
      <c r="C59" s="11"/>
      <c r="D59" s="6">
        <v>393.67</v>
      </c>
      <c r="E59" s="2"/>
      <c r="F59" s="7">
        <f t="shared" si="24"/>
        <v>0</v>
      </c>
      <c r="G59" s="2"/>
      <c r="H59" s="6">
        <v>393.67</v>
      </c>
      <c r="I59" s="2"/>
      <c r="J59" s="7">
        <f t="shared" si="25"/>
        <v>0</v>
      </c>
      <c r="K59" s="2"/>
      <c r="L59" s="6">
        <f t="shared" si="26"/>
        <v>0</v>
      </c>
      <c r="M59" s="2"/>
      <c r="N59" s="7">
        <f t="shared" si="27"/>
        <v>0</v>
      </c>
      <c r="O59" s="11"/>
      <c r="P59" s="6">
        <v>1968.35</v>
      </c>
      <c r="Q59" s="2"/>
      <c r="R59" s="7">
        <f t="shared" si="28"/>
        <v>0</v>
      </c>
      <c r="S59" s="2"/>
      <c r="T59" s="6">
        <v>1968.35</v>
      </c>
      <c r="U59" s="2"/>
      <c r="V59" s="7">
        <f t="shared" si="29"/>
        <v>0</v>
      </c>
      <c r="W59" s="2"/>
      <c r="X59" s="6">
        <f t="shared" si="30"/>
        <v>0</v>
      </c>
      <c r="Y59" s="2"/>
      <c r="Z59" s="7">
        <f t="shared" si="31"/>
        <v>0</v>
      </c>
    </row>
    <row r="60" spans="1:26" s="26" customFormat="1" outlineLevel="1" collapsed="1" x14ac:dyDescent="0.25">
      <c r="A60" s="27"/>
      <c r="B60" s="13" t="str">
        <f>CONCATENATE("     ","Professional Services                             ")</f>
        <v xml:space="preserve">     Professional Services                             </v>
      </c>
      <c r="C60" s="13"/>
      <c r="D60" s="1">
        <f>SUM(OSRRefD22_12x_0)</f>
        <v>11115.750000000002</v>
      </c>
      <c r="E60" s="1"/>
      <c r="F60" s="5">
        <f t="shared" si="24"/>
        <v>0</v>
      </c>
      <c r="G60" s="1"/>
      <c r="H60" s="1">
        <f>SUM(OSRRefH22_12x_0)</f>
        <v>19180.91</v>
      </c>
      <c r="I60" s="1"/>
      <c r="J60" s="5">
        <f t="shared" si="25"/>
        <v>0</v>
      </c>
      <c r="K60" s="1"/>
      <c r="L60" s="1">
        <f t="shared" si="26"/>
        <v>-8065.159999999998</v>
      </c>
      <c r="M60" s="1"/>
      <c r="N60" s="5">
        <f t="shared" si="27"/>
        <v>-0.42047848616150107</v>
      </c>
      <c r="O60" s="13"/>
      <c r="P60" s="1">
        <f>SUM(OSRRefP22_12x_0)</f>
        <v>64888.46</v>
      </c>
      <c r="Q60" s="1"/>
      <c r="R60" s="5">
        <f t="shared" si="28"/>
        <v>0</v>
      </c>
      <c r="S60" s="1"/>
      <c r="T60" s="1">
        <f>SUM(OSRRefT22_12x_0)</f>
        <v>143791.83000000002</v>
      </c>
      <c r="U60" s="1"/>
      <c r="V60" s="5">
        <f t="shared" si="29"/>
        <v>0</v>
      </c>
      <c r="W60" s="1"/>
      <c r="X60" s="1">
        <f t="shared" si="30"/>
        <v>-78903.370000000024</v>
      </c>
      <c r="Y60" s="1"/>
      <c r="Z60" s="5">
        <f t="shared" si="31"/>
        <v>-0.54873333206761477</v>
      </c>
    </row>
    <row r="61" spans="1:26" s="24" customFormat="1" hidden="1" outlineLevel="2" x14ac:dyDescent="0.25">
      <c r="A61" s="25"/>
      <c r="B61" s="11" t="str">
        <f>CONCATENATE("          ", "6331", " - ", "INDIRECT COSTS-AUXILIARY ORGAN")</f>
        <v xml:space="preserve">          6331 - INDIRECT COSTS-AUXILIARY ORGAN</v>
      </c>
      <c r="C61" s="11"/>
      <c r="D61" s="6">
        <v>9725</v>
      </c>
      <c r="E61" s="2"/>
      <c r="F61" s="7">
        <f t="shared" si="24"/>
        <v>0</v>
      </c>
      <c r="G61" s="2"/>
      <c r="H61" s="6">
        <v>18550</v>
      </c>
      <c r="I61" s="2"/>
      <c r="J61" s="7">
        <f t="shared" si="25"/>
        <v>0</v>
      </c>
      <c r="K61" s="2"/>
      <c r="L61" s="6">
        <f t="shared" si="26"/>
        <v>-8825</v>
      </c>
      <c r="M61" s="2"/>
      <c r="N61" s="7">
        <f t="shared" si="27"/>
        <v>-0.47574123989218331</v>
      </c>
      <c r="O61" s="11"/>
      <c r="P61" s="6">
        <v>56396.5</v>
      </c>
      <c r="Q61" s="2"/>
      <c r="R61" s="7">
        <f t="shared" si="28"/>
        <v>0</v>
      </c>
      <c r="S61" s="2"/>
      <c r="T61" s="6">
        <v>68749</v>
      </c>
      <c r="U61" s="2"/>
      <c r="V61" s="7">
        <f t="shared" si="29"/>
        <v>0</v>
      </c>
      <c r="W61" s="2"/>
      <c r="X61" s="6">
        <f t="shared" si="30"/>
        <v>-12352.5</v>
      </c>
      <c r="Y61" s="2"/>
      <c r="Z61" s="7">
        <f t="shared" si="31"/>
        <v>-0.17967534073222882</v>
      </c>
    </row>
    <row r="62" spans="1:26" s="24" customFormat="1" hidden="1" outlineLevel="2" x14ac:dyDescent="0.25">
      <c r="A62" s="25"/>
      <c r="B62" s="11" t="str">
        <f>CONCATENATE("          ", "6332", " - ", "CONSULTANT FEES")</f>
        <v xml:space="preserve">          6332 - CONSULTANT FEES</v>
      </c>
      <c r="C62" s="11"/>
      <c r="D62" s="6"/>
      <c r="E62" s="2"/>
      <c r="F62" s="7">
        <f t="shared" si="24"/>
        <v>0</v>
      </c>
      <c r="G62" s="2"/>
      <c r="H62" s="6"/>
      <c r="I62" s="2"/>
      <c r="J62" s="7">
        <f t="shared" si="25"/>
        <v>0</v>
      </c>
      <c r="K62" s="2"/>
      <c r="L62" s="6">
        <f t="shared" si="26"/>
        <v>0</v>
      </c>
      <c r="M62" s="2"/>
      <c r="N62" s="7">
        <f t="shared" si="27"/>
        <v>0</v>
      </c>
      <c r="O62" s="11"/>
      <c r="P62" s="6"/>
      <c r="Q62" s="2"/>
      <c r="R62" s="7">
        <f t="shared" si="28"/>
        <v>0</v>
      </c>
      <c r="S62" s="2"/>
      <c r="T62" s="6">
        <v>15144.74</v>
      </c>
      <c r="U62" s="2"/>
      <c r="V62" s="7">
        <f t="shared" si="29"/>
        <v>0</v>
      </c>
      <c r="W62" s="2"/>
      <c r="X62" s="6">
        <f t="shared" si="30"/>
        <v>-15144.74</v>
      </c>
      <c r="Y62" s="2"/>
      <c r="Z62" s="7">
        <f t="shared" si="31"/>
        <v>-1</v>
      </c>
    </row>
    <row r="63" spans="1:26" s="24" customFormat="1" hidden="1" outlineLevel="2" x14ac:dyDescent="0.25">
      <c r="A63" s="25"/>
      <c r="B63" s="11" t="str">
        <f>CONCATENATE("          ", "6334", " - ", "LEGAL COUNCIL EXPENSE")</f>
        <v xml:space="preserve">          6334 - LEGAL COUNCIL EXPENSE</v>
      </c>
      <c r="C63" s="11"/>
      <c r="D63" s="6">
        <v>1259.3800000000001</v>
      </c>
      <c r="E63" s="2"/>
      <c r="F63" s="7">
        <f t="shared" si="24"/>
        <v>0</v>
      </c>
      <c r="G63" s="2"/>
      <c r="H63" s="6">
        <v>315</v>
      </c>
      <c r="I63" s="2"/>
      <c r="J63" s="7">
        <f t="shared" si="25"/>
        <v>0</v>
      </c>
      <c r="K63" s="2"/>
      <c r="L63" s="6">
        <f t="shared" si="26"/>
        <v>944.38000000000011</v>
      </c>
      <c r="M63" s="2"/>
      <c r="N63" s="7">
        <f t="shared" si="27"/>
        <v>2.9980317460317463</v>
      </c>
      <c r="O63" s="11"/>
      <c r="P63" s="6">
        <v>4074.38</v>
      </c>
      <c r="Q63" s="2"/>
      <c r="R63" s="7">
        <f t="shared" si="28"/>
        <v>0</v>
      </c>
      <c r="S63" s="2"/>
      <c r="T63" s="6">
        <v>38200</v>
      </c>
      <c r="U63" s="2"/>
      <c r="V63" s="7">
        <f t="shared" si="29"/>
        <v>0</v>
      </c>
      <c r="W63" s="2"/>
      <c r="X63" s="6">
        <f t="shared" si="30"/>
        <v>-34125.620000000003</v>
      </c>
      <c r="Y63" s="2"/>
      <c r="Z63" s="7">
        <f t="shared" si="31"/>
        <v>-0.8933408376963351</v>
      </c>
    </row>
    <row r="64" spans="1:26" s="24" customFormat="1" hidden="1" outlineLevel="2" x14ac:dyDescent="0.25">
      <c r="A64" s="25"/>
      <c r="B64" s="11" t="str">
        <f>CONCATENATE("          ", "6336", " - ", "PROFESSIONAL SERVICES")</f>
        <v xml:space="preserve">          6336 - PROFESSIONAL SERVICES</v>
      </c>
      <c r="C64" s="11"/>
      <c r="D64" s="6">
        <v>131.37</v>
      </c>
      <c r="E64" s="2"/>
      <c r="F64" s="7">
        <f t="shared" si="24"/>
        <v>0</v>
      </c>
      <c r="G64" s="2"/>
      <c r="H64" s="6">
        <v>315.91000000000003</v>
      </c>
      <c r="I64" s="2"/>
      <c r="J64" s="7">
        <f t="shared" si="25"/>
        <v>0</v>
      </c>
      <c r="K64" s="2"/>
      <c r="L64" s="6">
        <f t="shared" si="26"/>
        <v>-184.54000000000002</v>
      </c>
      <c r="M64" s="2"/>
      <c r="N64" s="7">
        <f t="shared" si="27"/>
        <v>-0.58415371466556931</v>
      </c>
      <c r="O64" s="11"/>
      <c r="P64" s="6">
        <v>4417.58</v>
      </c>
      <c r="Q64" s="2"/>
      <c r="R64" s="7">
        <f t="shared" si="28"/>
        <v>0</v>
      </c>
      <c r="S64" s="2"/>
      <c r="T64" s="6">
        <v>21698.09</v>
      </c>
      <c r="U64" s="2"/>
      <c r="V64" s="7">
        <f t="shared" si="29"/>
        <v>0</v>
      </c>
      <c r="W64" s="2"/>
      <c r="X64" s="6">
        <f t="shared" si="30"/>
        <v>-17280.510000000002</v>
      </c>
      <c r="Y64" s="2"/>
      <c r="Z64" s="7">
        <f t="shared" si="31"/>
        <v>-0.79640696485266682</v>
      </c>
    </row>
    <row r="65" spans="1:26" s="26" customFormat="1" outlineLevel="1" collapsed="1" x14ac:dyDescent="0.25">
      <c r="A65" s="27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SUM(OSRRefD22_13x_0)</f>
        <v>19353.949999999997</v>
      </c>
      <c r="E65" s="1"/>
      <c r="F65" s="5">
        <f t="shared" ref="F65:F68" si="32">IF(D$12=0,0,D65/D$12)</f>
        <v>0</v>
      </c>
      <c r="G65" s="1"/>
      <c r="H65" s="1">
        <f>SUM(OSRRefH22_13x_0)</f>
        <v>27339.480000000003</v>
      </c>
      <c r="I65" s="1"/>
      <c r="J65" s="5">
        <f t="shared" ref="J65:J68" si="33">IF(H$12=0,0,H65/H$12)</f>
        <v>0</v>
      </c>
      <c r="K65" s="1"/>
      <c r="L65" s="1">
        <f t="shared" ref="L65:L68" si="34">+D65-H65</f>
        <v>-7985.5300000000061</v>
      </c>
      <c r="M65" s="1"/>
      <c r="N65" s="5">
        <f t="shared" ref="N65:N68" si="35">IF(H65=0,0,L65/H65)</f>
        <v>-0.29208785243903707</v>
      </c>
      <c r="O65" s="13"/>
      <c r="P65" s="1">
        <f>SUM(OSRRefP22_13x_0)</f>
        <v>98916.08</v>
      </c>
      <c r="Q65" s="1"/>
      <c r="R65" s="5">
        <f t="shared" ref="R65:R68" si="36">IF(P$12=0,0,P65/P$12)</f>
        <v>0</v>
      </c>
      <c r="S65" s="1"/>
      <c r="T65" s="1">
        <f>SUM(OSRRefT22_13x_0)</f>
        <v>130038.81000000001</v>
      </c>
      <c r="U65" s="1"/>
      <c r="V65" s="5">
        <f t="shared" ref="V65:V68" si="37">IF(T$12=0,0,T65/T$12)</f>
        <v>0</v>
      </c>
      <c r="W65" s="1"/>
      <c r="X65" s="1">
        <f t="shared" ref="X65:X68" si="38">+P65-T65</f>
        <v>-31122.73000000001</v>
      </c>
      <c r="Y65" s="1"/>
      <c r="Z65" s="5">
        <f t="shared" ref="Z65:Z68" si="39">IF(T65=0,0,X65/T65)</f>
        <v>-0.23933416493122328</v>
      </c>
    </row>
    <row r="66" spans="1:26" s="24" customFormat="1" hidden="1" outlineLevel="2" x14ac:dyDescent="0.25">
      <c r="A66" s="25"/>
      <c r="B66" s="11" t="str">
        <f>CONCATENATE("          ", "6371", " - ", "COMPUTER SOFTWARE MAINTENANCE")</f>
        <v xml:space="preserve">          6371 - COMPUTER SOFTWARE MAINTENANCE</v>
      </c>
      <c r="C66" s="11"/>
      <c r="D66" s="6">
        <v>4217.41</v>
      </c>
      <c r="E66" s="2"/>
      <c r="F66" s="7">
        <f t="shared" si="32"/>
        <v>0</v>
      </c>
      <c r="G66" s="2"/>
      <c r="H66" s="6">
        <v>13365.68</v>
      </c>
      <c r="I66" s="2"/>
      <c r="J66" s="7">
        <f t="shared" si="33"/>
        <v>0</v>
      </c>
      <c r="K66" s="2"/>
      <c r="L66" s="6">
        <f t="shared" si="34"/>
        <v>-9148.27</v>
      </c>
      <c r="M66" s="2"/>
      <c r="N66" s="7">
        <f t="shared" si="35"/>
        <v>-0.68445975064493536</v>
      </c>
      <c r="O66" s="11"/>
      <c r="P66" s="6">
        <v>23202.68</v>
      </c>
      <c r="Q66" s="2"/>
      <c r="R66" s="7">
        <f t="shared" si="36"/>
        <v>0</v>
      </c>
      <c r="S66" s="2"/>
      <c r="T66" s="6">
        <v>58268.87</v>
      </c>
      <c r="U66" s="2"/>
      <c r="V66" s="7">
        <f t="shared" si="37"/>
        <v>0</v>
      </c>
      <c r="W66" s="2"/>
      <c r="X66" s="6">
        <f t="shared" si="38"/>
        <v>-35066.19</v>
      </c>
      <c r="Y66" s="2"/>
      <c r="Z66" s="7">
        <f t="shared" si="39"/>
        <v>-0.60179972599434317</v>
      </c>
    </row>
    <row r="67" spans="1:26" s="24" customFormat="1" hidden="1" outlineLevel="2" x14ac:dyDescent="0.25">
      <c r="A67" s="25"/>
      <c r="B67" s="11" t="str">
        <f>CONCATENATE("          ", "6373", " - ", "MAINTENANCE CONTRACTS")</f>
        <v xml:space="preserve">          6373 - MAINTENANCE CONTRACTS</v>
      </c>
      <c r="C67" s="11"/>
      <c r="D67" s="6">
        <v>14651.44</v>
      </c>
      <c r="E67" s="2"/>
      <c r="F67" s="7">
        <f t="shared" si="32"/>
        <v>0</v>
      </c>
      <c r="G67" s="2"/>
      <c r="H67" s="6">
        <v>13715.4</v>
      </c>
      <c r="I67" s="2"/>
      <c r="J67" s="7">
        <f t="shared" si="33"/>
        <v>0</v>
      </c>
      <c r="K67" s="2"/>
      <c r="L67" s="6">
        <f t="shared" si="34"/>
        <v>936.04000000000087</v>
      </c>
      <c r="M67" s="2"/>
      <c r="N67" s="7">
        <f t="shared" si="35"/>
        <v>6.8247371567726853E-2</v>
      </c>
      <c r="O67" s="11"/>
      <c r="P67" s="6">
        <v>73543.11</v>
      </c>
      <c r="Q67" s="2"/>
      <c r="R67" s="7">
        <f t="shared" si="36"/>
        <v>0</v>
      </c>
      <c r="S67" s="2"/>
      <c r="T67" s="6">
        <v>70221.900000000009</v>
      </c>
      <c r="U67" s="2"/>
      <c r="V67" s="7">
        <f t="shared" si="37"/>
        <v>0</v>
      </c>
      <c r="W67" s="2"/>
      <c r="X67" s="6">
        <f t="shared" si="38"/>
        <v>3321.2099999999919</v>
      </c>
      <c r="Y67" s="2"/>
      <c r="Z67" s="7">
        <f t="shared" si="39"/>
        <v>4.7295929047775569E-2</v>
      </c>
    </row>
    <row r="68" spans="1:26" s="24" customFormat="1" hidden="1" outlineLevel="2" x14ac:dyDescent="0.25">
      <c r="A68" s="25"/>
      <c r="B68" s="11" t="str">
        <f>CONCATENATE("          ", "6375", " - ", "OUTSIDE REPAIRS &amp; MAINTENANCE")</f>
        <v xml:space="preserve">          6375 - OUTSIDE REPAIRS &amp; MAINTENANCE</v>
      </c>
      <c r="C68" s="11"/>
      <c r="D68" s="6">
        <v>485.1</v>
      </c>
      <c r="E68" s="2"/>
      <c r="F68" s="7">
        <f t="shared" si="32"/>
        <v>0</v>
      </c>
      <c r="G68" s="2"/>
      <c r="H68" s="6">
        <v>258.39999999999998</v>
      </c>
      <c r="I68" s="2"/>
      <c r="J68" s="7">
        <f t="shared" si="33"/>
        <v>0</v>
      </c>
      <c r="K68" s="2"/>
      <c r="L68" s="6">
        <f t="shared" si="34"/>
        <v>226.70000000000005</v>
      </c>
      <c r="M68" s="2"/>
      <c r="N68" s="7">
        <f t="shared" si="35"/>
        <v>0.87732198142414886</v>
      </c>
      <c r="O68" s="11"/>
      <c r="P68" s="6">
        <v>2170.29</v>
      </c>
      <c r="Q68" s="2"/>
      <c r="R68" s="7">
        <f t="shared" si="36"/>
        <v>0</v>
      </c>
      <c r="S68" s="2"/>
      <c r="T68" s="6">
        <v>1548.04</v>
      </c>
      <c r="U68" s="2"/>
      <c r="V68" s="7">
        <f t="shared" si="37"/>
        <v>0</v>
      </c>
      <c r="W68" s="2"/>
      <c r="X68" s="6">
        <f t="shared" si="38"/>
        <v>622.25</v>
      </c>
      <c r="Y68" s="2"/>
      <c r="Z68" s="7">
        <f t="shared" si="39"/>
        <v>0.40195989767706264</v>
      </c>
    </row>
    <row r="69" spans="1:26" s="26" customFormat="1" outlineLevel="1" collapsed="1" x14ac:dyDescent="0.25">
      <c r="A69" s="27"/>
      <c r="B69" s="13" t="str">
        <f>CONCATENATE("     ","Services                                          ")</f>
        <v xml:space="preserve">     Services                                          </v>
      </c>
      <c r="C69" s="13"/>
      <c r="D69" s="1">
        <f>SUM(OSRRefD22_14x_0)</f>
        <v>512.48</v>
      </c>
      <c r="E69" s="1"/>
      <c r="F69" s="5">
        <f t="shared" ref="F69:F71" si="40">IF(D$12=0,0,D69/D$12)</f>
        <v>0</v>
      </c>
      <c r="G69" s="1"/>
      <c r="H69" s="1">
        <f>SUM(OSRRefH22_14x_0)</f>
        <v>427.96</v>
      </c>
      <c r="I69" s="1"/>
      <c r="J69" s="5">
        <f t="shared" ref="J69:J71" si="41">IF(H$12=0,0,H69/H$12)</f>
        <v>0</v>
      </c>
      <c r="K69" s="1"/>
      <c r="L69" s="1">
        <f t="shared" ref="L69:L71" si="42">+D69-H69</f>
        <v>84.520000000000039</v>
      </c>
      <c r="M69" s="1"/>
      <c r="N69" s="5">
        <f t="shared" ref="N69:N71" si="43">IF(H69=0,0,L69/H69)</f>
        <v>0.19749509299934584</v>
      </c>
      <c r="O69" s="13"/>
      <c r="P69" s="1">
        <f>SUM(OSRRefP22_14x_0)</f>
        <v>2562.4</v>
      </c>
      <c r="Q69" s="1"/>
      <c r="R69" s="5">
        <f t="shared" ref="R69:R71" si="44">IF(P$12=0,0,P69/P$12)</f>
        <v>0</v>
      </c>
      <c r="S69" s="1"/>
      <c r="T69" s="1">
        <f>SUM(OSRRefT22_14x_0)</f>
        <v>7634.8099999999995</v>
      </c>
      <c r="U69" s="1"/>
      <c r="V69" s="5">
        <f t="shared" ref="V69:V71" si="45">IF(T$12=0,0,T69/T$12)</f>
        <v>0</v>
      </c>
      <c r="W69" s="1"/>
      <c r="X69" s="1">
        <f t="shared" ref="X69:X71" si="46">+P69-T69</f>
        <v>-5072.41</v>
      </c>
      <c r="Y69" s="1"/>
      <c r="Z69" s="5">
        <f t="shared" ref="Z69:Z71" si="47">IF(T69=0,0,X69/T69)</f>
        <v>-0.66437933622447709</v>
      </c>
    </row>
    <row r="70" spans="1:26" s="24" customFormat="1" hidden="1" outlineLevel="2" x14ac:dyDescent="0.25">
      <c r="A70" s="25"/>
      <c r="B70" s="11" t="str">
        <f>CONCATENATE("          ", "6281", " - ", "STORAGE FEE")</f>
        <v xml:space="preserve">          6281 - STORAGE FEE</v>
      </c>
      <c r="C70" s="11"/>
      <c r="D70" s="6">
        <v>512.48</v>
      </c>
      <c r="E70" s="2"/>
      <c r="F70" s="7">
        <f t="shared" si="40"/>
        <v>0</v>
      </c>
      <c r="G70" s="2"/>
      <c r="H70" s="6">
        <v>427.96</v>
      </c>
      <c r="I70" s="2"/>
      <c r="J70" s="7">
        <f t="shared" si="41"/>
        <v>0</v>
      </c>
      <c r="K70" s="2"/>
      <c r="L70" s="6">
        <f t="shared" si="42"/>
        <v>84.520000000000039</v>
      </c>
      <c r="M70" s="2"/>
      <c r="N70" s="7">
        <f t="shared" si="43"/>
        <v>0.19749509299934584</v>
      </c>
      <c r="O70" s="11"/>
      <c r="P70" s="6">
        <v>2562.4</v>
      </c>
      <c r="Q70" s="2"/>
      <c r="R70" s="7">
        <f t="shared" si="44"/>
        <v>0</v>
      </c>
      <c r="S70" s="2"/>
      <c r="T70" s="6">
        <v>7595.03</v>
      </c>
      <c r="U70" s="2"/>
      <c r="V70" s="7">
        <f t="shared" si="45"/>
        <v>0</v>
      </c>
      <c r="W70" s="2"/>
      <c r="X70" s="6">
        <f t="shared" si="46"/>
        <v>-5032.6299999999992</v>
      </c>
      <c r="Y70" s="2"/>
      <c r="Z70" s="7">
        <f t="shared" si="47"/>
        <v>-0.66262147746618505</v>
      </c>
    </row>
    <row r="71" spans="1:26" s="24" customFormat="1" hidden="1" outlineLevel="2" x14ac:dyDescent="0.25">
      <c r="A71" s="25"/>
      <c r="B71" s="11" t="str">
        <f>CONCATENATE("          ", "6286", " - ", "LAUNDRY EXPENSE")</f>
        <v xml:space="preserve">          6286 - LAUNDRY EXPENSE</v>
      </c>
      <c r="C71" s="11"/>
      <c r="D71" s="6"/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0</v>
      </c>
      <c r="M71" s="2"/>
      <c r="N71" s="7">
        <f t="shared" si="43"/>
        <v>0</v>
      </c>
      <c r="O71" s="11"/>
      <c r="P71" s="6"/>
      <c r="Q71" s="2"/>
      <c r="R71" s="7">
        <f t="shared" si="44"/>
        <v>0</v>
      </c>
      <c r="S71" s="2"/>
      <c r="T71" s="6">
        <v>39.78</v>
      </c>
      <c r="U71" s="2"/>
      <c r="V71" s="7">
        <f t="shared" si="45"/>
        <v>0</v>
      </c>
      <c r="W71" s="2"/>
      <c r="X71" s="6">
        <f t="shared" si="46"/>
        <v>-39.78</v>
      </c>
      <c r="Y71" s="2"/>
      <c r="Z71" s="7">
        <f t="shared" si="47"/>
        <v>-1</v>
      </c>
    </row>
    <row r="72" spans="1:26" s="26" customFormat="1" outlineLevel="1" collapsed="1" x14ac:dyDescent="0.25">
      <c r="A72" s="27"/>
      <c r="B72" s="13" t="str">
        <f>CONCATENATE("     ","Subscriptions &amp; Dues                              ")</f>
        <v xml:space="preserve">     Subscriptions &amp; Dues                              </v>
      </c>
      <c r="C72" s="13"/>
      <c r="D72" s="1">
        <f>SUM(OSRRefD22_15x_0)</f>
        <v>0</v>
      </c>
      <c r="E72" s="1"/>
      <c r="F72" s="5">
        <f t="shared" ref="F72:F79" si="48">IF(D$12=0,0,D72/D$12)</f>
        <v>0</v>
      </c>
      <c r="G72" s="1"/>
      <c r="H72" s="1">
        <f>SUM(OSRRefH22_15x_0)</f>
        <v>0</v>
      </c>
      <c r="I72" s="1"/>
      <c r="J72" s="5">
        <f t="shared" ref="J72:J79" si="49">IF(H$12=0,0,H72/H$12)</f>
        <v>0</v>
      </c>
      <c r="K72" s="1"/>
      <c r="L72" s="1">
        <f t="shared" ref="L72:L79" si="50">+D72-H72</f>
        <v>0</v>
      </c>
      <c r="M72" s="1"/>
      <c r="N72" s="5">
        <f t="shared" ref="N72:N79" si="51">IF(H72=0,0,L72/H72)</f>
        <v>0</v>
      </c>
      <c r="O72" s="13"/>
      <c r="P72" s="1">
        <f>SUM(OSRRefP22_15x_0)</f>
        <v>2259.9899999999998</v>
      </c>
      <c r="Q72" s="1"/>
      <c r="R72" s="5">
        <f t="shared" ref="R72:R79" si="52">IF(P$12=0,0,P72/P$12)</f>
        <v>0</v>
      </c>
      <c r="S72" s="1"/>
      <c r="T72" s="1">
        <f>SUM(OSRRefT22_15x_0)</f>
        <v>1626</v>
      </c>
      <c r="U72" s="1"/>
      <c r="V72" s="5">
        <f t="shared" ref="V72:V79" si="53">IF(T$12=0,0,T72/T$12)</f>
        <v>0</v>
      </c>
      <c r="W72" s="1"/>
      <c r="X72" s="1">
        <f t="shared" ref="X72:X79" si="54">+P72-T72</f>
        <v>633.98999999999978</v>
      </c>
      <c r="Y72" s="1"/>
      <c r="Z72" s="5">
        <f t="shared" ref="Z72:Z79" si="55">IF(T72=0,0,X72/T72)</f>
        <v>0.38990774907749065</v>
      </c>
    </row>
    <row r="73" spans="1:26" s="24" customFormat="1" hidden="1" outlineLevel="2" x14ac:dyDescent="0.25">
      <c r="A73" s="25"/>
      <c r="B73" s="11" t="str">
        <f>CONCATENATE("          ", "6258", " - ", "MEMBERSHIP DUES")</f>
        <v xml:space="preserve">          6258 - MEMBERSHIP DUES</v>
      </c>
      <c r="C73" s="11"/>
      <c r="D73" s="6"/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0</v>
      </c>
      <c r="M73" s="2"/>
      <c r="N73" s="7">
        <f t="shared" si="51"/>
        <v>0</v>
      </c>
      <c r="O73" s="11"/>
      <c r="P73" s="6">
        <v>2259.9899999999998</v>
      </c>
      <c r="Q73" s="2"/>
      <c r="R73" s="7">
        <f t="shared" si="52"/>
        <v>0</v>
      </c>
      <c r="S73" s="2"/>
      <c r="T73" s="6">
        <v>1626</v>
      </c>
      <c r="U73" s="2"/>
      <c r="V73" s="7">
        <f t="shared" si="53"/>
        <v>0</v>
      </c>
      <c r="W73" s="2"/>
      <c r="X73" s="6">
        <f t="shared" si="54"/>
        <v>633.98999999999978</v>
      </c>
      <c r="Y73" s="2"/>
      <c r="Z73" s="7">
        <f t="shared" si="55"/>
        <v>0.38990774907749065</v>
      </c>
    </row>
    <row r="74" spans="1:26" s="26" customFormat="1" outlineLevel="1" collapsed="1" x14ac:dyDescent="0.25">
      <c r="A74" s="27"/>
      <c r="B74" s="13" t="str">
        <f>CONCATENATE("     ","Supplies                                          ")</f>
        <v xml:space="preserve">     Supplies                                          </v>
      </c>
      <c r="C74" s="13"/>
      <c r="D74" s="1">
        <f>SUM(OSRRefD22_16x_0)</f>
        <v>1579.17</v>
      </c>
      <c r="E74" s="1"/>
      <c r="F74" s="5">
        <f t="shared" si="48"/>
        <v>0</v>
      </c>
      <c r="G74" s="1"/>
      <c r="H74" s="1">
        <f>SUM(OSRRefH22_16x_0)</f>
        <v>2482.96</v>
      </c>
      <c r="I74" s="1"/>
      <c r="J74" s="5">
        <f t="shared" si="49"/>
        <v>0</v>
      </c>
      <c r="K74" s="1"/>
      <c r="L74" s="1">
        <f t="shared" si="50"/>
        <v>-903.79</v>
      </c>
      <c r="M74" s="1"/>
      <c r="N74" s="5">
        <f t="shared" si="51"/>
        <v>-0.36399700357637654</v>
      </c>
      <c r="O74" s="13"/>
      <c r="P74" s="1">
        <f>SUM(OSRRefP22_16x_0)</f>
        <v>-382.53</v>
      </c>
      <c r="Q74" s="1"/>
      <c r="R74" s="5">
        <f t="shared" si="52"/>
        <v>0</v>
      </c>
      <c r="S74" s="1"/>
      <c r="T74" s="1">
        <f>SUM(OSRRefT22_16x_0)</f>
        <v>38372.439999999995</v>
      </c>
      <c r="U74" s="1"/>
      <c r="V74" s="5">
        <f t="shared" si="53"/>
        <v>0</v>
      </c>
      <c r="W74" s="1"/>
      <c r="X74" s="1">
        <f t="shared" si="54"/>
        <v>-38754.969999999994</v>
      </c>
      <c r="Y74" s="1"/>
      <c r="Z74" s="5">
        <f t="shared" si="55"/>
        <v>-1.0099688734935803</v>
      </c>
    </row>
    <row r="75" spans="1:26" s="24" customFormat="1" hidden="1" outlineLevel="2" x14ac:dyDescent="0.25">
      <c r="A75" s="25"/>
      <c r="B75" s="11" t="str">
        <f>CONCATENATE("          ", "6234", " - ", "EXPENDABLE SUPPLIES &amp; EQUIPMEN")</f>
        <v xml:space="preserve">          6234 - EXPENDABLE SUPPLIES &amp; EQUIPMEN</v>
      </c>
      <c r="C75" s="11"/>
      <c r="D75" s="6"/>
      <c r="E75" s="2"/>
      <c r="F75" s="7">
        <f t="shared" si="48"/>
        <v>0</v>
      </c>
      <c r="G75" s="2"/>
      <c r="H75" s="6"/>
      <c r="I75" s="2"/>
      <c r="J75" s="7">
        <f t="shared" si="49"/>
        <v>0</v>
      </c>
      <c r="K75" s="2"/>
      <c r="L75" s="6">
        <f t="shared" si="50"/>
        <v>0</v>
      </c>
      <c r="M75" s="2"/>
      <c r="N75" s="7">
        <f t="shared" si="51"/>
        <v>0</v>
      </c>
      <c r="O75" s="11"/>
      <c r="P75" s="6"/>
      <c r="Q75" s="2"/>
      <c r="R75" s="7">
        <f t="shared" si="52"/>
        <v>0</v>
      </c>
      <c r="S75" s="2"/>
      <c r="T75" s="6">
        <v>910.52</v>
      </c>
      <c r="U75" s="2"/>
      <c r="V75" s="7">
        <f t="shared" si="53"/>
        <v>0</v>
      </c>
      <c r="W75" s="2"/>
      <c r="X75" s="6">
        <f t="shared" si="54"/>
        <v>-910.52</v>
      </c>
      <c r="Y75" s="2"/>
      <c r="Z75" s="7">
        <f t="shared" si="55"/>
        <v>-1</v>
      </c>
    </row>
    <row r="76" spans="1:26" s="24" customFormat="1" hidden="1" outlineLevel="2" x14ac:dyDescent="0.25">
      <c r="A76" s="25"/>
      <c r="B76" s="11" t="str">
        <f>CONCATENATE("          ", "6235", " - ", "COVID-19 EXPENSES")</f>
        <v xml:space="preserve">          6235 - COVID-19 EXPENSES</v>
      </c>
      <c r="C76" s="11"/>
      <c r="D76" s="6">
        <v>66.12</v>
      </c>
      <c r="E76" s="2"/>
      <c r="F76" s="7">
        <f t="shared" si="48"/>
        <v>0</v>
      </c>
      <c r="G76" s="2"/>
      <c r="H76" s="6"/>
      <c r="I76" s="2"/>
      <c r="J76" s="7">
        <f t="shared" si="49"/>
        <v>0</v>
      </c>
      <c r="K76" s="2"/>
      <c r="L76" s="6">
        <f t="shared" si="50"/>
        <v>66.12</v>
      </c>
      <c r="M76" s="2"/>
      <c r="N76" s="7">
        <f t="shared" si="51"/>
        <v>0</v>
      </c>
      <c r="O76" s="11"/>
      <c r="P76" s="6">
        <v>810.3</v>
      </c>
      <c r="Q76" s="2"/>
      <c r="R76" s="7">
        <f t="shared" si="52"/>
        <v>0</v>
      </c>
      <c r="S76" s="2"/>
      <c r="T76" s="6"/>
      <c r="U76" s="2"/>
      <c r="V76" s="7">
        <f t="shared" si="53"/>
        <v>0</v>
      </c>
      <c r="W76" s="2"/>
      <c r="X76" s="6">
        <f t="shared" si="54"/>
        <v>810.3</v>
      </c>
      <c r="Y76" s="2"/>
      <c r="Z76" s="7">
        <f t="shared" si="55"/>
        <v>0</v>
      </c>
    </row>
    <row r="77" spans="1:26" s="24" customFormat="1" hidden="1" outlineLevel="2" x14ac:dyDescent="0.25">
      <c r="A77" s="25"/>
      <c r="B77" s="11" t="str">
        <f>CONCATENATE("          ", "6241", " - ", "OFFICE EXPENSE")</f>
        <v xml:space="preserve">          6241 - OFFICE EXPENSE</v>
      </c>
      <c r="C77" s="11"/>
      <c r="D77" s="6">
        <v>1513.05</v>
      </c>
      <c r="E77" s="2"/>
      <c r="F77" s="7">
        <f t="shared" si="48"/>
        <v>0</v>
      </c>
      <c r="G77" s="2"/>
      <c r="H77" s="6">
        <v>2351.1</v>
      </c>
      <c r="I77" s="2"/>
      <c r="J77" s="7">
        <f t="shared" si="49"/>
        <v>0</v>
      </c>
      <c r="K77" s="2"/>
      <c r="L77" s="6">
        <f t="shared" si="50"/>
        <v>-838.05</v>
      </c>
      <c r="M77" s="2"/>
      <c r="N77" s="7">
        <f t="shared" si="51"/>
        <v>-0.35645017225979331</v>
      </c>
      <c r="O77" s="11"/>
      <c r="P77" s="6">
        <v>-1415.54</v>
      </c>
      <c r="Q77" s="2"/>
      <c r="R77" s="7">
        <f t="shared" si="52"/>
        <v>0</v>
      </c>
      <c r="S77" s="2"/>
      <c r="T77" s="6">
        <v>32979.03</v>
      </c>
      <c r="U77" s="2"/>
      <c r="V77" s="7">
        <f t="shared" si="53"/>
        <v>0</v>
      </c>
      <c r="W77" s="2"/>
      <c r="X77" s="6">
        <f t="shared" si="54"/>
        <v>-34394.57</v>
      </c>
      <c r="Y77" s="2"/>
      <c r="Z77" s="7">
        <f t="shared" si="55"/>
        <v>-1.0429224267663422</v>
      </c>
    </row>
    <row r="78" spans="1:26" s="24" customFormat="1" hidden="1" outlineLevel="2" x14ac:dyDescent="0.25">
      <c r="A78" s="25"/>
      <c r="B78" s="11" t="str">
        <f>CONCATENATE("          ", "6244", " - ", "SAFETY SUPPLY EXPENSE")</f>
        <v xml:space="preserve">          6244 - SAFETY SUPPLY EXPENSE</v>
      </c>
      <c r="C78" s="11"/>
      <c r="D78" s="6"/>
      <c r="E78" s="2"/>
      <c r="F78" s="7">
        <f t="shared" si="48"/>
        <v>0</v>
      </c>
      <c r="G78" s="2"/>
      <c r="H78" s="6">
        <v>100</v>
      </c>
      <c r="I78" s="2"/>
      <c r="J78" s="7">
        <f t="shared" si="49"/>
        <v>0</v>
      </c>
      <c r="K78" s="2"/>
      <c r="L78" s="6">
        <f t="shared" si="50"/>
        <v>-100</v>
      </c>
      <c r="M78" s="2"/>
      <c r="N78" s="7">
        <f t="shared" si="51"/>
        <v>-1</v>
      </c>
      <c r="O78" s="11"/>
      <c r="P78" s="6">
        <v>222.71</v>
      </c>
      <c r="Q78" s="2"/>
      <c r="R78" s="7">
        <f t="shared" si="52"/>
        <v>0</v>
      </c>
      <c r="S78" s="2"/>
      <c r="T78" s="6">
        <v>1507.33</v>
      </c>
      <c r="U78" s="2"/>
      <c r="V78" s="7">
        <f t="shared" si="53"/>
        <v>0</v>
      </c>
      <c r="W78" s="2"/>
      <c r="X78" s="6">
        <f t="shared" si="54"/>
        <v>-1284.6199999999999</v>
      </c>
      <c r="Y78" s="2"/>
      <c r="Z78" s="7">
        <f t="shared" si="55"/>
        <v>-0.85224867812622318</v>
      </c>
    </row>
    <row r="79" spans="1:26" s="24" customFormat="1" hidden="1" outlineLevel="2" x14ac:dyDescent="0.25">
      <c r="A79" s="25"/>
      <c r="B79" s="11" t="str">
        <f>CONCATENATE("          ", "6245", " - ", "PRINTING")</f>
        <v xml:space="preserve">          6245 - PRINTING</v>
      </c>
      <c r="C79" s="11"/>
      <c r="D79" s="6"/>
      <c r="E79" s="2"/>
      <c r="F79" s="7">
        <f t="shared" si="48"/>
        <v>0</v>
      </c>
      <c r="G79" s="2"/>
      <c r="H79" s="6">
        <v>31.86</v>
      </c>
      <c r="I79" s="2"/>
      <c r="J79" s="7">
        <f t="shared" si="49"/>
        <v>0</v>
      </c>
      <c r="K79" s="2"/>
      <c r="L79" s="6">
        <f t="shared" si="50"/>
        <v>-31.86</v>
      </c>
      <c r="M79" s="2"/>
      <c r="N79" s="7">
        <f t="shared" si="51"/>
        <v>-1</v>
      </c>
      <c r="O79" s="11"/>
      <c r="P79" s="6"/>
      <c r="Q79" s="2"/>
      <c r="R79" s="7">
        <f t="shared" si="52"/>
        <v>0</v>
      </c>
      <c r="S79" s="2"/>
      <c r="T79" s="6">
        <v>2975.56</v>
      </c>
      <c r="U79" s="2"/>
      <c r="V79" s="7">
        <f t="shared" si="53"/>
        <v>0</v>
      </c>
      <c r="W79" s="2"/>
      <c r="X79" s="6">
        <f t="shared" si="54"/>
        <v>-2975.56</v>
      </c>
      <c r="Y79" s="2"/>
      <c r="Z79" s="7">
        <f t="shared" si="55"/>
        <v>-1</v>
      </c>
    </row>
    <row r="80" spans="1:26" s="26" customFormat="1" outlineLevel="1" collapsed="1" x14ac:dyDescent="0.25">
      <c r="A80" s="27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SUM(OSRRefD22_17x_0)</f>
        <v>1878.28</v>
      </c>
      <c r="E80" s="1"/>
      <c r="F80" s="5">
        <f t="shared" ref="F80:F82" si="56">IF(D$12=0,0,D80/D$12)</f>
        <v>0</v>
      </c>
      <c r="G80" s="1"/>
      <c r="H80" s="1">
        <f>SUM(OSRRefH22_17x_0)</f>
        <v>1824.27</v>
      </c>
      <c r="I80" s="1"/>
      <c r="J80" s="5">
        <f t="shared" ref="J80:J82" si="57">IF(H$12=0,0,H80/H$12)</f>
        <v>0</v>
      </c>
      <c r="K80" s="1"/>
      <c r="L80" s="1">
        <f t="shared" ref="L80:L82" si="58">+D80-H80</f>
        <v>54.009999999999991</v>
      </c>
      <c r="M80" s="1"/>
      <c r="N80" s="5">
        <f t="shared" ref="N80:N82" si="59">IF(H80=0,0,L80/H80)</f>
        <v>2.9606363093182472E-2</v>
      </c>
      <c r="O80" s="13"/>
      <c r="P80" s="1">
        <f>SUM(OSRRefP22_17x_0)</f>
        <v>10046.48</v>
      </c>
      <c r="Q80" s="1"/>
      <c r="R80" s="5">
        <f t="shared" ref="R80:R82" si="60">IF(P$12=0,0,P80/P$12)</f>
        <v>0</v>
      </c>
      <c r="S80" s="1"/>
      <c r="T80" s="1">
        <f>SUM(OSRRefT22_17x_0)</f>
        <v>13531.07</v>
      </c>
      <c r="U80" s="1"/>
      <c r="V80" s="5">
        <f t="shared" ref="V80:V82" si="61">IF(T$12=0,0,T80/T$12)</f>
        <v>0</v>
      </c>
      <c r="W80" s="1"/>
      <c r="X80" s="1">
        <f t="shared" ref="X80:X82" si="62">+P80-T80</f>
        <v>-3484.59</v>
      </c>
      <c r="Y80" s="1"/>
      <c r="Z80" s="5">
        <f t="shared" ref="Z80:Z82" si="63">IF(T80=0,0,X80/T80)</f>
        <v>-0.25752508855545053</v>
      </c>
    </row>
    <row r="81" spans="1:26" s="24" customFormat="1" hidden="1" outlineLevel="2" x14ac:dyDescent="0.25">
      <c r="A81" s="25"/>
      <c r="B81" s="11" t="str">
        <f>CONCATENATE("          ", "6303", " - ", "DATA PHONE LINES")</f>
        <v xml:space="preserve">          6303 - DATA PHONE LINES</v>
      </c>
      <c r="C81" s="11"/>
      <c r="D81" s="6">
        <v>144.97999999999999</v>
      </c>
      <c r="E81" s="2"/>
      <c r="F81" s="7">
        <f t="shared" si="56"/>
        <v>0</v>
      </c>
      <c r="G81" s="2"/>
      <c r="H81" s="6">
        <v>141.68</v>
      </c>
      <c r="I81" s="2"/>
      <c r="J81" s="7">
        <f t="shared" si="57"/>
        <v>0</v>
      </c>
      <c r="K81" s="2"/>
      <c r="L81" s="6">
        <f t="shared" si="58"/>
        <v>3.2999999999999829</v>
      </c>
      <c r="M81" s="2"/>
      <c r="N81" s="7">
        <f t="shared" si="59"/>
        <v>2.3291925465838387E-2</v>
      </c>
      <c r="O81" s="11"/>
      <c r="P81" s="6">
        <v>525.92999999999995</v>
      </c>
      <c r="Q81" s="2"/>
      <c r="R81" s="7">
        <f t="shared" si="60"/>
        <v>0</v>
      </c>
      <c r="S81" s="2"/>
      <c r="T81" s="6">
        <v>882.09</v>
      </c>
      <c r="U81" s="2"/>
      <c r="V81" s="7">
        <f t="shared" si="61"/>
        <v>0</v>
      </c>
      <c r="W81" s="2"/>
      <c r="X81" s="6">
        <f t="shared" si="62"/>
        <v>-356.16000000000008</v>
      </c>
      <c r="Y81" s="2"/>
      <c r="Z81" s="7">
        <f t="shared" si="63"/>
        <v>-0.40376832296024223</v>
      </c>
    </row>
    <row r="82" spans="1:26" s="24" customFormat="1" hidden="1" outlineLevel="2" x14ac:dyDescent="0.25">
      <c r="A82" s="25"/>
      <c r="B82" s="11" t="str">
        <f>CONCATENATE("          ", "6309", " - ", "TELEPHONE")</f>
        <v xml:space="preserve">          6309 - TELEPHONE</v>
      </c>
      <c r="C82" s="11"/>
      <c r="D82" s="6">
        <v>1733.3</v>
      </c>
      <c r="E82" s="2"/>
      <c r="F82" s="7">
        <f t="shared" si="56"/>
        <v>0</v>
      </c>
      <c r="G82" s="2"/>
      <c r="H82" s="6">
        <v>1682.59</v>
      </c>
      <c r="I82" s="2"/>
      <c r="J82" s="7">
        <f t="shared" si="57"/>
        <v>0</v>
      </c>
      <c r="K82" s="2"/>
      <c r="L82" s="6">
        <f t="shared" si="58"/>
        <v>50.710000000000036</v>
      </c>
      <c r="M82" s="2"/>
      <c r="N82" s="7">
        <f t="shared" si="59"/>
        <v>3.0138060965535299E-2</v>
      </c>
      <c r="O82" s="11"/>
      <c r="P82" s="6">
        <v>9520.5499999999993</v>
      </c>
      <c r="Q82" s="2"/>
      <c r="R82" s="7">
        <f t="shared" si="60"/>
        <v>0</v>
      </c>
      <c r="S82" s="2"/>
      <c r="T82" s="6">
        <v>12648.98</v>
      </c>
      <c r="U82" s="2"/>
      <c r="V82" s="7">
        <f t="shared" si="61"/>
        <v>0</v>
      </c>
      <c r="W82" s="2"/>
      <c r="X82" s="6">
        <f t="shared" si="62"/>
        <v>-3128.4300000000003</v>
      </c>
      <c r="Y82" s="2"/>
      <c r="Z82" s="7">
        <f t="shared" si="63"/>
        <v>-0.24732666191266017</v>
      </c>
    </row>
    <row r="83" spans="1:26" s="26" customFormat="1" outlineLevel="1" collapsed="1" x14ac:dyDescent="0.25">
      <c r="A83" s="27"/>
      <c r="B83" s="13" t="str">
        <f>CONCATENATE("     ","Training                                          ")</f>
        <v xml:space="preserve">     Training                                          </v>
      </c>
      <c r="C83" s="13"/>
      <c r="D83" s="1">
        <f>SUM(OSRRefD22_18x_0)</f>
        <v>1126.5</v>
      </c>
      <c r="E83" s="1"/>
      <c r="F83" s="5">
        <f t="shared" ref="F83:F87" si="64">IF(D$12=0,0,D83/D$12)</f>
        <v>0</v>
      </c>
      <c r="G83" s="1"/>
      <c r="H83" s="1">
        <f>SUM(OSRRefH22_18x_0)</f>
        <v>1541.76</v>
      </c>
      <c r="I83" s="1"/>
      <c r="J83" s="5">
        <f t="shared" ref="J83:J87" si="65">IF(H$12=0,0,H83/H$12)</f>
        <v>0</v>
      </c>
      <c r="K83" s="1"/>
      <c r="L83" s="1">
        <f t="shared" ref="L83:L87" si="66">+D83-H83</f>
        <v>-415.26</v>
      </c>
      <c r="M83" s="1"/>
      <c r="N83" s="5">
        <f t="shared" ref="N83:N87" si="67">IF(H83=0,0,L83/H83)</f>
        <v>-0.2693415317559153</v>
      </c>
      <c r="O83" s="13"/>
      <c r="P83" s="1">
        <f>SUM(OSRRefP22_18x_0)</f>
        <v>1427.5</v>
      </c>
      <c r="Q83" s="1"/>
      <c r="R83" s="5">
        <f t="shared" ref="R83:R87" si="68">IF(P$12=0,0,P83/P$12)</f>
        <v>0</v>
      </c>
      <c r="S83" s="1"/>
      <c r="T83" s="1">
        <f>SUM(OSRRefT22_18x_0)</f>
        <v>9090.49</v>
      </c>
      <c r="U83" s="1"/>
      <c r="V83" s="5">
        <f t="shared" ref="V83:V87" si="69">IF(T$12=0,0,T83/T$12)</f>
        <v>0</v>
      </c>
      <c r="W83" s="1"/>
      <c r="X83" s="1">
        <f t="shared" ref="X83:X87" si="70">+P83-T83</f>
        <v>-7662.99</v>
      </c>
      <c r="Y83" s="1"/>
      <c r="Z83" s="5">
        <f t="shared" ref="Z83:Z87" si="71">IF(T83=0,0,X83/T83)</f>
        <v>-0.84296776081377356</v>
      </c>
    </row>
    <row r="84" spans="1:26" s="24" customFormat="1" hidden="1" outlineLevel="2" x14ac:dyDescent="0.25">
      <c r="A84" s="25"/>
      <c r="B84" s="11" t="str">
        <f>CONCATENATE("          ", "6376", " - ", "TRAINING")</f>
        <v xml:space="preserve">          6376 - TRAINING</v>
      </c>
      <c r="C84" s="11"/>
      <c r="D84" s="6">
        <v>1126.5</v>
      </c>
      <c r="E84" s="2"/>
      <c r="F84" s="7">
        <f t="shared" si="64"/>
        <v>0</v>
      </c>
      <c r="G84" s="2"/>
      <c r="H84" s="6">
        <v>1541.76</v>
      </c>
      <c r="I84" s="2"/>
      <c r="J84" s="7">
        <f t="shared" si="65"/>
        <v>0</v>
      </c>
      <c r="K84" s="2"/>
      <c r="L84" s="6">
        <f t="shared" si="66"/>
        <v>-415.26</v>
      </c>
      <c r="M84" s="2"/>
      <c r="N84" s="7">
        <f t="shared" si="67"/>
        <v>-0.2693415317559153</v>
      </c>
      <c r="O84" s="11"/>
      <c r="P84" s="6">
        <v>1427.5</v>
      </c>
      <c r="Q84" s="2"/>
      <c r="R84" s="7">
        <f t="shared" si="68"/>
        <v>0</v>
      </c>
      <c r="S84" s="2"/>
      <c r="T84" s="6">
        <v>9090.49</v>
      </c>
      <c r="U84" s="2"/>
      <c r="V84" s="7">
        <f t="shared" si="69"/>
        <v>0</v>
      </c>
      <c r="W84" s="2"/>
      <c r="X84" s="6">
        <f t="shared" si="70"/>
        <v>-7662.99</v>
      </c>
      <c r="Y84" s="2"/>
      <c r="Z84" s="7">
        <f t="shared" si="71"/>
        <v>-0.84296776081377356</v>
      </c>
    </row>
    <row r="85" spans="1:26" s="26" customFormat="1" outlineLevel="1" collapsed="1" x14ac:dyDescent="0.25">
      <c r="A85" s="27"/>
      <c r="B85" s="13" t="str">
        <f>CONCATENATE("     ","Travel                                            ")</f>
        <v xml:space="preserve">     Travel                                            </v>
      </c>
      <c r="C85" s="13"/>
      <c r="D85" s="1">
        <f>SUM(OSRRefD22_19x_0)</f>
        <v>720</v>
      </c>
      <c r="E85" s="1"/>
      <c r="F85" s="5">
        <f t="shared" si="64"/>
        <v>0</v>
      </c>
      <c r="G85" s="1"/>
      <c r="H85" s="1">
        <f>SUM(OSRRefH22_19x_0)</f>
        <v>3233.37</v>
      </c>
      <c r="I85" s="1"/>
      <c r="J85" s="5">
        <f t="shared" si="65"/>
        <v>0</v>
      </c>
      <c r="K85" s="1"/>
      <c r="L85" s="1">
        <f t="shared" si="66"/>
        <v>-2513.37</v>
      </c>
      <c r="M85" s="1"/>
      <c r="N85" s="5">
        <f t="shared" si="67"/>
        <v>-0.77732211284201935</v>
      </c>
      <c r="O85" s="13"/>
      <c r="P85" s="1">
        <f>SUM(OSRRefP22_19x_0)</f>
        <v>766.62</v>
      </c>
      <c r="Q85" s="1"/>
      <c r="R85" s="5">
        <f t="shared" si="68"/>
        <v>0</v>
      </c>
      <c r="S85" s="1"/>
      <c r="T85" s="1">
        <f>SUM(OSRRefT22_19x_0)</f>
        <v>8860.75</v>
      </c>
      <c r="U85" s="1"/>
      <c r="V85" s="5">
        <f t="shared" si="69"/>
        <v>0</v>
      </c>
      <c r="W85" s="1"/>
      <c r="X85" s="1">
        <f t="shared" si="70"/>
        <v>-8094.13</v>
      </c>
      <c r="Y85" s="1"/>
      <c r="Z85" s="5">
        <f t="shared" si="71"/>
        <v>-0.91348136444431904</v>
      </c>
    </row>
    <row r="86" spans="1:26" s="24" customFormat="1" hidden="1" outlineLevel="2" x14ac:dyDescent="0.25">
      <c r="A86" s="25"/>
      <c r="B86" s="11" t="str">
        <f>CONCATENATE("          ", "6292", " - ", "TRAVEL/CONFERENCE")</f>
        <v xml:space="preserve">          6292 - TRAVEL/CONFERENCE</v>
      </c>
      <c r="C86" s="11"/>
      <c r="D86" s="6">
        <v>720</v>
      </c>
      <c r="E86" s="2"/>
      <c r="F86" s="7">
        <f t="shared" si="64"/>
        <v>0</v>
      </c>
      <c r="G86" s="2"/>
      <c r="H86" s="6">
        <v>3233.37</v>
      </c>
      <c r="I86" s="2"/>
      <c r="J86" s="7">
        <f t="shared" si="65"/>
        <v>0</v>
      </c>
      <c r="K86" s="2"/>
      <c r="L86" s="6">
        <f t="shared" si="66"/>
        <v>-2513.37</v>
      </c>
      <c r="M86" s="2"/>
      <c r="N86" s="7">
        <f t="shared" si="67"/>
        <v>-0.77732211284201935</v>
      </c>
      <c r="O86" s="11"/>
      <c r="P86" s="6">
        <v>720</v>
      </c>
      <c r="Q86" s="2"/>
      <c r="R86" s="7">
        <f t="shared" si="68"/>
        <v>0</v>
      </c>
      <c r="S86" s="2"/>
      <c r="T86" s="6">
        <v>8836.85</v>
      </c>
      <c r="U86" s="2"/>
      <c r="V86" s="7">
        <f t="shared" si="69"/>
        <v>0</v>
      </c>
      <c r="W86" s="2"/>
      <c r="X86" s="6">
        <f t="shared" si="70"/>
        <v>-8116.85</v>
      </c>
      <c r="Y86" s="2"/>
      <c r="Z86" s="7">
        <f t="shared" si="71"/>
        <v>-0.91852300310631052</v>
      </c>
    </row>
    <row r="87" spans="1:26" s="24" customFormat="1" hidden="1" outlineLevel="2" x14ac:dyDescent="0.25">
      <c r="A87" s="25"/>
      <c r="B87" s="11" t="str">
        <f>CONCATENATE("          ", "6294", " - ", "TRAVEL OPERATIONAL")</f>
        <v xml:space="preserve">          6294 - TRAVEL OPERATIONAL</v>
      </c>
      <c r="C87" s="11"/>
      <c r="D87" s="6"/>
      <c r="E87" s="2"/>
      <c r="F87" s="7">
        <f t="shared" si="64"/>
        <v>0</v>
      </c>
      <c r="G87" s="2"/>
      <c r="H87" s="6"/>
      <c r="I87" s="2"/>
      <c r="J87" s="7">
        <f t="shared" si="65"/>
        <v>0</v>
      </c>
      <c r="K87" s="2"/>
      <c r="L87" s="6">
        <f t="shared" si="66"/>
        <v>0</v>
      </c>
      <c r="M87" s="2"/>
      <c r="N87" s="7">
        <f t="shared" si="67"/>
        <v>0</v>
      </c>
      <c r="O87" s="11"/>
      <c r="P87" s="6">
        <v>46.62</v>
      </c>
      <c r="Q87" s="2"/>
      <c r="R87" s="7">
        <f t="shared" si="68"/>
        <v>0</v>
      </c>
      <c r="S87" s="2"/>
      <c r="T87" s="6">
        <v>23.9</v>
      </c>
      <c r="U87" s="2"/>
      <c r="V87" s="7">
        <f t="shared" si="69"/>
        <v>0</v>
      </c>
      <c r="W87" s="2"/>
      <c r="X87" s="6">
        <f t="shared" si="70"/>
        <v>22.72</v>
      </c>
      <c r="Y87" s="2"/>
      <c r="Z87" s="7">
        <f t="shared" si="71"/>
        <v>0.9506276150627615</v>
      </c>
    </row>
    <row r="88" spans="1:26" s="53" customFormat="1" x14ac:dyDescent="0.25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9" t="s">
        <v>0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8" t="s">
        <v>3</v>
      </c>
      <c r="C91" s="28"/>
      <c r="D91" s="20">
        <f>+D16-D18+D89</f>
        <v>183271.43000000002</v>
      </c>
      <c r="E91" s="14"/>
      <c r="F91" s="22">
        <f>IF(D$12=0,0,D91/D$12)</f>
        <v>0</v>
      </c>
      <c r="G91" s="14"/>
      <c r="H91" s="20">
        <f>+H16-H18+H89</f>
        <v>-349632.63</v>
      </c>
      <c r="I91" s="14"/>
      <c r="J91" s="22">
        <f>IF(H$12=0,0,H91/H$12)</f>
        <v>0</v>
      </c>
      <c r="K91" s="15"/>
      <c r="L91" s="20">
        <f>+D91-H91</f>
        <v>532904.06000000006</v>
      </c>
      <c r="M91" s="15"/>
      <c r="N91" s="22">
        <f>IF(H91=0,0,L91/H91)</f>
        <v>-1.5241828544435343</v>
      </c>
      <c r="O91" s="29"/>
      <c r="P91" s="20">
        <f>+P16-P18+P89</f>
        <v>-740376.26000000024</v>
      </c>
      <c r="Q91" s="14"/>
      <c r="R91" s="22">
        <f>IF(P$12=0,0,P91/P$12)</f>
        <v>0</v>
      </c>
      <c r="S91" s="14"/>
      <c r="T91" s="20">
        <f>+T16-T18+T89</f>
        <v>-1704289.1400000006</v>
      </c>
      <c r="U91" s="14"/>
      <c r="V91" s="22">
        <f>IF(T$12=0,0,T91/T$12)</f>
        <v>0</v>
      </c>
      <c r="W91" s="15"/>
      <c r="X91" s="20">
        <f>+P91-T91</f>
        <v>963912.88000000035</v>
      </c>
      <c r="Y91" s="15"/>
      <c r="Z91" s="22">
        <f>IF(T91=0,0,X91/T91)</f>
        <v>-0.56558060330068172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1"/>
      <c r="B93" s="10" t="s">
        <v>13</v>
      </c>
      <c r="C93" s="10"/>
      <c r="D93" s="4"/>
      <c r="E93" s="4"/>
      <c r="F93" s="12">
        <f>IF(D$12=0,0,D93/D$12)</f>
        <v>0</v>
      </c>
      <c r="G93" s="4"/>
      <c r="H93" s="4"/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/>
      <c r="Q93" s="4"/>
      <c r="R93" s="12">
        <f>IF(P$12=0,0,P93/P$12)</f>
        <v>0</v>
      </c>
      <c r="S93" s="4"/>
      <c r="T93" s="4"/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8" t="s">
        <v>4</v>
      </c>
      <c r="C95" s="28"/>
      <c r="D95" s="31">
        <f>+D91-D93</f>
        <v>183271.43000000002</v>
      </c>
      <c r="E95" s="14"/>
      <c r="F95" s="34">
        <f>IF(D$12=0,0,D95/D$12)</f>
        <v>0</v>
      </c>
      <c r="G95" s="14"/>
      <c r="H95" s="31">
        <f>+H91-H93</f>
        <v>-349632.63</v>
      </c>
      <c r="I95" s="14"/>
      <c r="J95" s="34">
        <f>IF(H$12=0,0,H95/H$12)</f>
        <v>0</v>
      </c>
      <c r="K95" s="15"/>
      <c r="L95" s="31">
        <f>D95-H95</f>
        <v>532904.06000000006</v>
      </c>
      <c r="M95" s="15"/>
      <c r="N95" s="34">
        <f>IF(H95=0,0,L95/H95)</f>
        <v>-1.5241828544435343</v>
      </c>
      <c r="O95" s="29"/>
      <c r="P95" s="31">
        <f>+P91-P93</f>
        <v>-740376.26000000024</v>
      </c>
      <c r="Q95" s="14"/>
      <c r="R95" s="34">
        <f>IF(P$12=0,0,P95/P$12)</f>
        <v>0</v>
      </c>
      <c r="S95" s="14"/>
      <c r="T95" s="31">
        <f>+T91-T93</f>
        <v>-1704289.1400000006</v>
      </c>
      <c r="U95" s="14"/>
      <c r="V95" s="34">
        <f>IF(T$12=0,0,T95/T$12)</f>
        <v>0</v>
      </c>
      <c r="W95" s="15"/>
      <c r="X95" s="31">
        <f>P95-T95</f>
        <v>963912.88000000035</v>
      </c>
      <c r="Y95" s="15"/>
      <c r="Z95" s="34">
        <f>IF(T95=0,0,X95/T95)</f>
        <v>-0.56558060330068172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8" t="s">
        <v>5</v>
      </c>
      <c r="C98" s="28"/>
      <c r="D98" s="32">
        <f>SUM(D95:D97)</f>
        <v>183271.43000000002</v>
      </c>
      <c r="E98" s="14"/>
      <c r="F98" s="30">
        <f>IF(D$12=0,0,D98/D$12)</f>
        <v>0</v>
      </c>
      <c r="G98" s="14"/>
      <c r="H98" s="32">
        <f>SUM(H95:H97)</f>
        <v>-349632.63</v>
      </c>
      <c r="I98" s="14"/>
      <c r="J98" s="30">
        <f>IF(H$12=0,0,H98/H$12)</f>
        <v>0</v>
      </c>
      <c r="K98" s="15"/>
      <c r="L98" s="32">
        <f>+D98-H98</f>
        <v>532904.06000000006</v>
      </c>
      <c r="M98" s="15"/>
      <c r="N98" s="30">
        <f>IF(H98=0,0,L98/H98)</f>
        <v>-1.5241828544435343</v>
      </c>
      <c r="O98" s="29"/>
      <c r="P98" s="32">
        <f>SUM(P95:P97)</f>
        <v>-740376.26000000024</v>
      </c>
      <c r="Q98" s="14"/>
      <c r="R98" s="30">
        <f>IF(P$12=0,0,P98/P$12)</f>
        <v>0</v>
      </c>
      <c r="S98" s="14"/>
      <c r="T98" s="32">
        <f>SUM(T95:T97)</f>
        <v>-1704289.1400000006</v>
      </c>
      <c r="U98" s="14"/>
      <c r="V98" s="30">
        <f>IF(T$12=0,0,T98/T$12)</f>
        <v>0</v>
      </c>
      <c r="W98" s="15"/>
      <c r="X98" s="32">
        <f>+P98-T98</f>
        <v>963912.88000000035</v>
      </c>
      <c r="Y98" s="15"/>
      <c r="Z98" s="30">
        <f>IF(T98=0,0,X98/T98)</f>
        <v>-0.56558060330068172</v>
      </c>
    </row>
    <row r="99" spans="1:26" ht="15.75" thickTop="1" x14ac:dyDescent="0.25">
      <c r="A99" s="9"/>
      <c r="C99" s="9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6" x14ac:dyDescent="0.25">
      <c r="A100" s="9"/>
      <c r="B100" s="54">
        <v>44174.684989814814</v>
      </c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56" t="s">
        <v>313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61"/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","200", " - ", "Corporate Expense")</f>
        <v>Department 200 - Corporate Expense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-368849.51000000007</v>
      </c>
      <c r="E18" s="21"/>
      <c r="F18" s="35">
        <f t="shared" ref="F18:F29" si="0">IF(D$12=0,0,D18/D$12)</f>
        <v>0</v>
      </c>
      <c r="G18" s="21"/>
      <c r="H18" s="21">
        <f>SUM(OSRRefH22x_0)</f>
        <v>130672.54000000001</v>
      </c>
      <c r="I18" s="21"/>
      <c r="J18" s="35">
        <f t="shared" ref="J18:J29" si="1">IF(H$12=0,0,H18/H$12)</f>
        <v>0</v>
      </c>
      <c r="K18" s="4"/>
      <c r="L18" s="21">
        <f t="shared" ref="L18:L29" si="2">+D18-H18</f>
        <v>-499522.05000000005</v>
      </c>
      <c r="M18" s="4"/>
      <c r="N18" s="35">
        <f t="shared" ref="N18:N29" si="3">IF(H18=0,0,L18/H18)</f>
        <v>-3.822701005123188</v>
      </c>
      <c r="O18" s="10"/>
      <c r="P18" s="21">
        <f>SUM(OSRRefP22x_0)</f>
        <v>-213840.4</v>
      </c>
      <c r="Q18" s="21"/>
      <c r="R18" s="35">
        <f t="shared" ref="R18:R29" si="4">IF(P$12=0,0,P18/P$12)</f>
        <v>0</v>
      </c>
      <c r="S18" s="21"/>
      <c r="T18" s="21">
        <f>SUM(OSRRefT22x_0)</f>
        <v>319112.19</v>
      </c>
      <c r="U18" s="21"/>
      <c r="V18" s="35">
        <f t="shared" ref="V18:V29" si="5">IF(T$12=0,0,T18/T$12)</f>
        <v>0</v>
      </c>
      <c r="W18" s="4"/>
      <c r="X18" s="21">
        <f t="shared" ref="X18:X29" si="6">+P18-T18</f>
        <v>-532952.59</v>
      </c>
      <c r="Y18" s="4"/>
      <c r="Z18" s="35">
        <f t="shared" ref="Z18:Z29" si="7">IF(T18=0,0,X18/T18)</f>
        <v>-1.6701104085055478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-369662.33</v>
      </c>
      <c r="E19" s="1"/>
      <c r="F19" s="5">
        <f t="shared" si="0"/>
        <v>0</v>
      </c>
      <c r="G19" s="1"/>
      <c r="H19" s="1">
        <f>SUM(OSRRefH22_0x_0)</f>
        <v>29023.1</v>
      </c>
      <c r="I19" s="1"/>
      <c r="J19" s="5">
        <f t="shared" si="1"/>
        <v>0</v>
      </c>
      <c r="K19" s="1"/>
      <c r="L19" s="1">
        <f t="shared" si="2"/>
        <v>-398685.43</v>
      </c>
      <c r="M19" s="1"/>
      <c r="N19" s="5">
        <f t="shared" si="3"/>
        <v>-13.736831351578571</v>
      </c>
      <c r="O19" s="13"/>
      <c r="P19" s="1">
        <f>SUM(OSRRefP22_0x_0)</f>
        <v>-247256.65</v>
      </c>
      <c r="Q19" s="1"/>
      <c r="R19" s="5">
        <f t="shared" si="4"/>
        <v>0</v>
      </c>
      <c r="S19" s="1"/>
      <c r="T19" s="1">
        <f>SUM(OSRRefT22_0x_0)</f>
        <v>146429.12</v>
      </c>
      <c r="U19" s="1"/>
      <c r="V19" s="5">
        <f t="shared" si="5"/>
        <v>0</v>
      </c>
      <c r="W19" s="1"/>
      <c r="X19" s="1">
        <f t="shared" si="6"/>
        <v>-393685.77</v>
      </c>
      <c r="Y19" s="1"/>
      <c r="Z19" s="5">
        <f t="shared" si="7"/>
        <v>-2.6885756740189386</v>
      </c>
    </row>
    <row r="20" spans="1:26" s="24" customFormat="1" hidden="1" outlineLevel="2" x14ac:dyDescent="0.25">
      <c r="A20" s="25"/>
      <c r="B20" s="11" t="str">
        <f>CONCATENATE("          ", "6120", " - ", "RETIREES HEALTH INSURANCE")</f>
        <v xml:space="preserve">          6120 - RETIREES HEALTH INSURANCE</v>
      </c>
      <c r="C20" s="11"/>
      <c r="D20" s="6">
        <v>-369662.33</v>
      </c>
      <c r="E20" s="2"/>
      <c r="F20" s="7">
        <f t="shared" si="0"/>
        <v>0</v>
      </c>
      <c r="G20" s="2"/>
      <c r="H20" s="6">
        <v>29023.1</v>
      </c>
      <c r="I20" s="2"/>
      <c r="J20" s="7">
        <f t="shared" si="1"/>
        <v>0</v>
      </c>
      <c r="K20" s="2"/>
      <c r="L20" s="6">
        <f t="shared" si="2"/>
        <v>-398685.43</v>
      </c>
      <c r="M20" s="2"/>
      <c r="N20" s="7">
        <f t="shared" si="3"/>
        <v>-13.736831351578571</v>
      </c>
      <c r="O20" s="11"/>
      <c r="P20" s="6">
        <v>-247256.65</v>
      </c>
      <c r="Q20" s="2"/>
      <c r="R20" s="7">
        <f t="shared" si="4"/>
        <v>0</v>
      </c>
      <c r="S20" s="2"/>
      <c r="T20" s="6">
        <v>146429.12</v>
      </c>
      <c r="U20" s="2"/>
      <c r="V20" s="7">
        <f t="shared" si="5"/>
        <v>0</v>
      </c>
      <c r="W20" s="2"/>
      <c r="X20" s="6">
        <f t="shared" si="6"/>
        <v>-393685.77</v>
      </c>
      <c r="Y20" s="2"/>
      <c r="Z20" s="7">
        <f t="shared" si="7"/>
        <v>-2.6885756740189386</v>
      </c>
    </row>
    <row r="21" spans="1:26" s="26" customFormat="1" outlineLevel="1" collapsed="1" x14ac:dyDescent="0.25">
      <c r="A21" s="27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-13.34</v>
      </c>
      <c r="E21" s="1"/>
      <c r="F21" s="5">
        <f t="shared" si="0"/>
        <v>0</v>
      </c>
      <c r="G21" s="1"/>
      <c r="H21" s="1">
        <f>SUM(OSRRefH22_1x_0)</f>
        <v>1830.56</v>
      </c>
      <c r="I21" s="1"/>
      <c r="J21" s="5">
        <f t="shared" si="1"/>
        <v>0</v>
      </c>
      <c r="K21" s="1"/>
      <c r="L21" s="1">
        <f t="shared" si="2"/>
        <v>-1843.8999999999999</v>
      </c>
      <c r="M21" s="1"/>
      <c r="N21" s="5">
        <f t="shared" si="3"/>
        <v>-1.0072873874661306</v>
      </c>
      <c r="O21" s="13"/>
      <c r="P21" s="1">
        <f>SUM(OSRRefP22_1x_0)</f>
        <v>2897.58</v>
      </c>
      <c r="Q21" s="1"/>
      <c r="R21" s="5">
        <f t="shared" si="4"/>
        <v>0</v>
      </c>
      <c r="S21" s="1"/>
      <c r="T21" s="1">
        <f>SUM(OSRRefT22_1x_0)</f>
        <v>22756.720000000001</v>
      </c>
      <c r="U21" s="1"/>
      <c r="V21" s="5">
        <f t="shared" si="5"/>
        <v>0</v>
      </c>
      <c r="W21" s="1"/>
      <c r="X21" s="1">
        <f t="shared" si="6"/>
        <v>-19859.14</v>
      </c>
      <c r="Y21" s="1"/>
      <c r="Z21" s="5">
        <f t="shared" si="7"/>
        <v>-0.87267145704653393</v>
      </c>
    </row>
    <row r="22" spans="1:26" s="24" customFormat="1" hidden="1" outlineLevel="2" x14ac:dyDescent="0.25">
      <c r="A22" s="25"/>
      <c r="B22" s="11" t="str">
        <f>CONCATENATE("          ", "6381", " - ", "BANK/CREDIT CARD FEES")</f>
        <v xml:space="preserve">          6381 - BANK/CREDIT CARD FEES</v>
      </c>
      <c r="C22" s="11"/>
      <c r="D22" s="6">
        <v>-13.34</v>
      </c>
      <c r="E22" s="2"/>
      <c r="F22" s="7">
        <f t="shared" si="0"/>
        <v>0</v>
      </c>
      <c r="G22" s="2"/>
      <c r="H22" s="6">
        <v>1830.56</v>
      </c>
      <c r="I22" s="2"/>
      <c r="J22" s="7">
        <f t="shared" si="1"/>
        <v>0</v>
      </c>
      <c r="K22" s="2"/>
      <c r="L22" s="6">
        <f t="shared" si="2"/>
        <v>-1843.8999999999999</v>
      </c>
      <c r="M22" s="2"/>
      <c r="N22" s="7">
        <f t="shared" si="3"/>
        <v>-1.0072873874661306</v>
      </c>
      <c r="O22" s="11"/>
      <c r="P22" s="6">
        <v>2897.58</v>
      </c>
      <c r="Q22" s="2"/>
      <c r="R22" s="7">
        <f t="shared" si="4"/>
        <v>0</v>
      </c>
      <c r="S22" s="2"/>
      <c r="T22" s="6">
        <v>22756.720000000001</v>
      </c>
      <c r="U22" s="2"/>
      <c r="V22" s="7">
        <f t="shared" si="5"/>
        <v>0</v>
      </c>
      <c r="W22" s="2"/>
      <c r="X22" s="6">
        <f t="shared" si="6"/>
        <v>-19859.14</v>
      </c>
      <c r="Y22" s="2"/>
      <c r="Z22" s="7">
        <f t="shared" si="7"/>
        <v>-0.87267145704653393</v>
      </c>
    </row>
    <row r="23" spans="1:26" s="26" customFormat="1" outlineLevel="1" collapsed="1" x14ac:dyDescent="0.25">
      <c r="A23" s="27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601.16</v>
      </c>
      <c r="E23" s="1"/>
      <c r="F23" s="5">
        <f t="shared" si="0"/>
        <v>0</v>
      </c>
      <c r="G23" s="1"/>
      <c r="H23" s="1">
        <f>SUM(OSRRefH22_2x_0)</f>
        <v>2318.88</v>
      </c>
      <c r="I23" s="1"/>
      <c r="J23" s="5">
        <f t="shared" si="1"/>
        <v>0</v>
      </c>
      <c r="K23" s="1"/>
      <c r="L23" s="1">
        <f t="shared" si="2"/>
        <v>-1717.7200000000003</v>
      </c>
      <c r="M23" s="1"/>
      <c r="N23" s="5">
        <f t="shared" si="3"/>
        <v>-0.74075415717932802</v>
      </c>
      <c r="O23" s="13"/>
      <c r="P23" s="1">
        <f>SUM(OSRRefP22_2x_0)</f>
        <v>7122.17</v>
      </c>
      <c r="Q23" s="1"/>
      <c r="R23" s="5">
        <f t="shared" si="4"/>
        <v>0</v>
      </c>
      <c r="S23" s="1"/>
      <c r="T23" s="1">
        <f>SUM(OSRRefT22_2x_0)</f>
        <v>14165.11</v>
      </c>
      <c r="U23" s="1"/>
      <c r="V23" s="5">
        <f t="shared" si="5"/>
        <v>0</v>
      </c>
      <c r="W23" s="1"/>
      <c r="X23" s="1">
        <f t="shared" si="6"/>
        <v>-7042.9400000000005</v>
      </c>
      <c r="Y23" s="1"/>
      <c r="Z23" s="5">
        <f t="shared" si="7"/>
        <v>-0.49720333975521547</v>
      </c>
    </row>
    <row r="24" spans="1:26" s="24" customFormat="1" hidden="1" outlineLevel="2" x14ac:dyDescent="0.25">
      <c r="A24" s="25"/>
      <c r="B24" s="11" t="str">
        <f>CONCATENATE("          ", "6397", " - ", "BOARD EXPENSES")</f>
        <v xml:space="preserve">          6397 - BOARD EXPENSES</v>
      </c>
      <c r="C24" s="11"/>
      <c r="D24" s="6">
        <v>601.16</v>
      </c>
      <c r="E24" s="2"/>
      <c r="F24" s="7">
        <f t="shared" si="0"/>
        <v>0</v>
      </c>
      <c r="G24" s="2"/>
      <c r="H24" s="6">
        <v>2318.88</v>
      </c>
      <c r="I24" s="2"/>
      <c r="J24" s="7">
        <f t="shared" si="1"/>
        <v>0</v>
      </c>
      <c r="K24" s="2"/>
      <c r="L24" s="6">
        <f t="shared" si="2"/>
        <v>-1717.7200000000003</v>
      </c>
      <c r="M24" s="2"/>
      <c r="N24" s="7">
        <f t="shared" si="3"/>
        <v>-0.74075415717932802</v>
      </c>
      <c r="O24" s="11"/>
      <c r="P24" s="6">
        <v>7122.17</v>
      </c>
      <c r="Q24" s="2"/>
      <c r="R24" s="7">
        <f t="shared" si="4"/>
        <v>0</v>
      </c>
      <c r="S24" s="2"/>
      <c r="T24" s="6">
        <v>14165.11</v>
      </c>
      <c r="U24" s="2"/>
      <c r="V24" s="7">
        <f t="shared" si="5"/>
        <v>0</v>
      </c>
      <c r="W24" s="2"/>
      <c r="X24" s="6">
        <f t="shared" si="6"/>
        <v>-7042.9400000000005</v>
      </c>
      <c r="Y24" s="2"/>
      <c r="Z24" s="7">
        <f t="shared" si="7"/>
        <v>-0.49720333975521547</v>
      </c>
    </row>
    <row r="25" spans="1:26" s="26" customFormat="1" outlineLevel="1" collapsed="1" x14ac:dyDescent="0.25">
      <c r="A25" s="27"/>
      <c r="B25" s="13" t="str">
        <f>CONCATENATE("     ","Donations                                         ")</f>
        <v xml:space="preserve">     Donations                                         </v>
      </c>
      <c r="C25" s="13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97500</v>
      </c>
      <c r="I25" s="1"/>
      <c r="J25" s="5">
        <f t="shared" si="1"/>
        <v>0</v>
      </c>
      <c r="K25" s="1"/>
      <c r="L25" s="1">
        <f t="shared" si="2"/>
        <v>-97500</v>
      </c>
      <c r="M25" s="1"/>
      <c r="N25" s="5">
        <f t="shared" si="3"/>
        <v>-1</v>
      </c>
      <c r="O25" s="13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97500</v>
      </c>
      <c r="U25" s="1"/>
      <c r="V25" s="5">
        <f t="shared" si="5"/>
        <v>0</v>
      </c>
      <c r="W25" s="1"/>
      <c r="X25" s="1">
        <f t="shared" si="6"/>
        <v>-97500</v>
      </c>
      <c r="Y25" s="1"/>
      <c r="Z25" s="5">
        <f t="shared" si="7"/>
        <v>-1</v>
      </c>
    </row>
    <row r="26" spans="1:26" s="24" customFormat="1" hidden="1" outlineLevel="2" x14ac:dyDescent="0.25">
      <c r="A26" s="25"/>
      <c r="B26" s="11" t="str">
        <f>CONCATENATE("          ", "6399", " - ", "DONATION-ON CAMPUS")</f>
        <v xml:space="preserve">          6399 - DONATION-ON CAMPUS</v>
      </c>
      <c r="C26" s="11"/>
      <c r="D26" s="6"/>
      <c r="E26" s="2"/>
      <c r="F26" s="7">
        <f t="shared" si="0"/>
        <v>0</v>
      </c>
      <c r="G26" s="2"/>
      <c r="H26" s="6">
        <v>97500</v>
      </c>
      <c r="I26" s="2"/>
      <c r="J26" s="7">
        <f t="shared" si="1"/>
        <v>0</v>
      </c>
      <c r="K26" s="2"/>
      <c r="L26" s="6">
        <f t="shared" si="2"/>
        <v>-97500</v>
      </c>
      <c r="M26" s="2"/>
      <c r="N26" s="7">
        <f t="shared" si="3"/>
        <v>-1</v>
      </c>
      <c r="O26" s="11"/>
      <c r="P26" s="6"/>
      <c r="Q26" s="2"/>
      <c r="R26" s="7">
        <f t="shared" si="4"/>
        <v>0</v>
      </c>
      <c r="S26" s="2"/>
      <c r="T26" s="6">
        <v>97500</v>
      </c>
      <c r="U26" s="2"/>
      <c r="V26" s="7">
        <f t="shared" si="5"/>
        <v>0</v>
      </c>
      <c r="W26" s="2"/>
      <c r="X26" s="6">
        <f t="shared" si="6"/>
        <v>-97500</v>
      </c>
      <c r="Y26" s="2"/>
      <c r="Z26" s="7">
        <f t="shared" si="7"/>
        <v>-1</v>
      </c>
    </row>
    <row r="27" spans="1:26" s="26" customFormat="1" outlineLevel="1" collapsed="1" x14ac:dyDescent="0.25">
      <c r="A27" s="27"/>
      <c r="B27" s="13" t="str">
        <f>CONCATENATE("     ","Professional Services                             ")</f>
        <v xml:space="preserve">     Professional Services                             </v>
      </c>
      <c r="C27" s="13"/>
      <c r="D27" s="1">
        <f>SUM(OSRRefD22_4x_0)</f>
        <v>225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225</v>
      </c>
      <c r="M27" s="1"/>
      <c r="N27" s="5">
        <f t="shared" si="3"/>
        <v>0</v>
      </c>
      <c r="O27" s="13"/>
      <c r="P27" s="1">
        <f>SUM(OSRRefP22_4x_0)</f>
        <v>23396.5</v>
      </c>
      <c r="Q27" s="1"/>
      <c r="R27" s="5">
        <f t="shared" si="4"/>
        <v>0</v>
      </c>
      <c r="S27" s="1"/>
      <c r="T27" s="1">
        <f>SUM(OSRRefT22_4x_0)</f>
        <v>38261.24</v>
      </c>
      <c r="U27" s="1"/>
      <c r="V27" s="5">
        <f t="shared" si="5"/>
        <v>0</v>
      </c>
      <c r="W27" s="1"/>
      <c r="X27" s="1">
        <f t="shared" si="6"/>
        <v>-14864.739999999998</v>
      </c>
      <c r="Y27" s="1"/>
      <c r="Z27" s="5">
        <f t="shared" si="7"/>
        <v>-0.38850648855081538</v>
      </c>
    </row>
    <row r="28" spans="1:26" s="24" customFormat="1" hidden="1" outlineLevel="2" x14ac:dyDescent="0.25">
      <c r="A28" s="25"/>
      <c r="B28" s="11" t="str">
        <f>CONCATENATE("          ", "6331", " - ", "INDIRECT COSTS-AUXILIARY ORGAN")</f>
        <v xml:space="preserve">          6331 - INDIRECT COSTS-AUXILIARY ORGAN</v>
      </c>
      <c r="C28" s="11"/>
      <c r="D28" s="6">
        <v>225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225</v>
      </c>
      <c r="M28" s="2"/>
      <c r="N28" s="7">
        <f t="shared" si="3"/>
        <v>0</v>
      </c>
      <c r="O28" s="11"/>
      <c r="P28" s="6">
        <v>23396.5</v>
      </c>
      <c r="Q28" s="2"/>
      <c r="R28" s="7">
        <f t="shared" si="4"/>
        <v>0</v>
      </c>
      <c r="S28" s="2"/>
      <c r="T28" s="6">
        <v>23199</v>
      </c>
      <c r="U28" s="2"/>
      <c r="V28" s="7">
        <f t="shared" si="5"/>
        <v>0</v>
      </c>
      <c r="W28" s="2"/>
      <c r="X28" s="6">
        <f t="shared" si="6"/>
        <v>197.5</v>
      </c>
      <c r="Y28" s="2"/>
      <c r="Z28" s="7">
        <f t="shared" si="7"/>
        <v>8.5132979869821969E-3</v>
      </c>
    </row>
    <row r="29" spans="1:26" s="24" customFormat="1" hidden="1" outlineLevel="2" x14ac:dyDescent="0.25">
      <c r="A29" s="25"/>
      <c r="B29" s="11" t="str">
        <f>CONCATENATE("          ", "6332", " - ", "CONSULTANT FEES")</f>
        <v xml:space="preserve">          6332 - CONSULTANT FEES</v>
      </c>
      <c r="C29" s="11"/>
      <c r="D29" s="6"/>
      <c r="E29" s="2"/>
      <c r="F29" s="7">
        <f t="shared" si="0"/>
        <v>0</v>
      </c>
      <c r="G29" s="2"/>
      <c r="H29" s="6"/>
      <c r="I29" s="2"/>
      <c r="J29" s="7">
        <f t="shared" si="1"/>
        <v>0</v>
      </c>
      <c r="K29" s="2"/>
      <c r="L29" s="6">
        <f t="shared" si="2"/>
        <v>0</v>
      </c>
      <c r="M29" s="2"/>
      <c r="N29" s="7">
        <f t="shared" si="3"/>
        <v>0</v>
      </c>
      <c r="O29" s="11"/>
      <c r="P29" s="6"/>
      <c r="Q29" s="2"/>
      <c r="R29" s="7">
        <f t="shared" si="4"/>
        <v>0</v>
      </c>
      <c r="S29" s="2"/>
      <c r="T29" s="6">
        <v>15062.24</v>
      </c>
      <c r="U29" s="2"/>
      <c r="V29" s="7">
        <f t="shared" si="5"/>
        <v>0</v>
      </c>
      <c r="W29" s="2"/>
      <c r="X29" s="6">
        <f t="shared" si="6"/>
        <v>-15062.24</v>
      </c>
      <c r="Y29" s="2"/>
      <c r="Z29" s="7">
        <f t="shared" si="7"/>
        <v>-1</v>
      </c>
    </row>
    <row r="30" spans="1:26" s="53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9" t="s">
        <v>0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8" t="s">
        <v>3</v>
      </c>
      <c r="C33" s="28"/>
      <c r="D33" s="20">
        <f>+D16-D18+D31</f>
        <v>368849.51000000007</v>
      </c>
      <c r="E33" s="14"/>
      <c r="F33" s="22">
        <f>IF(D$12=0,0,D33/D$12)</f>
        <v>0</v>
      </c>
      <c r="G33" s="14"/>
      <c r="H33" s="20">
        <f>+H16-H18+H31</f>
        <v>-130672.54000000001</v>
      </c>
      <c r="I33" s="14"/>
      <c r="J33" s="22">
        <f>IF(H$12=0,0,H33/H$12)</f>
        <v>0</v>
      </c>
      <c r="K33" s="15"/>
      <c r="L33" s="20">
        <f>+D33-H33</f>
        <v>499522.05000000005</v>
      </c>
      <c r="M33" s="15"/>
      <c r="N33" s="22">
        <f>IF(H33=0,0,L33/H33)</f>
        <v>-3.822701005123188</v>
      </c>
      <c r="O33" s="29"/>
      <c r="P33" s="20">
        <f>+P16-P18+P31</f>
        <v>213840.4</v>
      </c>
      <c r="Q33" s="14"/>
      <c r="R33" s="22">
        <f>IF(P$12=0,0,P33/P$12)</f>
        <v>0</v>
      </c>
      <c r="S33" s="14"/>
      <c r="T33" s="20">
        <f>+T16-T18+T31</f>
        <v>-319112.19</v>
      </c>
      <c r="U33" s="14"/>
      <c r="V33" s="22">
        <f>IF(T$12=0,0,T33/T$12)</f>
        <v>0</v>
      </c>
      <c r="W33" s="15"/>
      <c r="X33" s="20">
        <f>+P33-T33</f>
        <v>532952.59</v>
      </c>
      <c r="Y33" s="15"/>
      <c r="Z33" s="22">
        <f>IF(T33=0,0,X33/T33)</f>
        <v>-1.6701104085055478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1"/>
      <c r="B35" s="10" t="s">
        <v>13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8" t="s">
        <v>4</v>
      </c>
      <c r="C37" s="28"/>
      <c r="D37" s="31">
        <f>+D33-D35</f>
        <v>368849.51000000007</v>
      </c>
      <c r="E37" s="14"/>
      <c r="F37" s="34">
        <f>IF(D$12=0,0,D37/D$12)</f>
        <v>0</v>
      </c>
      <c r="G37" s="14"/>
      <c r="H37" s="31">
        <f>+H33-H35</f>
        <v>-130672.54000000001</v>
      </c>
      <c r="I37" s="14"/>
      <c r="J37" s="34">
        <f>IF(H$12=0,0,H37/H$12)</f>
        <v>0</v>
      </c>
      <c r="K37" s="15"/>
      <c r="L37" s="31">
        <f>D37-H37</f>
        <v>499522.05000000005</v>
      </c>
      <c r="M37" s="15"/>
      <c r="N37" s="34">
        <f>IF(H37=0,0,L37/H37)</f>
        <v>-3.822701005123188</v>
      </c>
      <c r="O37" s="29"/>
      <c r="P37" s="31">
        <f>+P33-P35</f>
        <v>213840.4</v>
      </c>
      <c r="Q37" s="14"/>
      <c r="R37" s="34">
        <f>IF(P$12=0,0,P37/P$12)</f>
        <v>0</v>
      </c>
      <c r="S37" s="14"/>
      <c r="T37" s="31">
        <f>+T33-T35</f>
        <v>-319112.19</v>
      </c>
      <c r="U37" s="14"/>
      <c r="V37" s="34">
        <f>IF(T$12=0,0,T37/T$12)</f>
        <v>0</v>
      </c>
      <c r="W37" s="15"/>
      <c r="X37" s="31">
        <f>P37-T37</f>
        <v>532952.59</v>
      </c>
      <c r="Y37" s="15"/>
      <c r="Z37" s="34">
        <f>IF(T37=0,0,X37/T37)</f>
        <v>-1.6701104085055478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8" t="s">
        <v>5</v>
      </c>
      <c r="C40" s="28"/>
      <c r="D40" s="32">
        <f>SUM(D37:D39)</f>
        <v>368849.51000000007</v>
      </c>
      <c r="E40" s="14"/>
      <c r="F40" s="30">
        <f>IF(D$12=0,0,D40/D$12)</f>
        <v>0</v>
      </c>
      <c r="G40" s="14"/>
      <c r="H40" s="32">
        <f>SUM(H37:H39)</f>
        <v>-130672.54000000001</v>
      </c>
      <c r="I40" s="14"/>
      <c r="J40" s="30">
        <f>IF(H$12=0,0,H40/H$12)</f>
        <v>0</v>
      </c>
      <c r="K40" s="15"/>
      <c r="L40" s="32">
        <f>+D40-H40</f>
        <v>499522.05000000005</v>
      </c>
      <c r="M40" s="15"/>
      <c r="N40" s="30">
        <f>IF(H40=0,0,L40/H40)</f>
        <v>-3.822701005123188</v>
      </c>
      <c r="O40" s="29"/>
      <c r="P40" s="32">
        <f>SUM(P37:P39)</f>
        <v>213840.4</v>
      </c>
      <c r="Q40" s="14"/>
      <c r="R40" s="30">
        <f>IF(P$12=0,0,P40/P$12)</f>
        <v>0</v>
      </c>
      <c r="S40" s="14"/>
      <c r="T40" s="32">
        <f>SUM(T37:T39)</f>
        <v>-319112.19</v>
      </c>
      <c r="U40" s="14"/>
      <c r="V40" s="30">
        <f>IF(T$12=0,0,T40/T$12)</f>
        <v>0</v>
      </c>
      <c r="W40" s="15"/>
      <c r="X40" s="32">
        <f>+P40-T40</f>
        <v>532952.59</v>
      </c>
      <c r="Y40" s="15"/>
      <c r="Z40" s="30">
        <f>IF(T40=0,0,X40/T40)</f>
        <v>-1.6701104085055478</v>
      </c>
    </row>
    <row r="41" spans="1:26" ht="15.75" thickTop="1" x14ac:dyDescent="0.25">
      <c r="A41" s="9"/>
      <c r="C41" s="9"/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25">
      <c r="A42" s="9"/>
      <c r="B42" s="54">
        <v>44174.68533472222</v>
      </c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25">
      <c r="A43" s="9"/>
      <c r="B43" s="56" t="s">
        <v>313</v>
      </c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25">
      <c r="A44" s="9"/>
      <c r="B44" s="61"/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  <row r="45" spans="1:26" x14ac:dyDescent="0.25">
      <c r="D45" s="17"/>
      <c r="E45" s="17"/>
      <c r="G45" s="17"/>
      <c r="H45" s="17"/>
      <c r="I45" s="17"/>
      <c r="J45" s="43"/>
      <c r="K45" s="17"/>
      <c r="L45" s="17"/>
      <c r="M45" s="17"/>
      <c r="P45" s="17"/>
      <c r="Q45" s="17"/>
      <c r="R45" s="43"/>
      <c r="S45" s="17"/>
      <c r="T45" s="17"/>
      <c r="U45" s="17"/>
      <c r="V45" s="43"/>
      <c r="W45" s="17"/>
      <c r="X45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","201", " - ", "General Manager")</f>
        <v>Department 201 - General Manager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45348.319999999992</v>
      </c>
      <c r="E18" s="21"/>
      <c r="F18" s="35">
        <f t="shared" ref="F18:F27" si="0">IF(D$12=0,0,D18/D$12)</f>
        <v>0</v>
      </c>
      <c r="G18" s="21"/>
      <c r="H18" s="21">
        <f>SUM(OSRRefH22x_0)</f>
        <v>55653.32</v>
      </c>
      <c r="I18" s="21"/>
      <c r="J18" s="35">
        <f t="shared" ref="J18:J27" si="1">IF(H$12=0,0,H18/H$12)</f>
        <v>0</v>
      </c>
      <c r="K18" s="4"/>
      <c r="L18" s="21">
        <f t="shared" ref="L18:L27" si="2">+D18-H18</f>
        <v>-10305.000000000007</v>
      </c>
      <c r="M18" s="4"/>
      <c r="N18" s="35">
        <f t="shared" ref="N18:N27" si="3">IF(H18=0,0,L18/H18)</f>
        <v>-0.18516415552567228</v>
      </c>
      <c r="O18" s="10"/>
      <c r="P18" s="21">
        <f>SUM(OSRRefP22x_0)</f>
        <v>187915.14</v>
      </c>
      <c r="Q18" s="21"/>
      <c r="R18" s="35">
        <f t="shared" ref="R18:R27" si="4">IF(P$12=0,0,P18/P$12)</f>
        <v>0</v>
      </c>
      <c r="S18" s="21"/>
      <c r="T18" s="21">
        <f>SUM(OSRRefT22x_0)</f>
        <v>400662.36999999994</v>
      </c>
      <c r="U18" s="21"/>
      <c r="V18" s="35">
        <f t="shared" ref="V18:V27" si="5">IF(T$12=0,0,T18/T$12)</f>
        <v>0</v>
      </c>
      <c r="W18" s="4"/>
      <c r="X18" s="21">
        <f t="shared" ref="X18:X27" si="6">+P18-T18</f>
        <v>-212747.22999999992</v>
      </c>
      <c r="Y18" s="4"/>
      <c r="Z18" s="35">
        <f t="shared" ref="Z18:Z27" si="7">IF(T18=0,0,X18/T18)</f>
        <v>-0.53098879737570548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13020.759999999998</v>
      </c>
      <c r="E19" s="1"/>
      <c r="F19" s="5">
        <f t="shared" si="0"/>
        <v>0</v>
      </c>
      <c r="G19" s="1"/>
      <c r="H19" s="1">
        <f>SUM(OSRRefH22_0x_0)</f>
        <v>9148.76</v>
      </c>
      <c r="I19" s="1"/>
      <c r="J19" s="5">
        <f t="shared" si="1"/>
        <v>0</v>
      </c>
      <c r="K19" s="1"/>
      <c r="L19" s="1">
        <f t="shared" si="2"/>
        <v>3871.9999999999982</v>
      </c>
      <c r="M19" s="1"/>
      <c r="N19" s="5">
        <f t="shared" si="3"/>
        <v>0.42322675422680212</v>
      </c>
      <c r="O19" s="13"/>
      <c r="P19" s="1">
        <f>SUM(OSRRefP22_0x_0)</f>
        <v>56115.1</v>
      </c>
      <c r="Q19" s="1"/>
      <c r="R19" s="5">
        <f t="shared" si="4"/>
        <v>0</v>
      </c>
      <c r="S19" s="1"/>
      <c r="T19" s="1">
        <f>SUM(OSRRefT22_0x_0)</f>
        <v>88345.18</v>
      </c>
      <c r="U19" s="1"/>
      <c r="V19" s="5">
        <f t="shared" si="5"/>
        <v>0</v>
      </c>
      <c r="W19" s="1"/>
      <c r="X19" s="1">
        <f t="shared" si="6"/>
        <v>-32230.079999999994</v>
      </c>
      <c r="Y19" s="1"/>
      <c r="Z19" s="5">
        <f t="shared" si="7"/>
        <v>-0.36481990302130796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646.23</v>
      </c>
      <c r="E20" s="2"/>
      <c r="F20" s="7">
        <f t="shared" si="0"/>
        <v>0</v>
      </c>
      <c r="G20" s="2"/>
      <c r="H20" s="6">
        <v>576.6</v>
      </c>
      <c r="I20" s="2"/>
      <c r="J20" s="7">
        <f t="shared" si="1"/>
        <v>0</v>
      </c>
      <c r="K20" s="2"/>
      <c r="L20" s="6">
        <f t="shared" si="2"/>
        <v>69.63</v>
      </c>
      <c r="M20" s="2"/>
      <c r="N20" s="7">
        <f t="shared" si="3"/>
        <v>0.12075962539021851</v>
      </c>
      <c r="O20" s="11"/>
      <c r="P20" s="6">
        <v>6346.63</v>
      </c>
      <c r="Q20" s="2"/>
      <c r="R20" s="7">
        <f t="shared" si="4"/>
        <v>0</v>
      </c>
      <c r="S20" s="2"/>
      <c r="T20" s="6">
        <v>11806.05</v>
      </c>
      <c r="U20" s="2"/>
      <c r="V20" s="7">
        <f t="shared" si="5"/>
        <v>0</v>
      </c>
      <c r="W20" s="2"/>
      <c r="X20" s="6">
        <f t="shared" si="6"/>
        <v>-5459.4199999999992</v>
      </c>
      <c r="Y20" s="2"/>
      <c r="Z20" s="7">
        <f t="shared" si="7"/>
        <v>-0.46242562076223626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193.48</v>
      </c>
      <c r="E21" s="2"/>
      <c r="F21" s="7">
        <f t="shared" si="0"/>
        <v>0</v>
      </c>
      <c r="G21" s="2"/>
      <c r="H21" s="6">
        <v>70.540000000000006</v>
      </c>
      <c r="I21" s="2"/>
      <c r="J21" s="7">
        <f t="shared" si="1"/>
        <v>0</v>
      </c>
      <c r="K21" s="2"/>
      <c r="L21" s="6">
        <f t="shared" si="2"/>
        <v>122.93999999999998</v>
      </c>
      <c r="M21" s="2"/>
      <c r="N21" s="7">
        <f t="shared" si="3"/>
        <v>1.7428409413098946</v>
      </c>
      <c r="O21" s="11"/>
      <c r="P21" s="6">
        <v>443.23</v>
      </c>
      <c r="Q21" s="2"/>
      <c r="R21" s="7">
        <f t="shared" si="4"/>
        <v>0</v>
      </c>
      <c r="S21" s="2"/>
      <c r="T21" s="6">
        <v>741.57</v>
      </c>
      <c r="U21" s="2"/>
      <c r="V21" s="7">
        <f t="shared" si="5"/>
        <v>0</v>
      </c>
      <c r="W21" s="2"/>
      <c r="X21" s="6">
        <f t="shared" si="6"/>
        <v>-298.34000000000003</v>
      </c>
      <c r="Y21" s="2"/>
      <c r="Z21" s="7">
        <f t="shared" si="7"/>
        <v>-0.40230861550494224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4070.76</v>
      </c>
      <c r="E22" s="2"/>
      <c r="F22" s="7">
        <f t="shared" si="0"/>
        <v>0</v>
      </c>
      <c r="G22" s="2"/>
      <c r="H22" s="6">
        <v>3849.84</v>
      </c>
      <c r="I22" s="2"/>
      <c r="J22" s="7">
        <f t="shared" si="1"/>
        <v>0</v>
      </c>
      <c r="K22" s="2"/>
      <c r="L22" s="6">
        <f t="shared" si="2"/>
        <v>220.92000000000007</v>
      </c>
      <c r="M22" s="2"/>
      <c r="N22" s="7">
        <f t="shared" si="3"/>
        <v>5.7384202979864116E-2</v>
      </c>
      <c r="O22" s="11"/>
      <c r="P22" s="6">
        <v>20248.48</v>
      </c>
      <c r="Q22" s="2"/>
      <c r="R22" s="7">
        <f t="shared" si="4"/>
        <v>0</v>
      </c>
      <c r="S22" s="2"/>
      <c r="T22" s="6">
        <v>21290.02</v>
      </c>
      <c r="U22" s="2"/>
      <c r="V22" s="7">
        <f t="shared" si="5"/>
        <v>0</v>
      </c>
      <c r="W22" s="2"/>
      <c r="X22" s="6">
        <f t="shared" si="6"/>
        <v>-1041.5400000000009</v>
      </c>
      <c r="Y22" s="2"/>
      <c r="Z22" s="7">
        <f t="shared" si="7"/>
        <v>-4.8921513460297397E-2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152.44</v>
      </c>
      <c r="E23" s="2"/>
      <c r="F23" s="7">
        <f t="shared" si="0"/>
        <v>0</v>
      </c>
      <c r="G23" s="2"/>
      <c r="H23" s="6">
        <v>53.94</v>
      </c>
      <c r="I23" s="2"/>
      <c r="J23" s="7">
        <f t="shared" si="1"/>
        <v>0</v>
      </c>
      <c r="K23" s="2"/>
      <c r="L23" s="6">
        <f t="shared" si="2"/>
        <v>98.5</v>
      </c>
      <c r="M23" s="2"/>
      <c r="N23" s="7">
        <f t="shared" si="3"/>
        <v>1.8261030774935114</v>
      </c>
      <c r="O23" s="11"/>
      <c r="P23" s="6">
        <v>349.22</v>
      </c>
      <c r="Q23" s="2"/>
      <c r="R23" s="7">
        <f t="shared" si="4"/>
        <v>0</v>
      </c>
      <c r="S23" s="2"/>
      <c r="T23" s="6">
        <v>723.77</v>
      </c>
      <c r="U23" s="2"/>
      <c r="V23" s="7">
        <f t="shared" si="5"/>
        <v>0</v>
      </c>
      <c r="W23" s="2"/>
      <c r="X23" s="6">
        <f t="shared" si="6"/>
        <v>-374.54999999999995</v>
      </c>
      <c r="Y23" s="2"/>
      <c r="Z23" s="7">
        <f t="shared" si="7"/>
        <v>-0.51749865288696684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5386.36</v>
      </c>
      <c r="E24" s="2"/>
      <c r="F24" s="7">
        <f t="shared" si="0"/>
        <v>0</v>
      </c>
      <c r="G24" s="2"/>
      <c r="H24" s="6">
        <v>1898.57</v>
      </c>
      <c r="I24" s="2"/>
      <c r="J24" s="7">
        <f t="shared" si="1"/>
        <v>0</v>
      </c>
      <c r="K24" s="2"/>
      <c r="L24" s="6">
        <f t="shared" si="2"/>
        <v>3487.79</v>
      </c>
      <c r="M24" s="2"/>
      <c r="N24" s="7">
        <f t="shared" si="3"/>
        <v>1.8370615779244379</v>
      </c>
      <c r="O24" s="11"/>
      <c r="P24" s="6">
        <v>14607</v>
      </c>
      <c r="Q24" s="2"/>
      <c r="R24" s="7">
        <f t="shared" si="4"/>
        <v>0</v>
      </c>
      <c r="S24" s="2"/>
      <c r="T24" s="6">
        <v>17810</v>
      </c>
      <c r="U24" s="2"/>
      <c r="V24" s="7">
        <f t="shared" si="5"/>
        <v>0</v>
      </c>
      <c r="W24" s="2"/>
      <c r="X24" s="6">
        <f t="shared" si="6"/>
        <v>-3203</v>
      </c>
      <c r="Y24" s="2"/>
      <c r="Z24" s="7">
        <f t="shared" si="7"/>
        <v>-0.17984278495227402</v>
      </c>
    </row>
    <row r="25" spans="1:26" s="24" customFormat="1" hidden="1" outlineLevel="2" x14ac:dyDescent="0.25">
      <c r="A25" s="25"/>
      <c r="B25" s="11" t="str">
        <f>CONCATENATE("          ", "6118", " - ", "VACATION")</f>
        <v xml:space="preserve">          6118 - VACATION</v>
      </c>
      <c r="C25" s="11"/>
      <c r="D25" s="6">
        <v>1658.98</v>
      </c>
      <c r="E25" s="2"/>
      <c r="F25" s="7">
        <f t="shared" si="0"/>
        <v>0</v>
      </c>
      <c r="G25" s="2"/>
      <c r="H25" s="6">
        <v>1621.64</v>
      </c>
      <c r="I25" s="2"/>
      <c r="J25" s="7">
        <f t="shared" si="1"/>
        <v>0</v>
      </c>
      <c r="K25" s="2"/>
      <c r="L25" s="6">
        <f t="shared" si="2"/>
        <v>37.339999999999918</v>
      </c>
      <c r="M25" s="2"/>
      <c r="N25" s="7">
        <f t="shared" si="3"/>
        <v>2.3026072371179741E-2</v>
      </c>
      <c r="O25" s="11"/>
      <c r="P25" s="6">
        <v>9124.39</v>
      </c>
      <c r="Q25" s="2"/>
      <c r="R25" s="7">
        <f t="shared" si="4"/>
        <v>0</v>
      </c>
      <c r="S25" s="2"/>
      <c r="T25" s="6">
        <v>14887.54</v>
      </c>
      <c r="U25" s="2"/>
      <c r="V25" s="7">
        <f t="shared" si="5"/>
        <v>0</v>
      </c>
      <c r="W25" s="2"/>
      <c r="X25" s="6">
        <f t="shared" si="6"/>
        <v>-5763.1500000000015</v>
      </c>
      <c r="Y25" s="2"/>
      <c r="Z25" s="7">
        <f t="shared" si="7"/>
        <v>-0.3871123100256994</v>
      </c>
    </row>
    <row r="26" spans="1:26" s="24" customFormat="1" hidden="1" outlineLevel="2" x14ac:dyDescent="0.25">
      <c r="A26" s="25"/>
      <c r="B26" s="11" t="str">
        <f>CONCATENATE("          ", "6119", " - ", "SICK LEAVE")</f>
        <v xml:space="preserve">          6119 - SICK LEAVE</v>
      </c>
      <c r="C26" s="11"/>
      <c r="D26" s="6">
        <v>856.8</v>
      </c>
      <c r="E26" s="2"/>
      <c r="F26" s="7">
        <f t="shared" si="0"/>
        <v>0</v>
      </c>
      <c r="G26" s="2"/>
      <c r="H26" s="6">
        <v>856.8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4712.3999999999996</v>
      </c>
      <c r="Q26" s="2"/>
      <c r="R26" s="7">
        <f t="shared" si="4"/>
        <v>0</v>
      </c>
      <c r="S26" s="2"/>
      <c r="T26" s="6">
        <v>19542.8</v>
      </c>
      <c r="U26" s="2"/>
      <c r="V26" s="7">
        <f t="shared" si="5"/>
        <v>0</v>
      </c>
      <c r="W26" s="2"/>
      <c r="X26" s="6">
        <f t="shared" si="6"/>
        <v>-14830.4</v>
      </c>
      <c r="Y26" s="2"/>
      <c r="Z26" s="7">
        <f t="shared" si="7"/>
        <v>-0.75886771598747371</v>
      </c>
    </row>
    <row r="27" spans="1:26" s="24" customFormat="1" hidden="1" outlineLevel="2" x14ac:dyDescent="0.25">
      <c r="A27" s="25"/>
      <c r="B27" s="11" t="str">
        <f>CONCATENATE("          ", "6156", " - ", "EMPLOYEE MEALS")</f>
        <v xml:space="preserve">          6156 - EMPLOYEE MEALS</v>
      </c>
      <c r="C27" s="11"/>
      <c r="D27" s="6">
        <v>55.71</v>
      </c>
      <c r="E27" s="2"/>
      <c r="F27" s="7">
        <f t="shared" si="0"/>
        <v>0</v>
      </c>
      <c r="G27" s="2"/>
      <c r="H27" s="6">
        <v>220.83</v>
      </c>
      <c r="I27" s="2"/>
      <c r="J27" s="7">
        <f t="shared" si="1"/>
        <v>0</v>
      </c>
      <c r="K27" s="2"/>
      <c r="L27" s="6">
        <f t="shared" si="2"/>
        <v>-165.12</v>
      </c>
      <c r="M27" s="2"/>
      <c r="N27" s="7">
        <f t="shared" si="3"/>
        <v>-0.7477244939546257</v>
      </c>
      <c r="O27" s="11"/>
      <c r="P27" s="6">
        <v>283.75</v>
      </c>
      <c r="Q27" s="2"/>
      <c r="R27" s="7">
        <f t="shared" si="4"/>
        <v>0</v>
      </c>
      <c r="S27" s="2"/>
      <c r="T27" s="6">
        <v>1543.43</v>
      </c>
      <c r="U27" s="2"/>
      <c r="V27" s="7">
        <f t="shared" si="5"/>
        <v>0</v>
      </c>
      <c r="W27" s="2"/>
      <c r="X27" s="6">
        <f t="shared" si="6"/>
        <v>-1259.68</v>
      </c>
      <c r="Y27" s="2"/>
      <c r="Z27" s="7">
        <f t="shared" si="7"/>
        <v>-0.81615622347628336</v>
      </c>
    </row>
    <row r="28" spans="1:26" s="26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16934.41</v>
      </c>
      <c r="E28" s="1"/>
      <c r="F28" s="5">
        <f t="shared" ref="F28:F31" si="8">IF(D$12=0,0,D28/D$12)</f>
        <v>0</v>
      </c>
      <c r="G28" s="1"/>
      <c r="H28" s="1">
        <f>SUM(OSRRefH22_1x_0)</f>
        <v>19912.670000000002</v>
      </c>
      <c r="I28" s="1"/>
      <c r="J28" s="5">
        <f t="shared" ref="J28:J31" si="9">IF(H$12=0,0,H28/H$12)</f>
        <v>0</v>
      </c>
      <c r="K28" s="1"/>
      <c r="L28" s="1">
        <f t="shared" ref="L28:L31" si="10">+D28-H28</f>
        <v>-2978.260000000002</v>
      </c>
      <c r="M28" s="1"/>
      <c r="N28" s="5">
        <f t="shared" ref="N28:N31" si="11">IF(H28=0,0,L28/H28)</f>
        <v>-0.14956608028958457</v>
      </c>
      <c r="O28" s="13"/>
      <c r="P28" s="1">
        <f>SUM(OSRRefP22_1x_0)</f>
        <v>50397.46</v>
      </c>
      <c r="Q28" s="1"/>
      <c r="R28" s="5">
        <f t="shared" ref="R28:R31" si="12">IF(P$12=0,0,P28/P$12)</f>
        <v>0</v>
      </c>
      <c r="S28" s="1"/>
      <c r="T28" s="1">
        <f>SUM(OSRRefT22_1x_0)</f>
        <v>59693.97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-9296.510000000002</v>
      </c>
      <c r="Y28" s="1"/>
      <c r="Z28" s="5">
        <f t="shared" ref="Z28:Z31" si="15">IF(T28=0,0,X28/T28)</f>
        <v>-0.15573616564621187</v>
      </c>
    </row>
    <row r="29" spans="1:26" s="24" customFormat="1" hidden="1" outlineLevel="2" x14ac:dyDescent="0.25">
      <c r="A29" s="25"/>
      <c r="B29" s="11" t="str">
        <f>CONCATENATE("          ", "6001", " - ", "ADMINISTRATIVE SALARIES")</f>
        <v xml:space="preserve">          6001 - ADMINISTRATIVE SALARIES</v>
      </c>
      <c r="C29" s="11"/>
      <c r="D29" s="6">
        <v>12772.4</v>
      </c>
      <c r="E29" s="2"/>
      <c r="F29" s="7">
        <f t="shared" si="8"/>
        <v>0</v>
      </c>
      <c r="G29" s="2"/>
      <c r="H29" s="6">
        <v>14140.28</v>
      </c>
      <c r="I29" s="2"/>
      <c r="J29" s="7">
        <f t="shared" si="9"/>
        <v>0</v>
      </c>
      <c r="K29" s="2"/>
      <c r="L29" s="6">
        <f t="shared" si="10"/>
        <v>-1367.880000000001</v>
      </c>
      <c r="M29" s="2"/>
      <c r="N29" s="7">
        <f t="shared" si="11"/>
        <v>-9.6736415403372564E-2</v>
      </c>
      <c r="O29" s="11"/>
      <c r="P29" s="6">
        <v>72983.97</v>
      </c>
      <c r="Q29" s="2"/>
      <c r="R29" s="7">
        <f t="shared" si="12"/>
        <v>0</v>
      </c>
      <c r="S29" s="2"/>
      <c r="T29" s="6">
        <v>81816.86</v>
      </c>
      <c r="U29" s="2"/>
      <c r="V29" s="7">
        <f t="shared" si="13"/>
        <v>0</v>
      </c>
      <c r="W29" s="2"/>
      <c r="X29" s="6">
        <f t="shared" si="14"/>
        <v>-8832.89</v>
      </c>
      <c r="Y29" s="2"/>
      <c r="Z29" s="7">
        <f t="shared" si="15"/>
        <v>-0.10795928858672894</v>
      </c>
    </row>
    <row r="30" spans="1:26" s="24" customFormat="1" hidden="1" outlineLevel="2" x14ac:dyDescent="0.25">
      <c r="A30" s="25"/>
      <c r="B30" s="11" t="str">
        <f>CONCATENATE("          ", "6002", " - ", "STAFF SALARIES")</f>
        <v xml:space="preserve">          6002 - STAFF SALARIES</v>
      </c>
      <c r="C30" s="11"/>
      <c r="D30" s="6">
        <v>4162.01</v>
      </c>
      <c r="E30" s="2"/>
      <c r="F30" s="7">
        <f t="shared" si="8"/>
        <v>0</v>
      </c>
      <c r="G30" s="2"/>
      <c r="H30" s="6">
        <v>4162.01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>
        <v>22370.78</v>
      </c>
      <c r="Q30" s="2"/>
      <c r="R30" s="7">
        <f t="shared" si="12"/>
        <v>0</v>
      </c>
      <c r="S30" s="2"/>
      <c r="T30" s="6">
        <v>23992.769999999997</v>
      </c>
      <c r="U30" s="2"/>
      <c r="V30" s="7">
        <f t="shared" si="13"/>
        <v>0</v>
      </c>
      <c r="W30" s="2"/>
      <c r="X30" s="6">
        <f t="shared" si="14"/>
        <v>-1621.989999999998</v>
      </c>
      <c r="Y30" s="2"/>
      <c r="Z30" s="7">
        <f t="shared" si="15"/>
        <v>-6.7603282155415903E-2</v>
      </c>
    </row>
    <row r="31" spans="1:26" s="24" customFormat="1" hidden="1" outlineLevel="2" x14ac:dyDescent="0.25">
      <c r="A31" s="25"/>
      <c r="B31" s="11" t="str">
        <f>CONCATENATE("          ", "6007", " - ", "STUDENT HOURLY")</f>
        <v xml:space="preserve">          6007 - STUDENT HOURLY</v>
      </c>
      <c r="C31" s="11"/>
      <c r="D31" s="6"/>
      <c r="E31" s="2"/>
      <c r="F31" s="7">
        <f t="shared" si="8"/>
        <v>0</v>
      </c>
      <c r="G31" s="2"/>
      <c r="H31" s="6">
        <v>1610.38</v>
      </c>
      <c r="I31" s="2"/>
      <c r="J31" s="7">
        <f t="shared" si="9"/>
        <v>0</v>
      </c>
      <c r="K31" s="2"/>
      <c r="L31" s="6">
        <f t="shared" si="10"/>
        <v>-1610.38</v>
      </c>
      <c r="M31" s="2"/>
      <c r="N31" s="7">
        <f t="shared" si="11"/>
        <v>-1</v>
      </c>
      <c r="O31" s="11"/>
      <c r="P31" s="6">
        <v>-44957.29</v>
      </c>
      <c r="Q31" s="2"/>
      <c r="R31" s="7">
        <f t="shared" si="12"/>
        <v>0</v>
      </c>
      <c r="S31" s="2"/>
      <c r="T31" s="6">
        <v>-46115.66</v>
      </c>
      <c r="U31" s="2"/>
      <c r="V31" s="7">
        <f t="shared" si="13"/>
        <v>0</v>
      </c>
      <c r="W31" s="2"/>
      <c r="X31" s="6">
        <f t="shared" si="14"/>
        <v>1158.3700000000026</v>
      </c>
      <c r="Y31" s="2"/>
      <c r="Z31" s="7">
        <f t="shared" si="15"/>
        <v>-2.5118799123768423E-2</v>
      </c>
    </row>
    <row r="32" spans="1:26" s="26" customFormat="1" outlineLevel="1" collapsed="1" x14ac:dyDescent="0.25">
      <c r="A32" s="27"/>
      <c r="B32" s="13" t="str">
        <f>CONCATENATE("     ","Advertising/Promo                                 ")</f>
        <v xml:space="preserve">     Advertising/Promo                                 </v>
      </c>
      <c r="C32" s="13"/>
      <c r="D32" s="1">
        <f>SUM(OSRRefD22_2x_0)</f>
        <v>0</v>
      </c>
      <c r="E32" s="1"/>
      <c r="F32" s="5">
        <f t="shared" ref="F32:F49" si="16">IF(D$12=0,0,D32/D$12)</f>
        <v>0</v>
      </c>
      <c r="G32" s="1"/>
      <c r="H32" s="1">
        <f>SUM(OSRRefH22_2x_0)</f>
        <v>45</v>
      </c>
      <c r="I32" s="1"/>
      <c r="J32" s="5">
        <f t="shared" ref="J32:J49" si="17">IF(H$12=0,0,H32/H$12)</f>
        <v>0</v>
      </c>
      <c r="K32" s="1"/>
      <c r="L32" s="1">
        <f t="shared" ref="L32:L49" si="18">+D32-H32</f>
        <v>-45</v>
      </c>
      <c r="M32" s="1"/>
      <c r="N32" s="5">
        <f t="shared" ref="N32:N49" si="19">IF(H32=0,0,L32/H32)</f>
        <v>-1</v>
      </c>
      <c r="O32" s="13"/>
      <c r="P32" s="1">
        <f>SUM(OSRRefP22_2x_0)</f>
        <v>66.8</v>
      </c>
      <c r="Q32" s="1"/>
      <c r="R32" s="5">
        <f t="shared" ref="R32:R49" si="20">IF(P$12=0,0,P32/P$12)</f>
        <v>0</v>
      </c>
      <c r="S32" s="1"/>
      <c r="T32" s="1">
        <f>SUM(OSRRefT22_2x_0)</f>
        <v>11409.89</v>
      </c>
      <c r="U32" s="1"/>
      <c r="V32" s="5">
        <f t="shared" ref="V32:V49" si="21">IF(T$12=0,0,T32/T$12)</f>
        <v>0</v>
      </c>
      <c r="W32" s="1"/>
      <c r="X32" s="1">
        <f t="shared" ref="X32:X49" si="22">+P32-T32</f>
        <v>-11343.09</v>
      </c>
      <c r="Y32" s="1"/>
      <c r="Z32" s="5">
        <f t="shared" ref="Z32:Z49" si="23">IF(T32=0,0,X32/T32)</f>
        <v>-0.99414542997347044</v>
      </c>
    </row>
    <row r="33" spans="1:26" s="24" customFormat="1" hidden="1" outlineLevel="2" x14ac:dyDescent="0.25">
      <c r="A33" s="25"/>
      <c r="B33" s="11" t="str">
        <f>CONCATENATE("          ", "6362", " - ", "ADVERTISING EXPENSE")</f>
        <v xml:space="preserve">          6362 - ADVERTISING EXPENSE</v>
      </c>
      <c r="C33" s="11"/>
      <c r="D33" s="6"/>
      <c r="E33" s="2"/>
      <c r="F33" s="7">
        <f t="shared" si="16"/>
        <v>0</v>
      </c>
      <c r="G33" s="2"/>
      <c r="H33" s="6">
        <v>45</v>
      </c>
      <c r="I33" s="2"/>
      <c r="J33" s="7">
        <f t="shared" si="17"/>
        <v>0</v>
      </c>
      <c r="K33" s="2"/>
      <c r="L33" s="6">
        <f t="shared" si="18"/>
        <v>-45</v>
      </c>
      <c r="M33" s="2"/>
      <c r="N33" s="7">
        <f t="shared" si="19"/>
        <v>-1</v>
      </c>
      <c r="O33" s="11"/>
      <c r="P33" s="6">
        <v>66.8</v>
      </c>
      <c r="Q33" s="2"/>
      <c r="R33" s="7">
        <f t="shared" si="20"/>
        <v>0</v>
      </c>
      <c r="S33" s="2"/>
      <c r="T33" s="6">
        <v>11409.89</v>
      </c>
      <c r="U33" s="2"/>
      <c r="V33" s="7">
        <f t="shared" si="21"/>
        <v>0</v>
      </c>
      <c r="W33" s="2"/>
      <c r="X33" s="6">
        <f t="shared" si="22"/>
        <v>-11343.09</v>
      </c>
      <c r="Y33" s="2"/>
      <c r="Z33" s="7">
        <f t="shared" si="23"/>
        <v>-0.99414542997347044</v>
      </c>
    </row>
    <row r="34" spans="1:26" s="26" customFormat="1" outlineLevel="1" collapsed="1" x14ac:dyDescent="0.25">
      <c r="A34" s="27"/>
      <c r="B34" s="13" t="str">
        <f>CONCATENATE("     ","Depreciation                                      ")</f>
        <v xml:space="preserve">     Depreciation                                      </v>
      </c>
      <c r="C34" s="13"/>
      <c r="D34" s="1">
        <f>SUM(OSRRefD22_3x_0)</f>
        <v>314.87</v>
      </c>
      <c r="E34" s="1"/>
      <c r="F34" s="5">
        <f t="shared" si="16"/>
        <v>0</v>
      </c>
      <c r="G34" s="1"/>
      <c r="H34" s="1">
        <f>SUM(OSRRefH22_3x_0)</f>
        <v>345.23</v>
      </c>
      <c r="I34" s="1"/>
      <c r="J34" s="5">
        <f t="shared" si="17"/>
        <v>0</v>
      </c>
      <c r="K34" s="1"/>
      <c r="L34" s="1">
        <f t="shared" si="18"/>
        <v>-30.360000000000014</v>
      </c>
      <c r="M34" s="1"/>
      <c r="N34" s="5">
        <f t="shared" si="19"/>
        <v>-8.7941372418387773E-2</v>
      </c>
      <c r="O34" s="13"/>
      <c r="P34" s="1">
        <f>SUM(OSRRefP22_3x_0)</f>
        <v>1574.35</v>
      </c>
      <c r="Q34" s="1"/>
      <c r="R34" s="5">
        <f t="shared" si="20"/>
        <v>0</v>
      </c>
      <c r="S34" s="1"/>
      <c r="T34" s="1">
        <f>SUM(OSRRefT22_3x_0)</f>
        <v>1726.15</v>
      </c>
      <c r="U34" s="1"/>
      <c r="V34" s="5">
        <f t="shared" si="21"/>
        <v>0</v>
      </c>
      <c r="W34" s="1"/>
      <c r="X34" s="1">
        <f t="shared" si="22"/>
        <v>-151.80000000000018</v>
      </c>
      <c r="Y34" s="1"/>
      <c r="Z34" s="5">
        <f t="shared" si="23"/>
        <v>-8.7941372418387842E-2</v>
      </c>
    </row>
    <row r="35" spans="1:26" s="24" customFormat="1" hidden="1" outlineLevel="2" x14ac:dyDescent="0.25">
      <c r="A35" s="25"/>
      <c r="B35" s="11" t="str">
        <f>CONCATENATE("          ", "6322", " - ", "EQUIPMENT DEPRECIATION EXPENSE")</f>
        <v xml:space="preserve">          6322 - EQUIPMENT DEPRECIATION EXPENSE</v>
      </c>
      <c r="C35" s="11"/>
      <c r="D35" s="6">
        <v>314.87</v>
      </c>
      <c r="E35" s="2"/>
      <c r="F35" s="7">
        <f t="shared" si="16"/>
        <v>0</v>
      </c>
      <c r="G35" s="2"/>
      <c r="H35" s="6">
        <v>345.23</v>
      </c>
      <c r="I35" s="2"/>
      <c r="J35" s="7">
        <f t="shared" si="17"/>
        <v>0</v>
      </c>
      <c r="K35" s="2"/>
      <c r="L35" s="6">
        <f t="shared" si="18"/>
        <v>-30.360000000000014</v>
      </c>
      <c r="M35" s="2"/>
      <c r="N35" s="7">
        <f t="shared" si="19"/>
        <v>-8.7941372418387773E-2</v>
      </c>
      <c r="O35" s="11"/>
      <c r="P35" s="6">
        <v>1574.35</v>
      </c>
      <c r="Q35" s="2"/>
      <c r="R35" s="7">
        <f t="shared" si="20"/>
        <v>0</v>
      </c>
      <c r="S35" s="2"/>
      <c r="T35" s="6">
        <v>1726.15</v>
      </c>
      <c r="U35" s="2"/>
      <c r="V35" s="7">
        <f t="shared" si="21"/>
        <v>0</v>
      </c>
      <c r="W35" s="2"/>
      <c r="X35" s="6">
        <f t="shared" si="22"/>
        <v>-151.80000000000018</v>
      </c>
      <c r="Y35" s="2"/>
      <c r="Z35" s="7">
        <f t="shared" si="23"/>
        <v>-8.7941372418387842E-2</v>
      </c>
    </row>
    <row r="36" spans="1:26" s="26" customFormat="1" outlineLevel="1" collapsed="1" x14ac:dyDescent="0.25">
      <c r="A36" s="27"/>
      <c r="B36" s="13" t="str">
        <f>CONCATENATE("     ","Donations                                         ")</f>
        <v xml:space="preserve">     Donations                                         </v>
      </c>
      <c r="C36" s="13"/>
      <c r="D36" s="1">
        <f>SUM(OSRRefD22_4x_0)</f>
        <v>0</v>
      </c>
      <c r="E36" s="1"/>
      <c r="F36" s="5">
        <f t="shared" si="16"/>
        <v>0</v>
      </c>
      <c r="G36" s="1"/>
      <c r="H36" s="1">
        <f>SUM(OSRRefH22_4x_0)</f>
        <v>1265.54</v>
      </c>
      <c r="I36" s="1"/>
      <c r="J36" s="5">
        <f t="shared" si="17"/>
        <v>0</v>
      </c>
      <c r="K36" s="1"/>
      <c r="L36" s="1">
        <f t="shared" si="18"/>
        <v>-1265.54</v>
      </c>
      <c r="M36" s="1"/>
      <c r="N36" s="5">
        <f t="shared" si="19"/>
        <v>-1</v>
      </c>
      <c r="O36" s="13"/>
      <c r="P36" s="1">
        <f>SUM(OSRRefP22_4x_0)</f>
        <v>25000</v>
      </c>
      <c r="Q36" s="1"/>
      <c r="R36" s="5">
        <f t="shared" si="20"/>
        <v>0</v>
      </c>
      <c r="S36" s="1"/>
      <c r="T36" s="1">
        <f>SUM(OSRRefT22_4x_0)</f>
        <v>145642.79</v>
      </c>
      <c r="U36" s="1"/>
      <c r="V36" s="5">
        <f t="shared" si="21"/>
        <v>0</v>
      </c>
      <c r="W36" s="1"/>
      <c r="X36" s="1">
        <f t="shared" si="22"/>
        <v>-120642.79000000001</v>
      </c>
      <c r="Y36" s="1"/>
      <c r="Z36" s="5">
        <f t="shared" si="23"/>
        <v>-0.82834714990010838</v>
      </c>
    </row>
    <row r="37" spans="1:26" s="24" customFormat="1" hidden="1" outlineLevel="2" x14ac:dyDescent="0.25">
      <c r="A37" s="25"/>
      <c r="B37" s="11" t="str">
        <f>CONCATENATE("          ", "6399", " - ", "DONATION-ON CAMPUS")</f>
        <v xml:space="preserve">          6399 - DONATION-ON CAMPUS</v>
      </c>
      <c r="C37" s="11"/>
      <c r="D37" s="6"/>
      <c r="E37" s="2"/>
      <c r="F37" s="7">
        <f t="shared" si="16"/>
        <v>0</v>
      </c>
      <c r="G37" s="2"/>
      <c r="H37" s="6">
        <v>1265.54</v>
      </c>
      <c r="I37" s="2"/>
      <c r="J37" s="7">
        <f t="shared" si="17"/>
        <v>0</v>
      </c>
      <c r="K37" s="2"/>
      <c r="L37" s="6">
        <f t="shared" si="18"/>
        <v>-1265.54</v>
      </c>
      <c r="M37" s="2"/>
      <c r="N37" s="7">
        <f t="shared" si="19"/>
        <v>-1</v>
      </c>
      <c r="O37" s="11"/>
      <c r="P37" s="6">
        <v>25000</v>
      </c>
      <c r="Q37" s="2"/>
      <c r="R37" s="7">
        <f t="shared" si="20"/>
        <v>0</v>
      </c>
      <c r="S37" s="2"/>
      <c r="T37" s="6">
        <v>145642.79</v>
      </c>
      <c r="U37" s="2"/>
      <c r="V37" s="7">
        <f t="shared" si="21"/>
        <v>0</v>
      </c>
      <c r="W37" s="2"/>
      <c r="X37" s="6">
        <f t="shared" si="22"/>
        <v>-120642.79000000001</v>
      </c>
      <c r="Y37" s="2"/>
      <c r="Z37" s="7">
        <f t="shared" si="23"/>
        <v>-0.82834714990010838</v>
      </c>
    </row>
    <row r="38" spans="1:26" s="26" customFormat="1" outlineLevel="1" collapsed="1" x14ac:dyDescent="0.25">
      <c r="A38" s="27"/>
      <c r="B38" s="13" t="str">
        <f>CONCATENATE("     ","Equipment Rental                                  ")</f>
        <v xml:space="preserve">     Equipment Rental                                  </v>
      </c>
      <c r="C38" s="13"/>
      <c r="D38" s="1">
        <f>SUM(OSRRefD22_5x_0)</f>
        <v>117.71</v>
      </c>
      <c r="E38" s="1"/>
      <c r="F38" s="5">
        <f t="shared" si="16"/>
        <v>0</v>
      </c>
      <c r="G38" s="1"/>
      <c r="H38" s="1">
        <f>SUM(OSRRefH22_5x_0)</f>
        <v>117.72</v>
      </c>
      <c r="I38" s="1"/>
      <c r="J38" s="5">
        <f t="shared" si="17"/>
        <v>0</v>
      </c>
      <c r="K38" s="1"/>
      <c r="L38" s="1">
        <f t="shared" si="18"/>
        <v>-1.0000000000005116E-2</v>
      </c>
      <c r="M38" s="1"/>
      <c r="N38" s="5">
        <f t="shared" si="19"/>
        <v>-8.4947332653798128E-5</v>
      </c>
      <c r="O38" s="13"/>
      <c r="P38" s="1">
        <f>SUM(OSRRefP22_5x_0)</f>
        <v>588.54999999999995</v>
      </c>
      <c r="Q38" s="1"/>
      <c r="R38" s="5">
        <f t="shared" si="20"/>
        <v>0</v>
      </c>
      <c r="S38" s="1"/>
      <c r="T38" s="1">
        <f>SUM(OSRRefT22_5x_0)</f>
        <v>706.32</v>
      </c>
      <c r="U38" s="1"/>
      <c r="V38" s="5">
        <f t="shared" si="21"/>
        <v>0</v>
      </c>
      <c r="W38" s="1"/>
      <c r="X38" s="1">
        <f t="shared" si="22"/>
        <v>-117.7700000000001</v>
      </c>
      <c r="Y38" s="1"/>
      <c r="Z38" s="5">
        <f t="shared" si="23"/>
        <v>-0.16673745611054491</v>
      </c>
    </row>
    <row r="39" spans="1:26" s="24" customFormat="1" hidden="1" outlineLevel="2" x14ac:dyDescent="0.25">
      <c r="A39" s="25"/>
      <c r="B39" s="11" t="str">
        <f>CONCATENATE("          ", "6351", " - ", "EQUIPMENT RENTAL")</f>
        <v xml:space="preserve">          6351 - EQUIPMENT RENTAL</v>
      </c>
      <c r="C39" s="11"/>
      <c r="D39" s="6">
        <v>117.71</v>
      </c>
      <c r="E39" s="2"/>
      <c r="F39" s="7">
        <f t="shared" si="16"/>
        <v>0</v>
      </c>
      <c r="G39" s="2"/>
      <c r="H39" s="6">
        <v>117.72</v>
      </c>
      <c r="I39" s="2"/>
      <c r="J39" s="7">
        <f t="shared" si="17"/>
        <v>0</v>
      </c>
      <c r="K39" s="2"/>
      <c r="L39" s="6">
        <f t="shared" si="18"/>
        <v>-1.0000000000005116E-2</v>
      </c>
      <c r="M39" s="2"/>
      <c r="N39" s="7">
        <f t="shared" si="19"/>
        <v>-8.4947332653798128E-5</v>
      </c>
      <c r="O39" s="11"/>
      <c r="P39" s="6">
        <v>588.54999999999995</v>
      </c>
      <c r="Q39" s="2"/>
      <c r="R39" s="7">
        <f t="shared" si="20"/>
        <v>0</v>
      </c>
      <c r="S39" s="2"/>
      <c r="T39" s="6">
        <v>706.32</v>
      </c>
      <c r="U39" s="2"/>
      <c r="V39" s="7">
        <f t="shared" si="21"/>
        <v>0</v>
      </c>
      <c r="W39" s="2"/>
      <c r="X39" s="6">
        <f t="shared" si="22"/>
        <v>-117.7700000000001</v>
      </c>
      <c r="Y39" s="2"/>
      <c r="Z39" s="7">
        <f t="shared" si="23"/>
        <v>-0.16673745611054491</v>
      </c>
    </row>
    <row r="40" spans="1:26" s="26" customFormat="1" outlineLevel="1" collapsed="1" x14ac:dyDescent="0.25">
      <c r="A40" s="27"/>
      <c r="B40" s="13" t="str">
        <f>CONCATENATE("     ","Freight out/Postage                               ")</f>
        <v xml:space="preserve">     Freight out/Postage                               </v>
      </c>
      <c r="C40" s="13"/>
      <c r="D40" s="1">
        <f>SUM(OSRRefD22_6x_0)</f>
        <v>0</v>
      </c>
      <c r="E40" s="1"/>
      <c r="F40" s="5">
        <f t="shared" si="16"/>
        <v>0</v>
      </c>
      <c r="G40" s="1"/>
      <c r="H40" s="1">
        <f>SUM(OSRRefH22_6x_0)</f>
        <v>0.5</v>
      </c>
      <c r="I40" s="1"/>
      <c r="J40" s="5">
        <f t="shared" si="17"/>
        <v>0</v>
      </c>
      <c r="K40" s="1"/>
      <c r="L40" s="1">
        <f t="shared" si="18"/>
        <v>-0.5</v>
      </c>
      <c r="M40" s="1"/>
      <c r="N40" s="5">
        <f t="shared" si="19"/>
        <v>-1</v>
      </c>
      <c r="O40" s="13"/>
      <c r="P40" s="1">
        <f>SUM(OSRRefP22_6x_0)</f>
        <v>63.56</v>
      </c>
      <c r="Q40" s="1"/>
      <c r="R40" s="5">
        <f t="shared" si="20"/>
        <v>0</v>
      </c>
      <c r="S40" s="1"/>
      <c r="T40" s="1">
        <f>SUM(OSRRefT22_6x_0)</f>
        <v>9.25</v>
      </c>
      <c r="U40" s="1"/>
      <c r="V40" s="5">
        <f t="shared" si="21"/>
        <v>0</v>
      </c>
      <c r="W40" s="1"/>
      <c r="X40" s="1">
        <f t="shared" si="22"/>
        <v>54.31</v>
      </c>
      <c r="Y40" s="1"/>
      <c r="Z40" s="5">
        <f t="shared" si="23"/>
        <v>5.8713513513513513</v>
      </c>
    </row>
    <row r="41" spans="1:26" s="24" customFormat="1" hidden="1" outlineLevel="2" x14ac:dyDescent="0.25">
      <c r="A41" s="25"/>
      <c r="B41" s="11" t="str">
        <f>CONCATENATE("          ", "6307", " - ", "POSTAGE")</f>
        <v xml:space="preserve">          6307 - POSTAGE</v>
      </c>
      <c r="C41" s="11"/>
      <c r="D41" s="6"/>
      <c r="E41" s="2"/>
      <c r="F41" s="7">
        <f t="shared" si="16"/>
        <v>0</v>
      </c>
      <c r="G41" s="2"/>
      <c r="H41" s="6">
        <v>0.5</v>
      </c>
      <c r="I41" s="2"/>
      <c r="J41" s="7">
        <f t="shared" si="17"/>
        <v>0</v>
      </c>
      <c r="K41" s="2"/>
      <c r="L41" s="6">
        <f t="shared" si="18"/>
        <v>-0.5</v>
      </c>
      <c r="M41" s="2"/>
      <c r="N41" s="7">
        <f t="shared" si="19"/>
        <v>-1</v>
      </c>
      <c r="O41" s="11"/>
      <c r="P41" s="6">
        <v>63.56</v>
      </c>
      <c r="Q41" s="2"/>
      <c r="R41" s="7">
        <f t="shared" si="20"/>
        <v>0</v>
      </c>
      <c r="S41" s="2"/>
      <c r="T41" s="6">
        <v>9.25</v>
      </c>
      <c r="U41" s="2"/>
      <c r="V41" s="7">
        <f t="shared" si="21"/>
        <v>0</v>
      </c>
      <c r="W41" s="2"/>
      <c r="X41" s="6">
        <f t="shared" si="22"/>
        <v>54.31</v>
      </c>
      <c r="Y41" s="2"/>
      <c r="Z41" s="7">
        <f t="shared" si="23"/>
        <v>5.8713513513513513</v>
      </c>
    </row>
    <row r="42" spans="1:26" s="26" customFormat="1" outlineLevel="1" collapsed="1" x14ac:dyDescent="0.25">
      <c r="A42" s="27"/>
      <c r="B42" s="13" t="str">
        <f>CONCATENATE("     ","General                                           ")</f>
        <v xml:space="preserve">     General                                           </v>
      </c>
      <c r="C42" s="13"/>
      <c r="D42" s="1">
        <f>SUM(OSRRefD22_7x_0)</f>
        <v>0</v>
      </c>
      <c r="E42" s="1"/>
      <c r="F42" s="5">
        <f t="shared" si="16"/>
        <v>0</v>
      </c>
      <c r="G42" s="1"/>
      <c r="H42" s="1">
        <f>SUM(OSRRefH22_7x_0)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3"/>
      <c r="P42" s="1">
        <f>SUM(OSRRefP22_7x_0)</f>
        <v>0</v>
      </c>
      <c r="Q42" s="1"/>
      <c r="R42" s="5">
        <f t="shared" si="20"/>
        <v>0</v>
      </c>
      <c r="S42" s="1"/>
      <c r="T42" s="1">
        <f>SUM(OSRRefT22_7x_0)</f>
        <v>11700.62</v>
      </c>
      <c r="U42" s="1"/>
      <c r="V42" s="5">
        <f t="shared" si="21"/>
        <v>0</v>
      </c>
      <c r="W42" s="1"/>
      <c r="X42" s="1">
        <f t="shared" si="22"/>
        <v>-11700.62</v>
      </c>
      <c r="Y42" s="1"/>
      <c r="Z42" s="5">
        <f t="shared" si="23"/>
        <v>-1</v>
      </c>
    </row>
    <row r="43" spans="1:26" s="24" customFormat="1" hidden="1" outlineLevel="2" x14ac:dyDescent="0.25">
      <c r="A43" s="25"/>
      <c r="B43" s="11" t="str">
        <f>CONCATENATE("          ", "6279", " - ", "GENERAL EXPENSE")</f>
        <v xml:space="preserve">          6279 - GENERAL EXPENSE</v>
      </c>
      <c r="C43" s="11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/>
      <c r="Q43" s="2"/>
      <c r="R43" s="7">
        <f t="shared" si="20"/>
        <v>0</v>
      </c>
      <c r="S43" s="2"/>
      <c r="T43" s="6">
        <v>11700.62</v>
      </c>
      <c r="U43" s="2"/>
      <c r="V43" s="7">
        <f t="shared" si="21"/>
        <v>0</v>
      </c>
      <c r="W43" s="2"/>
      <c r="X43" s="6">
        <f t="shared" si="22"/>
        <v>-11700.62</v>
      </c>
      <c r="Y43" s="2"/>
      <c r="Z43" s="7">
        <f t="shared" si="23"/>
        <v>-1</v>
      </c>
    </row>
    <row r="44" spans="1:26" s="26" customFormat="1" outlineLevel="1" collapsed="1" x14ac:dyDescent="0.25">
      <c r="A44" s="27"/>
      <c r="B44" s="13" t="str">
        <f>CONCATENATE("     ","Insurance                                         ")</f>
        <v xml:space="preserve">     Insurance                                         </v>
      </c>
      <c r="C44" s="13"/>
      <c r="D44" s="1">
        <f>SUM(OSRRefD22_8x_0)</f>
        <v>115.13</v>
      </c>
      <c r="E44" s="1"/>
      <c r="F44" s="5">
        <f t="shared" si="16"/>
        <v>0</v>
      </c>
      <c r="G44" s="1"/>
      <c r="H44" s="1">
        <f>SUM(OSRRefH22_8x_0)</f>
        <v>115.13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SUM(OSRRefP22_8x_0)</f>
        <v>575.65</v>
      </c>
      <c r="Q44" s="1"/>
      <c r="R44" s="5">
        <f t="shared" si="20"/>
        <v>0</v>
      </c>
      <c r="S44" s="1"/>
      <c r="T44" s="1">
        <f>SUM(OSRRefT22_8x_0)</f>
        <v>575.65</v>
      </c>
      <c r="U44" s="1"/>
      <c r="V44" s="5">
        <f t="shared" si="21"/>
        <v>0</v>
      </c>
      <c r="W44" s="1"/>
      <c r="X44" s="1">
        <f t="shared" si="22"/>
        <v>0</v>
      </c>
      <c r="Y44" s="1"/>
      <c r="Z44" s="5">
        <f t="shared" si="23"/>
        <v>0</v>
      </c>
    </row>
    <row r="45" spans="1:26" s="24" customFormat="1" hidden="1" outlineLevel="2" x14ac:dyDescent="0.25">
      <c r="A45" s="25"/>
      <c r="B45" s="11" t="str">
        <f>CONCATENATE("          ", "6314", " - ", "LIABILITY INSURANCE")</f>
        <v xml:space="preserve">          6314 - LIABILITY INSURANCE</v>
      </c>
      <c r="C45" s="11"/>
      <c r="D45" s="6">
        <v>115.13</v>
      </c>
      <c r="E45" s="2"/>
      <c r="F45" s="7">
        <f t="shared" si="16"/>
        <v>0</v>
      </c>
      <c r="G45" s="2"/>
      <c r="H45" s="6">
        <v>115.13</v>
      </c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>
        <v>575.65</v>
      </c>
      <c r="Q45" s="2"/>
      <c r="R45" s="7">
        <f t="shared" si="20"/>
        <v>0</v>
      </c>
      <c r="S45" s="2"/>
      <c r="T45" s="6">
        <v>575.65</v>
      </c>
      <c r="U45" s="2"/>
      <c r="V45" s="7">
        <f t="shared" si="21"/>
        <v>0</v>
      </c>
      <c r="W45" s="2"/>
      <c r="X45" s="6">
        <f t="shared" si="22"/>
        <v>0</v>
      </c>
      <c r="Y45" s="2"/>
      <c r="Z45" s="7">
        <f t="shared" si="23"/>
        <v>0</v>
      </c>
    </row>
    <row r="46" spans="1:26" s="26" customFormat="1" outlineLevel="1" collapsed="1" x14ac:dyDescent="0.25">
      <c r="A46" s="27"/>
      <c r="B46" s="13" t="str">
        <f>CONCATENATE("     ","Professional Services                             ")</f>
        <v xml:space="preserve">     Professional Services                             </v>
      </c>
      <c r="C46" s="13"/>
      <c r="D46" s="1">
        <f>SUM(OSRRefD22_9x_0)</f>
        <v>10759.380000000001</v>
      </c>
      <c r="E46" s="1"/>
      <c r="F46" s="5">
        <f t="shared" si="16"/>
        <v>0</v>
      </c>
      <c r="G46" s="1"/>
      <c r="H46" s="1">
        <f>SUM(OSRRefH22_9x_0)</f>
        <v>18725</v>
      </c>
      <c r="I46" s="1"/>
      <c r="J46" s="5">
        <f t="shared" si="17"/>
        <v>0</v>
      </c>
      <c r="K46" s="1"/>
      <c r="L46" s="1">
        <f t="shared" si="18"/>
        <v>-7965.619999999999</v>
      </c>
      <c r="M46" s="1"/>
      <c r="N46" s="5">
        <f t="shared" si="19"/>
        <v>-0.4254002670226969</v>
      </c>
      <c r="O46" s="13"/>
      <c r="P46" s="1">
        <f>SUM(OSRRefP22_9x_0)</f>
        <v>36689.379999999997</v>
      </c>
      <c r="Q46" s="1"/>
      <c r="R46" s="5">
        <f t="shared" si="20"/>
        <v>0</v>
      </c>
      <c r="S46" s="1"/>
      <c r="T46" s="1">
        <f>SUM(OSRRefT22_9x_0)</f>
        <v>50760</v>
      </c>
      <c r="U46" s="1"/>
      <c r="V46" s="5">
        <f t="shared" si="21"/>
        <v>0</v>
      </c>
      <c r="W46" s="1"/>
      <c r="X46" s="1">
        <f t="shared" si="22"/>
        <v>-14070.620000000003</v>
      </c>
      <c r="Y46" s="1"/>
      <c r="Z46" s="5">
        <f t="shared" si="23"/>
        <v>-0.27719897557131606</v>
      </c>
    </row>
    <row r="47" spans="1:26" s="24" customFormat="1" hidden="1" outlineLevel="2" x14ac:dyDescent="0.25">
      <c r="A47" s="25"/>
      <c r="B47" s="11" t="str">
        <f>CONCATENATE("          ", "6331", " - ", "INDIRECT COSTS-AUXILIARY ORGAN")</f>
        <v xml:space="preserve">          6331 - INDIRECT COSTS-AUXILIARY ORGAN</v>
      </c>
      <c r="C47" s="11"/>
      <c r="D47" s="6">
        <v>9500</v>
      </c>
      <c r="E47" s="2"/>
      <c r="F47" s="7">
        <f t="shared" si="16"/>
        <v>0</v>
      </c>
      <c r="G47" s="2"/>
      <c r="H47" s="6">
        <v>18550</v>
      </c>
      <c r="I47" s="2"/>
      <c r="J47" s="7">
        <f t="shared" si="17"/>
        <v>0</v>
      </c>
      <c r="K47" s="2"/>
      <c r="L47" s="6">
        <f t="shared" si="18"/>
        <v>-9050</v>
      </c>
      <c r="M47" s="2"/>
      <c r="N47" s="7">
        <f t="shared" si="19"/>
        <v>-0.48787061994609165</v>
      </c>
      <c r="O47" s="11"/>
      <c r="P47" s="6">
        <v>33000</v>
      </c>
      <c r="Q47" s="2"/>
      <c r="R47" s="7">
        <f t="shared" si="20"/>
        <v>0</v>
      </c>
      <c r="S47" s="2"/>
      <c r="T47" s="6">
        <v>45550</v>
      </c>
      <c r="U47" s="2"/>
      <c r="V47" s="7">
        <f t="shared" si="21"/>
        <v>0</v>
      </c>
      <c r="W47" s="2"/>
      <c r="X47" s="6">
        <f t="shared" si="22"/>
        <v>-12550</v>
      </c>
      <c r="Y47" s="2"/>
      <c r="Z47" s="7">
        <f t="shared" si="23"/>
        <v>-0.27552140504939626</v>
      </c>
    </row>
    <row r="48" spans="1:26" s="24" customFormat="1" hidden="1" outlineLevel="2" x14ac:dyDescent="0.25">
      <c r="A48" s="25"/>
      <c r="B48" s="11" t="str">
        <f>CONCATENATE("          ", "6334", " - ", "LEGAL COUNCIL EXPENSE")</f>
        <v xml:space="preserve">          6334 - LEGAL COUNCIL EXPENSE</v>
      </c>
      <c r="C48" s="11"/>
      <c r="D48" s="6">
        <v>1259.3800000000001</v>
      </c>
      <c r="E48" s="2"/>
      <c r="F48" s="7">
        <f t="shared" si="16"/>
        <v>0</v>
      </c>
      <c r="G48" s="2"/>
      <c r="H48" s="6">
        <v>175</v>
      </c>
      <c r="I48" s="2"/>
      <c r="J48" s="7">
        <f t="shared" si="17"/>
        <v>0</v>
      </c>
      <c r="K48" s="2"/>
      <c r="L48" s="6">
        <f t="shared" si="18"/>
        <v>1084.3800000000001</v>
      </c>
      <c r="M48" s="2"/>
      <c r="N48" s="7">
        <f t="shared" si="19"/>
        <v>6.1964571428571436</v>
      </c>
      <c r="O48" s="11"/>
      <c r="P48" s="6">
        <v>3689.38</v>
      </c>
      <c r="Q48" s="2"/>
      <c r="R48" s="7">
        <f t="shared" si="20"/>
        <v>0</v>
      </c>
      <c r="S48" s="2"/>
      <c r="T48" s="6">
        <v>190</v>
      </c>
      <c r="U48" s="2"/>
      <c r="V48" s="7">
        <f t="shared" si="21"/>
        <v>0</v>
      </c>
      <c r="W48" s="2"/>
      <c r="X48" s="6">
        <f t="shared" si="22"/>
        <v>3499.38</v>
      </c>
      <c r="Y48" s="2"/>
      <c r="Z48" s="7">
        <f t="shared" si="23"/>
        <v>18.417789473684213</v>
      </c>
    </row>
    <row r="49" spans="1:26" s="24" customFormat="1" hidden="1" outlineLevel="2" x14ac:dyDescent="0.25">
      <c r="A49" s="25"/>
      <c r="B49" s="11" t="str">
        <f>CONCATENATE("          ", "6336", " - ", "PROFESSIONAL SERVICES")</f>
        <v xml:space="preserve">          6336 - PROFESSIONAL SERVICES</v>
      </c>
      <c r="C49" s="11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/>
      <c r="Q49" s="2"/>
      <c r="R49" s="7">
        <f t="shared" si="20"/>
        <v>0</v>
      </c>
      <c r="S49" s="2"/>
      <c r="T49" s="6">
        <v>5020</v>
      </c>
      <c r="U49" s="2"/>
      <c r="V49" s="7">
        <f t="shared" si="21"/>
        <v>0</v>
      </c>
      <c r="W49" s="2"/>
      <c r="X49" s="6">
        <f t="shared" si="22"/>
        <v>-5020</v>
      </c>
      <c r="Y49" s="2"/>
      <c r="Z49" s="7">
        <f t="shared" si="23"/>
        <v>-1</v>
      </c>
    </row>
    <row r="50" spans="1:26" s="26" customFormat="1" outlineLevel="1" collapsed="1" x14ac:dyDescent="0.25">
      <c r="A50" s="27"/>
      <c r="B50" s="13" t="str">
        <f>CONCATENATE("     ","Repair and Maintenance                            ")</f>
        <v xml:space="preserve">     Repair and Maintenance                            </v>
      </c>
      <c r="C50" s="13"/>
      <c r="D50" s="1">
        <f>SUM(OSRRefD22_10x_0)</f>
        <v>2594.63</v>
      </c>
      <c r="E50" s="1"/>
      <c r="F50" s="5">
        <f t="shared" ref="F50:F53" si="24">IF(D$12=0,0,D50/D$12)</f>
        <v>0</v>
      </c>
      <c r="G50" s="1"/>
      <c r="H50" s="1">
        <f>SUM(OSRRefH22_10x_0)</f>
        <v>2656.02</v>
      </c>
      <c r="I50" s="1"/>
      <c r="J50" s="5">
        <f t="shared" ref="J50:J53" si="25">IF(H$12=0,0,H50/H$12)</f>
        <v>0</v>
      </c>
      <c r="K50" s="1"/>
      <c r="L50" s="1">
        <f t="shared" ref="L50:L53" si="26">+D50-H50</f>
        <v>-61.389999999999873</v>
      </c>
      <c r="M50" s="1"/>
      <c r="N50" s="5">
        <f t="shared" ref="N50:N53" si="27">IF(H50=0,0,L50/H50)</f>
        <v>-2.3113530771605589E-2</v>
      </c>
      <c r="O50" s="13"/>
      <c r="P50" s="1">
        <f>SUM(OSRRefP22_10x_0)</f>
        <v>11812.26</v>
      </c>
      <c r="Q50" s="1"/>
      <c r="R50" s="5">
        <f t="shared" ref="R50:R53" si="28">IF(P$12=0,0,P50/P$12)</f>
        <v>0</v>
      </c>
      <c r="S50" s="1"/>
      <c r="T50" s="1">
        <f>SUM(OSRRefT22_10x_0)</f>
        <v>17620.7</v>
      </c>
      <c r="U50" s="1"/>
      <c r="V50" s="5">
        <f t="shared" ref="V50:V53" si="29">IF(T$12=0,0,T50/T$12)</f>
        <v>0</v>
      </c>
      <c r="W50" s="1"/>
      <c r="X50" s="1">
        <f t="shared" ref="X50:X53" si="30">+P50-T50</f>
        <v>-5808.4400000000005</v>
      </c>
      <c r="Y50" s="1"/>
      <c r="Z50" s="5">
        <f t="shared" ref="Z50:Z53" si="31">IF(T50=0,0,X50/T50)</f>
        <v>-0.32963730158279753</v>
      </c>
    </row>
    <row r="51" spans="1:26" s="24" customFormat="1" hidden="1" outlineLevel="2" x14ac:dyDescent="0.25">
      <c r="A51" s="25"/>
      <c r="B51" s="11" t="str">
        <f>CONCATENATE("          ", "6371", " - ", "COMPUTER SOFTWARE MAINTENANCE")</f>
        <v xml:space="preserve">          6371 - COMPUTER SOFTWARE MAINTENANCE</v>
      </c>
      <c r="C51" s="11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1"/>
      <c r="P51" s="6"/>
      <c r="Q51" s="2"/>
      <c r="R51" s="7">
        <f t="shared" si="28"/>
        <v>0</v>
      </c>
      <c r="S51" s="2"/>
      <c r="T51" s="6">
        <v>31.58</v>
      </c>
      <c r="U51" s="2"/>
      <c r="V51" s="7">
        <f t="shared" si="29"/>
        <v>0</v>
      </c>
      <c r="W51" s="2"/>
      <c r="X51" s="6">
        <f t="shared" si="30"/>
        <v>-31.58</v>
      </c>
      <c r="Y51" s="2"/>
      <c r="Z51" s="7">
        <f t="shared" si="31"/>
        <v>-1</v>
      </c>
    </row>
    <row r="52" spans="1:26" s="24" customFormat="1" hidden="1" outlineLevel="2" x14ac:dyDescent="0.25">
      <c r="A52" s="25"/>
      <c r="B52" s="11" t="str">
        <f>CONCATENATE("          ", "6373", " - ", "MAINTENANCE CONTRACTS")</f>
        <v xml:space="preserve">          6373 - MAINTENANCE CONTRACTS</v>
      </c>
      <c r="C52" s="11"/>
      <c r="D52" s="6">
        <v>2594.63</v>
      </c>
      <c r="E52" s="2"/>
      <c r="F52" s="7">
        <f t="shared" si="24"/>
        <v>0</v>
      </c>
      <c r="G52" s="2"/>
      <c r="H52" s="6">
        <v>2656.02</v>
      </c>
      <c r="I52" s="2"/>
      <c r="J52" s="7">
        <f t="shared" si="25"/>
        <v>0</v>
      </c>
      <c r="K52" s="2"/>
      <c r="L52" s="6">
        <f t="shared" si="26"/>
        <v>-61.389999999999873</v>
      </c>
      <c r="M52" s="2"/>
      <c r="N52" s="7">
        <f t="shared" si="27"/>
        <v>-2.3113530771605589E-2</v>
      </c>
      <c r="O52" s="11"/>
      <c r="P52" s="6">
        <v>11812.26</v>
      </c>
      <c r="Q52" s="2"/>
      <c r="R52" s="7">
        <f t="shared" si="28"/>
        <v>0</v>
      </c>
      <c r="S52" s="2"/>
      <c r="T52" s="6">
        <v>17064.129999999997</v>
      </c>
      <c r="U52" s="2"/>
      <c r="V52" s="7">
        <f t="shared" si="29"/>
        <v>0</v>
      </c>
      <c r="W52" s="2"/>
      <c r="X52" s="6">
        <f t="shared" si="30"/>
        <v>-5251.8699999999972</v>
      </c>
      <c r="Y52" s="2"/>
      <c r="Z52" s="7">
        <f t="shared" si="31"/>
        <v>-0.30777250290521685</v>
      </c>
    </row>
    <row r="53" spans="1:26" s="24" customFormat="1" hidden="1" outlineLevel="2" x14ac:dyDescent="0.25">
      <c r="A53" s="25"/>
      <c r="B53" s="11" t="str">
        <f>CONCATENATE("          ", "6375", " - ", "OUTSIDE REPAIRS &amp; MAINTENANCE")</f>
        <v xml:space="preserve">          6375 - OUTSIDE REPAIRS &amp; MAINTENANCE</v>
      </c>
      <c r="C53" s="11"/>
      <c r="D53" s="6"/>
      <c r="E53" s="2"/>
      <c r="F53" s="7">
        <f t="shared" si="24"/>
        <v>0</v>
      </c>
      <c r="G53" s="2"/>
      <c r="H53" s="6"/>
      <c r="I53" s="2"/>
      <c r="J53" s="7">
        <f t="shared" si="25"/>
        <v>0</v>
      </c>
      <c r="K53" s="2"/>
      <c r="L53" s="6">
        <f t="shared" si="26"/>
        <v>0</v>
      </c>
      <c r="M53" s="2"/>
      <c r="N53" s="7">
        <f t="shared" si="27"/>
        <v>0</v>
      </c>
      <c r="O53" s="11"/>
      <c r="P53" s="6"/>
      <c r="Q53" s="2"/>
      <c r="R53" s="7">
        <f t="shared" si="28"/>
        <v>0</v>
      </c>
      <c r="S53" s="2"/>
      <c r="T53" s="6">
        <v>524.99</v>
      </c>
      <c r="U53" s="2"/>
      <c r="V53" s="7">
        <f t="shared" si="29"/>
        <v>0</v>
      </c>
      <c r="W53" s="2"/>
      <c r="X53" s="6">
        <f t="shared" si="30"/>
        <v>-524.99</v>
      </c>
      <c r="Y53" s="2"/>
      <c r="Z53" s="7">
        <f t="shared" si="31"/>
        <v>-1</v>
      </c>
    </row>
    <row r="54" spans="1:26" s="26" customFormat="1" outlineLevel="1" collapsed="1" x14ac:dyDescent="0.25">
      <c r="A54" s="27"/>
      <c r="B54" s="13" t="str">
        <f>CONCATENATE("     ","Subscriptions &amp; Dues                              ")</f>
        <v xml:space="preserve">     Subscriptions &amp; Dues                              </v>
      </c>
      <c r="C54" s="13"/>
      <c r="D54" s="1">
        <f>SUM(OSRRefD22_11x_0)</f>
        <v>0</v>
      </c>
      <c r="E54" s="1"/>
      <c r="F54" s="5">
        <f t="shared" ref="F54:F60" si="32">IF(D$12=0,0,D54/D$12)</f>
        <v>0</v>
      </c>
      <c r="G54" s="1"/>
      <c r="H54" s="1">
        <f>SUM(OSRRefH22_11x_0)</f>
        <v>0</v>
      </c>
      <c r="I54" s="1"/>
      <c r="J54" s="5">
        <f t="shared" ref="J54:J60" si="33">IF(H$12=0,0,H54/H$12)</f>
        <v>0</v>
      </c>
      <c r="K54" s="1"/>
      <c r="L54" s="1">
        <f t="shared" ref="L54:L60" si="34">+D54-H54</f>
        <v>0</v>
      </c>
      <c r="M54" s="1"/>
      <c r="N54" s="5">
        <f t="shared" ref="N54:N60" si="35">IF(H54=0,0,L54/H54)</f>
        <v>0</v>
      </c>
      <c r="O54" s="13"/>
      <c r="P54" s="1">
        <f>SUM(OSRRefP22_11x_0)</f>
        <v>1725</v>
      </c>
      <c r="Q54" s="1"/>
      <c r="R54" s="5">
        <f t="shared" ref="R54:R60" si="36">IF(P$12=0,0,P54/P$12)</f>
        <v>0</v>
      </c>
      <c r="S54" s="1"/>
      <c r="T54" s="1">
        <f>SUM(OSRRefT22_11x_0)</f>
        <v>1000</v>
      </c>
      <c r="U54" s="1"/>
      <c r="V54" s="5">
        <f t="shared" ref="V54:V60" si="37">IF(T$12=0,0,T54/T$12)</f>
        <v>0</v>
      </c>
      <c r="W54" s="1"/>
      <c r="X54" s="1">
        <f t="shared" ref="X54:X60" si="38">+P54-T54</f>
        <v>725</v>
      </c>
      <c r="Y54" s="1"/>
      <c r="Z54" s="5">
        <f t="shared" ref="Z54:Z60" si="39">IF(T54=0,0,X54/T54)</f>
        <v>0.72499999999999998</v>
      </c>
    </row>
    <row r="55" spans="1:26" s="24" customFormat="1" hidden="1" outlineLevel="2" x14ac:dyDescent="0.25">
      <c r="A55" s="25"/>
      <c r="B55" s="11" t="str">
        <f>CONCATENATE("          ", "6258", " - ", "MEMBERSHIP DUES")</f>
        <v xml:space="preserve">          6258 - MEMBERSHIP DUES</v>
      </c>
      <c r="C55" s="11"/>
      <c r="D55" s="6"/>
      <c r="E55" s="2"/>
      <c r="F55" s="7">
        <f t="shared" si="32"/>
        <v>0</v>
      </c>
      <c r="G55" s="2"/>
      <c r="H55" s="6"/>
      <c r="I55" s="2"/>
      <c r="J55" s="7">
        <f t="shared" si="33"/>
        <v>0</v>
      </c>
      <c r="K55" s="2"/>
      <c r="L55" s="6">
        <f t="shared" si="34"/>
        <v>0</v>
      </c>
      <c r="M55" s="2"/>
      <c r="N55" s="7">
        <f t="shared" si="35"/>
        <v>0</v>
      </c>
      <c r="O55" s="11"/>
      <c r="P55" s="6">
        <v>1725</v>
      </c>
      <c r="Q55" s="2"/>
      <c r="R55" s="7">
        <f t="shared" si="36"/>
        <v>0</v>
      </c>
      <c r="S55" s="2"/>
      <c r="T55" s="6">
        <v>1000</v>
      </c>
      <c r="U55" s="2"/>
      <c r="V55" s="7">
        <f t="shared" si="37"/>
        <v>0</v>
      </c>
      <c r="W55" s="2"/>
      <c r="X55" s="6">
        <f t="shared" si="38"/>
        <v>725</v>
      </c>
      <c r="Y55" s="2"/>
      <c r="Z55" s="7">
        <f t="shared" si="39"/>
        <v>0.72499999999999998</v>
      </c>
    </row>
    <row r="56" spans="1:26" s="26" customFormat="1" outlineLevel="1" collapsed="1" x14ac:dyDescent="0.25">
      <c r="A56" s="27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SUM(OSRRefD22_12x_0)</f>
        <v>125.93</v>
      </c>
      <c r="E56" s="1"/>
      <c r="F56" s="5">
        <f t="shared" si="32"/>
        <v>0</v>
      </c>
      <c r="G56" s="1"/>
      <c r="H56" s="1">
        <f>SUM(OSRRefH22_12x_0)</f>
        <v>1263.8</v>
      </c>
      <c r="I56" s="1"/>
      <c r="J56" s="5">
        <f t="shared" si="33"/>
        <v>0</v>
      </c>
      <c r="K56" s="1"/>
      <c r="L56" s="1">
        <f t="shared" si="34"/>
        <v>-1137.8699999999999</v>
      </c>
      <c r="M56" s="1"/>
      <c r="N56" s="5">
        <f t="shared" si="35"/>
        <v>-0.90035606899825915</v>
      </c>
      <c r="O56" s="13"/>
      <c r="P56" s="1">
        <f>SUM(OSRRefP22_12x_0)</f>
        <v>535.41000000000008</v>
      </c>
      <c r="Q56" s="1"/>
      <c r="R56" s="5">
        <f t="shared" si="36"/>
        <v>0</v>
      </c>
      <c r="S56" s="1"/>
      <c r="T56" s="1">
        <f>SUM(OSRRefT22_12x_0)</f>
        <v>3140.1</v>
      </c>
      <c r="U56" s="1"/>
      <c r="V56" s="5">
        <f t="shared" si="37"/>
        <v>0</v>
      </c>
      <c r="W56" s="1"/>
      <c r="X56" s="1">
        <f t="shared" si="38"/>
        <v>-2604.6899999999996</v>
      </c>
      <c r="Y56" s="1"/>
      <c r="Z56" s="5">
        <f t="shared" si="39"/>
        <v>-0.82949269131556314</v>
      </c>
    </row>
    <row r="57" spans="1:26" s="24" customFormat="1" hidden="1" outlineLevel="2" x14ac:dyDescent="0.25">
      <c r="A57" s="25"/>
      <c r="B57" s="11" t="str">
        <f>CONCATENATE("          ", "6234", " - ", "EXPENDABLE SUPPLIES &amp; EQUIPMEN")</f>
        <v xml:space="preserve">          6234 - EXPENDABLE SUPPLIES &amp; EQUIPMEN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/>
      <c r="Q57" s="2"/>
      <c r="R57" s="7">
        <f t="shared" si="36"/>
        <v>0</v>
      </c>
      <c r="S57" s="2"/>
      <c r="T57" s="6">
        <v>217.02</v>
      </c>
      <c r="U57" s="2"/>
      <c r="V57" s="7">
        <f t="shared" si="37"/>
        <v>0</v>
      </c>
      <c r="W57" s="2"/>
      <c r="X57" s="6">
        <f t="shared" si="38"/>
        <v>-217.02</v>
      </c>
      <c r="Y57" s="2"/>
      <c r="Z57" s="7">
        <f t="shared" si="39"/>
        <v>-1</v>
      </c>
    </row>
    <row r="58" spans="1:26" s="24" customFormat="1" hidden="1" outlineLevel="2" x14ac:dyDescent="0.25">
      <c r="A58" s="25"/>
      <c r="B58" s="11" t="str">
        <f>CONCATENATE("          ", "6235", " - ", "COVID-19 EXPENSES")</f>
        <v xml:space="preserve">          6235 - COVID-19 EXPENSES</v>
      </c>
      <c r="C58" s="11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1"/>
      <c r="P58" s="6">
        <v>106.94</v>
      </c>
      <c r="Q58" s="2"/>
      <c r="R58" s="7">
        <f t="shared" si="36"/>
        <v>0</v>
      </c>
      <c r="S58" s="2"/>
      <c r="T58" s="6"/>
      <c r="U58" s="2"/>
      <c r="V58" s="7">
        <f t="shared" si="37"/>
        <v>0</v>
      </c>
      <c r="W58" s="2"/>
      <c r="X58" s="6">
        <f t="shared" si="38"/>
        <v>106.94</v>
      </c>
      <c r="Y58" s="2"/>
      <c r="Z58" s="7">
        <f t="shared" si="39"/>
        <v>0</v>
      </c>
    </row>
    <row r="59" spans="1:26" s="24" customFormat="1" hidden="1" outlineLevel="2" x14ac:dyDescent="0.25">
      <c r="A59" s="25"/>
      <c r="B59" s="11" t="str">
        <f>CONCATENATE("          ", "6241", " - ", "OFFICE EXPENSE")</f>
        <v xml:space="preserve">          6241 - OFFICE EXPENSE</v>
      </c>
      <c r="C59" s="11"/>
      <c r="D59" s="6">
        <v>125.93</v>
      </c>
      <c r="E59" s="2"/>
      <c r="F59" s="7">
        <f t="shared" si="32"/>
        <v>0</v>
      </c>
      <c r="G59" s="2"/>
      <c r="H59" s="6">
        <v>1263.8</v>
      </c>
      <c r="I59" s="2"/>
      <c r="J59" s="7">
        <f t="shared" si="33"/>
        <v>0</v>
      </c>
      <c r="K59" s="2"/>
      <c r="L59" s="6">
        <f t="shared" si="34"/>
        <v>-1137.8699999999999</v>
      </c>
      <c r="M59" s="2"/>
      <c r="N59" s="7">
        <f t="shared" si="35"/>
        <v>-0.90035606899825915</v>
      </c>
      <c r="O59" s="11"/>
      <c r="P59" s="6">
        <v>428.47</v>
      </c>
      <c r="Q59" s="2"/>
      <c r="R59" s="7">
        <f t="shared" si="36"/>
        <v>0</v>
      </c>
      <c r="S59" s="2"/>
      <c r="T59" s="6">
        <v>2891.22</v>
      </c>
      <c r="U59" s="2"/>
      <c r="V59" s="7">
        <f t="shared" si="37"/>
        <v>0</v>
      </c>
      <c r="W59" s="2"/>
      <c r="X59" s="6">
        <f t="shared" si="38"/>
        <v>-2462.75</v>
      </c>
      <c r="Y59" s="2"/>
      <c r="Z59" s="7">
        <f t="shared" si="39"/>
        <v>-0.85180304508131521</v>
      </c>
    </row>
    <row r="60" spans="1:26" s="24" customFormat="1" hidden="1" outlineLevel="2" x14ac:dyDescent="0.25">
      <c r="A60" s="25"/>
      <c r="B60" s="11" t="str">
        <f>CONCATENATE("          ", "6245", " - ", "PRINTING")</f>
        <v xml:space="preserve">          6245 - PRINTING</v>
      </c>
      <c r="C60" s="11"/>
      <c r="D60" s="6"/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1"/>
      <c r="P60" s="6"/>
      <c r="Q60" s="2"/>
      <c r="R60" s="7">
        <f t="shared" si="36"/>
        <v>0</v>
      </c>
      <c r="S60" s="2"/>
      <c r="T60" s="6">
        <v>31.86</v>
      </c>
      <c r="U60" s="2"/>
      <c r="V60" s="7">
        <f t="shared" si="37"/>
        <v>0</v>
      </c>
      <c r="W60" s="2"/>
      <c r="X60" s="6">
        <f t="shared" si="38"/>
        <v>-31.86</v>
      </c>
      <c r="Y60" s="2"/>
      <c r="Z60" s="7">
        <f t="shared" si="39"/>
        <v>-1</v>
      </c>
    </row>
    <row r="61" spans="1:26" s="26" customFormat="1" outlineLevel="1" collapsed="1" x14ac:dyDescent="0.25">
      <c r="A61" s="27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SUM(OSRRefD22_13x_0)</f>
        <v>239</v>
      </c>
      <c r="E61" s="1"/>
      <c r="F61" s="5">
        <f t="shared" ref="F61:F66" si="40">IF(D$12=0,0,D61/D$12)</f>
        <v>0</v>
      </c>
      <c r="G61" s="1"/>
      <c r="H61" s="1">
        <f>SUM(OSRRefH22_13x_0)</f>
        <v>240.1</v>
      </c>
      <c r="I61" s="1"/>
      <c r="J61" s="5">
        <f t="shared" ref="J61:J66" si="41">IF(H$12=0,0,H61/H$12)</f>
        <v>0</v>
      </c>
      <c r="K61" s="1"/>
      <c r="L61" s="1">
        <f t="shared" ref="L61:L66" si="42">+D61-H61</f>
        <v>-1.0999999999999943</v>
      </c>
      <c r="M61" s="1"/>
      <c r="N61" s="5">
        <f t="shared" ref="N61:N66" si="43">IF(H61=0,0,L61/H61)</f>
        <v>-4.5814244064972696E-3</v>
      </c>
      <c r="O61" s="13"/>
      <c r="P61" s="1">
        <f>SUM(OSRRefP22_13x_0)</f>
        <v>1645.12</v>
      </c>
      <c r="Q61" s="1"/>
      <c r="R61" s="5">
        <f t="shared" ref="R61:R66" si="44">IF(P$12=0,0,P61/P$12)</f>
        <v>0</v>
      </c>
      <c r="S61" s="1"/>
      <c r="T61" s="1">
        <f>SUM(OSRRefT22_13x_0)</f>
        <v>1402.48</v>
      </c>
      <c r="U61" s="1"/>
      <c r="V61" s="5">
        <f t="shared" ref="V61:V66" si="45">IF(T$12=0,0,T61/T$12)</f>
        <v>0</v>
      </c>
      <c r="W61" s="1"/>
      <c r="X61" s="1">
        <f t="shared" ref="X61:X66" si="46">+P61-T61</f>
        <v>242.63999999999987</v>
      </c>
      <c r="Y61" s="1"/>
      <c r="Z61" s="5">
        <f t="shared" ref="Z61:Z66" si="47">IF(T61=0,0,X61/T61)</f>
        <v>0.17300781472819568</v>
      </c>
    </row>
    <row r="62" spans="1:26" s="24" customFormat="1" hidden="1" outlineLevel="2" x14ac:dyDescent="0.25">
      <c r="A62" s="25"/>
      <c r="B62" s="11" t="str">
        <f>CONCATENATE("          ", "6309", " - ", "TELEPHONE")</f>
        <v xml:space="preserve">          6309 - TELEPHONE</v>
      </c>
      <c r="C62" s="11"/>
      <c r="D62" s="6">
        <v>239</v>
      </c>
      <c r="E62" s="2"/>
      <c r="F62" s="7">
        <f t="shared" si="40"/>
        <v>0</v>
      </c>
      <c r="G62" s="2"/>
      <c r="H62" s="6">
        <v>240.1</v>
      </c>
      <c r="I62" s="2"/>
      <c r="J62" s="7">
        <f t="shared" si="41"/>
        <v>0</v>
      </c>
      <c r="K62" s="2"/>
      <c r="L62" s="6">
        <f t="shared" si="42"/>
        <v>-1.0999999999999943</v>
      </c>
      <c r="M62" s="2"/>
      <c r="N62" s="7">
        <f t="shared" si="43"/>
        <v>-4.5814244064972696E-3</v>
      </c>
      <c r="O62" s="11"/>
      <c r="P62" s="6">
        <v>1645.12</v>
      </c>
      <c r="Q62" s="2"/>
      <c r="R62" s="7">
        <f t="shared" si="44"/>
        <v>0</v>
      </c>
      <c r="S62" s="2"/>
      <c r="T62" s="6">
        <v>1402.48</v>
      </c>
      <c r="U62" s="2"/>
      <c r="V62" s="7">
        <f t="shared" si="45"/>
        <v>0</v>
      </c>
      <c r="W62" s="2"/>
      <c r="X62" s="6">
        <f t="shared" si="46"/>
        <v>242.63999999999987</v>
      </c>
      <c r="Y62" s="2"/>
      <c r="Z62" s="7">
        <f t="shared" si="47"/>
        <v>0.17300781472819568</v>
      </c>
    </row>
    <row r="63" spans="1:26" s="26" customFormat="1" outlineLevel="1" collapsed="1" x14ac:dyDescent="0.25">
      <c r="A63" s="27"/>
      <c r="B63" s="13" t="str">
        <f>CONCATENATE("     ","Training                                          ")</f>
        <v xml:space="preserve">     Training                                          </v>
      </c>
      <c r="C63" s="13"/>
      <c r="D63" s="1">
        <f>SUM(OSRRefD22_14x_0)</f>
        <v>1126.5</v>
      </c>
      <c r="E63" s="1"/>
      <c r="F63" s="5">
        <f t="shared" si="40"/>
        <v>0</v>
      </c>
      <c r="G63" s="1"/>
      <c r="H63" s="1">
        <f>SUM(OSRRefH22_14x_0)</f>
        <v>1399.92</v>
      </c>
      <c r="I63" s="1"/>
      <c r="J63" s="5">
        <f t="shared" si="41"/>
        <v>0</v>
      </c>
      <c r="K63" s="1"/>
      <c r="L63" s="1">
        <f t="shared" si="42"/>
        <v>-273.42000000000007</v>
      </c>
      <c r="M63" s="1"/>
      <c r="N63" s="5">
        <f t="shared" si="43"/>
        <v>-0.19531116063775078</v>
      </c>
      <c r="O63" s="13"/>
      <c r="P63" s="1">
        <f>SUM(OSRRefP22_14x_0)</f>
        <v>1126.5</v>
      </c>
      <c r="Q63" s="1"/>
      <c r="R63" s="5">
        <f t="shared" si="44"/>
        <v>0</v>
      </c>
      <c r="S63" s="1"/>
      <c r="T63" s="1">
        <f>SUM(OSRRefT22_14x_0)</f>
        <v>3313.92</v>
      </c>
      <c r="U63" s="1"/>
      <c r="V63" s="5">
        <f t="shared" si="45"/>
        <v>0</v>
      </c>
      <c r="W63" s="1"/>
      <c r="X63" s="1">
        <f t="shared" si="46"/>
        <v>-2187.42</v>
      </c>
      <c r="Y63" s="1"/>
      <c r="Z63" s="5">
        <f t="shared" si="47"/>
        <v>-0.66007024913093859</v>
      </c>
    </row>
    <row r="64" spans="1:26" s="24" customFormat="1" hidden="1" outlineLevel="2" x14ac:dyDescent="0.25">
      <c r="A64" s="25"/>
      <c r="B64" s="11" t="str">
        <f>CONCATENATE("          ", "6376", " - ", "TRAINING")</f>
        <v xml:space="preserve">          6376 - TRAINING</v>
      </c>
      <c r="C64" s="11"/>
      <c r="D64" s="6">
        <v>1126.5</v>
      </c>
      <c r="E64" s="2"/>
      <c r="F64" s="7">
        <f t="shared" si="40"/>
        <v>0</v>
      </c>
      <c r="G64" s="2"/>
      <c r="H64" s="6">
        <v>1399.92</v>
      </c>
      <c r="I64" s="2"/>
      <c r="J64" s="7">
        <f t="shared" si="41"/>
        <v>0</v>
      </c>
      <c r="K64" s="2"/>
      <c r="L64" s="6">
        <f t="shared" si="42"/>
        <v>-273.42000000000007</v>
      </c>
      <c r="M64" s="2"/>
      <c r="N64" s="7">
        <f t="shared" si="43"/>
        <v>-0.19531116063775078</v>
      </c>
      <c r="O64" s="11"/>
      <c r="P64" s="6">
        <v>1126.5</v>
      </c>
      <c r="Q64" s="2"/>
      <c r="R64" s="7">
        <f t="shared" si="44"/>
        <v>0</v>
      </c>
      <c r="S64" s="2"/>
      <c r="T64" s="6">
        <v>3313.92</v>
      </c>
      <c r="U64" s="2"/>
      <c r="V64" s="7">
        <f t="shared" si="45"/>
        <v>0</v>
      </c>
      <c r="W64" s="2"/>
      <c r="X64" s="6">
        <f t="shared" si="46"/>
        <v>-2187.42</v>
      </c>
      <c r="Y64" s="2"/>
      <c r="Z64" s="7">
        <f t="shared" si="47"/>
        <v>-0.66007024913093859</v>
      </c>
    </row>
    <row r="65" spans="1:26" s="26" customFormat="1" outlineLevel="1" collapsed="1" x14ac:dyDescent="0.25">
      <c r="A65" s="27"/>
      <c r="B65" s="13" t="str">
        <f>CONCATENATE("     ","Travel                                            ")</f>
        <v xml:space="preserve">     Travel                                            </v>
      </c>
      <c r="C65" s="13"/>
      <c r="D65" s="1">
        <f>SUM(OSRRefD22_15x_0)</f>
        <v>0</v>
      </c>
      <c r="E65" s="1"/>
      <c r="F65" s="5">
        <f t="shared" si="40"/>
        <v>0</v>
      </c>
      <c r="G65" s="1"/>
      <c r="H65" s="1">
        <f>SUM(OSRRefH22_15x_0)</f>
        <v>417.93</v>
      </c>
      <c r="I65" s="1"/>
      <c r="J65" s="5">
        <f t="shared" si="41"/>
        <v>0</v>
      </c>
      <c r="K65" s="1"/>
      <c r="L65" s="1">
        <f t="shared" si="42"/>
        <v>-417.93</v>
      </c>
      <c r="M65" s="1"/>
      <c r="N65" s="5">
        <f t="shared" si="43"/>
        <v>-1</v>
      </c>
      <c r="O65" s="13"/>
      <c r="P65" s="1">
        <f>SUM(OSRRefP22_15x_0)</f>
        <v>0</v>
      </c>
      <c r="Q65" s="1"/>
      <c r="R65" s="5">
        <f t="shared" si="44"/>
        <v>0</v>
      </c>
      <c r="S65" s="1"/>
      <c r="T65" s="1">
        <f>SUM(OSRRefT22_15x_0)</f>
        <v>3615.35</v>
      </c>
      <c r="U65" s="1"/>
      <c r="V65" s="5">
        <f t="shared" si="45"/>
        <v>0</v>
      </c>
      <c r="W65" s="1"/>
      <c r="X65" s="1">
        <f t="shared" si="46"/>
        <v>-3615.35</v>
      </c>
      <c r="Y65" s="1"/>
      <c r="Z65" s="5">
        <f t="shared" si="47"/>
        <v>-1</v>
      </c>
    </row>
    <row r="66" spans="1:26" s="24" customFormat="1" hidden="1" outlineLevel="2" x14ac:dyDescent="0.25">
      <c r="A66" s="25"/>
      <c r="B66" s="11" t="str">
        <f>CONCATENATE("          ", "6292", " - ", "TRAVEL/CONFERENCE")</f>
        <v xml:space="preserve">          6292 - TRAVEL/CONFERENCE</v>
      </c>
      <c r="C66" s="11"/>
      <c r="D66" s="6"/>
      <c r="E66" s="2"/>
      <c r="F66" s="7">
        <f t="shared" si="40"/>
        <v>0</v>
      </c>
      <c r="G66" s="2"/>
      <c r="H66" s="6">
        <v>417.93</v>
      </c>
      <c r="I66" s="2"/>
      <c r="J66" s="7">
        <f t="shared" si="41"/>
        <v>0</v>
      </c>
      <c r="K66" s="2"/>
      <c r="L66" s="6">
        <f t="shared" si="42"/>
        <v>-417.93</v>
      </c>
      <c r="M66" s="2"/>
      <c r="N66" s="7">
        <f t="shared" si="43"/>
        <v>-1</v>
      </c>
      <c r="O66" s="11"/>
      <c r="P66" s="6"/>
      <c r="Q66" s="2"/>
      <c r="R66" s="7">
        <f t="shared" si="44"/>
        <v>0</v>
      </c>
      <c r="S66" s="2"/>
      <c r="T66" s="6">
        <v>3615.35</v>
      </c>
      <c r="U66" s="2"/>
      <c r="V66" s="7">
        <f t="shared" si="45"/>
        <v>0</v>
      </c>
      <c r="W66" s="2"/>
      <c r="X66" s="6">
        <f t="shared" si="46"/>
        <v>-3615.35</v>
      </c>
      <c r="Y66" s="2"/>
      <c r="Z66" s="7">
        <f t="shared" si="47"/>
        <v>-1</v>
      </c>
    </row>
    <row r="67" spans="1:26" s="53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9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8" t="s">
        <v>3</v>
      </c>
      <c r="C70" s="28"/>
      <c r="D70" s="20">
        <f>+D16-D18+D68</f>
        <v>-45348.319999999992</v>
      </c>
      <c r="E70" s="14"/>
      <c r="F70" s="22">
        <f>IF(D$12=0,0,D70/D$12)</f>
        <v>0</v>
      </c>
      <c r="G70" s="14"/>
      <c r="H70" s="20">
        <f>+H16-H18+H68</f>
        <v>-55653.32</v>
      </c>
      <c r="I70" s="14"/>
      <c r="J70" s="22">
        <f>IF(H$12=0,0,H70/H$12)</f>
        <v>0</v>
      </c>
      <c r="K70" s="15"/>
      <c r="L70" s="20">
        <f>+D70-H70</f>
        <v>10305.000000000007</v>
      </c>
      <c r="M70" s="15"/>
      <c r="N70" s="22">
        <f>IF(H70=0,0,L70/H70)</f>
        <v>-0.18516415552567228</v>
      </c>
      <c r="O70" s="29"/>
      <c r="P70" s="20">
        <f>+P16-P18+P68</f>
        <v>-187915.14</v>
      </c>
      <c r="Q70" s="14"/>
      <c r="R70" s="22">
        <f>IF(P$12=0,0,P70/P$12)</f>
        <v>0</v>
      </c>
      <c r="S70" s="14"/>
      <c r="T70" s="20">
        <f>+T16-T18+T68</f>
        <v>-400662.36999999994</v>
      </c>
      <c r="U70" s="14"/>
      <c r="V70" s="22">
        <f>IF(T$12=0,0,T70/T$12)</f>
        <v>0</v>
      </c>
      <c r="W70" s="15"/>
      <c r="X70" s="20">
        <f>+P70-T70</f>
        <v>212747.22999999992</v>
      </c>
      <c r="Y70" s="15"/>
      <c r="Z70" s="22">
        <f>IF(T70=0,0,X70/T70)</f>
        <v>-0.53098879737570548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1"/>
      <c r="B72" s="10" t="s">
        <v>13</v>
      </c>
      <c r="C72" s="10"/>
      <c r="D72" s="4"/>
      <c r="E72" s="4"/>
      <c r="F72" s="12">
        <f>IF(D$12=0,0,D72/D$12)</f>
        <v>0</v>
      </c>
      <c r="G72" s="4"/>
      <c r="H72" s="4"/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/>
      <c r="Q72" s="4"/>
      <c r="R72" s="12">
        <f>IF(P$12=0,0,P72/P$12)</f>
        <v>0</v>
      </c>
      <c r="S72" s="4"/>
      <c r="T72" s="4"/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8" t="s">
        <v>4</v>
      </c>
      <c r="C74" s="28"/>
      <c r="D74" s="31">
        <f>+D70-D72</f>
        <v>-45348.319999999992</v>
      </c>
      <c r="E74" s="14"/>
      <c r="F74" s="34">
        <f>IF(D$12=0,0,D74/D$12)</f>
        <v>0</v>
      </c>
      <c r="G74" s="14"/>
      <c r="H74" s="31">
        <f>+H70-H72</f>
        <v>-55653.32</v>
      </c>
      <c r="I74" s="14"/>
      <c r="J74" s="34">
        <f>IF(H$12=0,0,H74/H$12)</f>
        <v>0</v>
      </c>
      <c r="K74" s="15"/>
      <c r="L74" s="31">
        <f>D74-H74</f>
        <v>10305.000000000007</v>
      </c>
      <c r="M74" s="15"/>
      <c r="N74" s="34">
        <f>IF(H74=0,0,L74/H74)</f>
        <v>-0.18516415552567228</v>
      </c>
      <c r="O74" s="29"/>
      <c r="P74" s="31">
        <f>+P70-P72</f>
        <v>-187915.14</v>
      </c>
      <c r="Q74" s="14"/>
      <c r="R74" s="34">
        <f>IF(P$12=0,0,P74/P$12)</f>
        <v>0</v>
      </c>
      <c r="S74" s="14"/>
      <c r="T74" s="31">
        <f>+T70-T72</f>
        <v>-400662.36999999994</v>
      </c>
      <c r="U74" s="14"/>
      <c r="V74" s="34">
        <f>IF(T$12=0,0,T74/T$12)</f>
        <v>0</v>
      </c>
      <c r="W74" s="15"/>
      <c r="X74" s="31">
        <f>P74-T74</f>
        <v>212747.22999999992</v>
      </c>
      <c r="Y74" s="15"/>
      <c r="Z74" s="34">
        <f>IF(T74=0,0,X74/T74)</f>
        <v>-0.53098879737570548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5</v>
      </c>
      <c r="C77" s="28"/>
      <c r="D77" s="32">
        <f>SUM(D74:D76)</f>
        <v>-45348.319999999992</v>
      </c>
      <c r="E77" s="14"/>
      <c r="F77" s="30">
        <f>IF(D$12=0,0,D77/D$12)</f>
        <v>0</v>
      </c>
      <c r="G77" s="14"/>
      <c r="H77" s="32">
        <f>SUM(H74:H76)</f>
        <v>-55653.32</v>
      </c>
      <c r="I77" s="14"/>
      <c r="J77" s="30">
        <f>IF(H$12=0,0,H77/H$12)</f>
        <v>0</v>
      </c>
      <c r="K77" s="15"/>
      <c r="L77" s="32">
        <f>+D77-H77</f>
        <v>10305.000000000007</v>
      </c>
      <c r="M77" s="15"/>
      <c r="N77" s="30">
        <f>IF(H77=0,0,L77/H77)</f>
        <v>-0.18516415552567228</v>
      </c>
      <c r="O77" s="29"/>
      <c r="P77" s="32">
        <f>SUM(P74:P76)</f>
        <v>-187915.14</v>
      </c>
      <c r="Q77" s="14"/>
      <c r="R77" s="30">
        <f>IF(P$12=0,0,P77/P$12)</f>
        <v>0</v>
      </c>
      <c r="S77" s="14"/>
      <c r="T77" s="32">
        <f>SUM(T74:T76)</f>
        <v>-400662.36999999994</v>
      </c>
      <c r="U77" s="14"/>
      <c r="V77" s="30">
        <f>IF(T$12=0,0,T77/T$12)</f>
        <v>0</v>
      </c>
      <c r="W77" s="15"/>
      <c r="X77" s="32">
        <f>+P77-T77</f>
        <v>212747.22999999992</v>
      </c>
      <c r="Y77" s="15"/>
      <c r="Z77" s="30">
        <f>IF(T77=0,0,X77/T77)</f>
        <v>-0.53098879737570548</v>
      </c>
    </row>
    <row r="78" spans="1:26" ht="15.75" thickTop="1" x14ac:dyDescent="0.25">
      <c r="A78" s="9"/>
      <c r="C78" s="9"/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54">
        <v>44174.68535162037</v>
      </c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56" t="s">
        <v>313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61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","202", " - ", "Accounting")</f>
        <v>Department 202 - Accounting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34438.06</v>
      </c>
      <c r="E18" s="21"/>
      <c r="F18" s="35">
        <f t="shared" ref="F18:F27" si="0">IF(D$12=0,0,D18/D$12)</f>
        <v>0</v>
      </c>
      <c r="G18" s="21"/>
      <c r="H18" s="21">
        <f>SUM(OSRRefH22x_0)</f>
        <v>44835.369999999988</v>
      </c>
      <c r="I18" s="21"/>
      <c r="J18" s="35">
        <f t="shared" ref="J18:J27" si="1">IF(H$12=0,0,H18/H$12)</f>
        <v>0</v>
      </c>
      <c r="K18" s="4"/>
      <c r="L18" s="21">
        <f t="shared" ref="L18:L27" si="2">+D18-H18</f>
        <v>-10397.30999999999</v>
      </c>
      <c r="M18" s="4"/>
      <c r="N18" s="35">
        <f t="shared" ref="N18:N27" si="3">IF(H18=0,0,L18/H18)</f>
        <v>-0.23189972559610847</v>
      </c>
      <c r="O18" s="10"/>
      <c r="P18" s="21">
        <f>SUM(OSRRefP22x_0)</f>
        <v>190594.6</v>
      </c>
      <c r="Q18" s="21"/>
      <c r="R18" s="35">
        <f t="shared" ref="R18:R27" si="4">IF(P$12=0,0,P18/P$12)</f>
        <v>0</v>
      </c>
      <c r="S18" s="21"/>
      <c r="T18" s="21">
        <f>SUM(OSRRefT22x_0)</f>
        <v>259130.04999999996</v>
      </c>
      <c r="U18" s="21"/>
      <c r="V18" s="35">
        <f t="shared" ref="V18:V27" si="5">IF(T$12=0,0,T18/T$12)</f>
        <v>0</v>
      </c>
      <c r="W18" s="4"/>
      <c r="X18" s="21">
        <f t="shared" ref="X18:X27" si="6">+P18-T18</f>
        <v>-68535.449999999953</v>
      </c>
      <c r="Y18" s="4"/>
      <c r="Z18" s="35">
        <f t="shared" ref="Z18:Z27" si="7">IF(T18=0,0,X18/T18)</f>
        <v>-0.26448283400555034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13535.680000000002</v>
      </c>
      <c r="E19" s="1"/>
      <c r="F19" s="5">
        <f t="shared" si="0"/>
        <v>0</v>
      </c>
      <c r="G19" s="1"/>
      <c r="H19" s="1">
        <f>SUM(OSRRefH22_0x_0)</f>
        <v>14248.290000000003</v>
      </c>
      <c r="I19" s="1"/>
      <c r="J19" s="5">
        <f t="shared" si="1"/>
        <v>0</v>
      </c>
      <c r="K19" s="1"/>
      <c r="L19" s="1">
        <f t="shared" si="2"/>
        <v>-712.61000000000058</v>
      </c>
      <c r="M19" s="1"/>
      <c r="N19" s="5">
        <f t="shared" si="3"/>
        <v>-5.0013720944759019E-2</v>
      </c>
      <c r="O19" s="13"/>
      <c r="P19" s="1">
        <f>SUM(OSRRefP22_0x_0)</f>
        <v>67076.409999999989</v>
      </c>
      <c r="Q19" s="1"/>
      <c r="R19" s="5">
        <f t="shared" si="4"/>
        <v>0</v>
      </c>
      <c r="S19" s="1"/>
      <c r="T19" s="1">
        <f>SUM(OSRRefT22_0x_0)</f>
        <v>80468.309999999983</v>
      </c>
      <c r="U19" s="1"/>
      <c r="V19" s="5">
        <f t="shared" si="5"/>
        <v>0</v>
      </c>
      <c r="W19" s="1"/>
      <c r="X19" s="1">
        <f t="shared" si="6"/>
        <v>-13391.899999999994</v>
      </c>
      <c r="Y19" s="1"/>
      <c r="Z19" s="5">
        <f t="shared" si="7"/>
        <v>-0.16642452165330671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1639.1</v>
      </c>
      <c r="E20" s="2"/>
      <c r="F20" s="7">
        <f t="shared" si="0"/>
        <v>0</v>
      </c>
      <c r="G20" s="2"/>
      <c r="H20" s="6">
        <v>2035.18</v>
      </c>
      <c r="I20" s="2"/>
      <c r="J20" s="7">
        <f t="shared" si="1"/>
        <v>0</v>
      </c>
      <c r="K20" s="2"/>
      <c r="L20" s="6">
        <f t="shared" si="2"/>
        <v>-396.08000000000015</v>
      </c>
      <c r="M20" s="2"/>
      <c r="N20" s="7">
        <f t="shared" si="3"/>
        <v>-0.19461669238101797</v>
      </c>
      <c r="O20" s="11"/>
      <c r="P20" s="6">
        <v>10177.43</v>
      </c>
      <c r="Q20" s="2"/>
      <c r="R20" s="7">
        <f t="shared" si="4"/>
        <v>0</v>
      </c>
      <c r="S20" s="2"/>
      <c r="T20" s="6">
        <v>13375.49</v>
      </c>
      <c r="U20" s="2"/>
      <c r="V20" s="7">
        <f t="shared" si="5"/>
        <v>0</v>
      </c>
      <c r="W20" s="2"/>
      <c r="X20" s="6">
        <f t="shared" si="6"/>
        <v>-3198.0599999999995</v>
      </c>
      <c r="Y20" s="2"/>
      <c r="Z20" s="7">
        <f t="shared" si="7"/>
        <v>-0.23909853022207034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157.1</v>
      </c>
      <c r="E21" s="2"/>
      <c r="F21" s="7">
        <f t="shared" si="0"/>
        <v>0</v>
      </c>
      <c r="G21" s="2"/>
      <c r="H21" s="6">
        <v>106.38</v>
      </c>
      <c r="I21" s="2"/>
      <c r="J21" s="7">
        <f t="shared" si="1"/>
        <v>0</v>
      </c>
      <c r="K21" s="2"/>
      <c r="L21" s="6">
        <f t="shared" si="2"/>
        <v>50.72</v>
      </c>
      <c r="M21" s="2"/>
      <c r="N21" s="7">
        <f t="shared" si="3"/>
        <v>0.47678134987779658</v>
      </c>
      <c r="O21" s="11"/>
      <c r="P21" s="6">
        <v>437.2</v>
      </c>
      <c r="Q21" s="2"/>
      <c r="R21" s="7">
        <f t="shared" si="4"/>
        <v>0</v>
      </c>
      <c r="S21" s="2"/>
      <c r="T21" s="6">
        <v>422.01</v>
      </c>
      <c r="U21" s="2"/>
      <c r="V21" s="7">
        <f t="shared" si="5"/>
        <v>0</v>
      </c>
      <c r="W21" s="2"/>
      <c r="X21" s="6">
        <f t="shared" si="6"/>
        <v>15.189999999999998</v>
      </c>
      <c r="Y21" s="2"/>
      <c r="Z21" s="7">
        <f t="shared" si="7"/>
        <v>3.5994407715456977E-2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6246.72</v>
      </c>
      <c r="E22" s="2"/>
      <c r="F22" s="7">
        <f t="shared" si="0"/>
        <v>0</v>
      </c>
      <c r="G22" s="2"/>
      <c r="H22" s="6">
        <v>5942.02</v>
      </c>
      <c r="I22" s="2"/>
      <c r="J22" s="7">
        <f t="shared" si="1"/>
        <v>0</v>
      </c>
      <c r="K22" s="2"/>
      <c r="L22" s="6">
        <f t="shared" si="2"/>
        <v>304.69999999999982</v>
      </c>
      <c r="M22" s="2"/>
      <c r="N22" s="7">
        <f t="shared" si="3"/>
        <v>5.1278858031443816E-2</v>
      </c>
      <c r="O22" s="11"/>
      <c r="P22" s="6">
        <v>29194.560000000001</v>
      </c>
      <c r="Q22" s="2"/>
      <c r="R22" s="7">
        <f t="shared" si="4"/>
        <v>0</v>
      </c>
      <c r="S22" s="2"/>
      <c r="T22" s="6">
        <v>29710.099999999995</v>
      </c>
      <c r="U22" s="2"/>
      <c r="V22" s="7">
        <f t="shared" si="5"/>
        <v>0</v>
      </c>
      <c r="W22" s="2"/>
      <c r="X22" s="6">
        <f t="shared" si="6"/>
        <v>-515.5399999999936</v>
      </c>
      <c r="Y22" s="2"/>
      <c r="Z22" s="7">
        <f t="shared" si="7"/>
        <v>-1.7352348191355588E-2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123.77</v>
      </c>
      <c r="E23" s="2"/>
      <c r="F23" s="7">
        <f t="shared" si="0"/>
        <v>0</v>
      </c>
      <c r="G23" s="2"/>
      <c r="H23" s="6">
        <v>81.349999999999994</v>
      </c>
      <c r="I23" s="2"/>
      <c r="J23" s="7">
        <f t="shared" si="1"/>
        <v>0</v>
      </c>
      <c r="K23" s="2"/>
      <c r="L23" s="6">
        <f t="shared" si="2"/>
        <v>42.42</v>
      </c>
      <c r="M23" s="2"/>
      <c r="N23" s="7">
        <f t="shared" si="3"/>
        <v>0.52145052243392753</v>
      </c>
      <c r="O23" s="11"/>
      <c r="P23" s="6">
        <v>344.44</v>
      </c>
      <c r="Q23" s="2"/>
      <c r="R23" s="7">
        <f t="shared" si="4"/>
        <v>0</v>
      </c>
      <c r="S23" s="2"/>
      <c r="T23" s="6">
        <v>463.47</v>
      </c>
      <c r="U23" s="2"/>
      <c r="V23" s="7">
        <f t="shared" si="5"/>
        <v>0</v>
      </c>
      <c r="W23" s="2"/>
      <c r="X23" s="6">
        <f t="shared" si="6"/>
        <v>-119.03000000000003</v>
      </c>
      <c r="Y23" s="2"/>
      <c r="Z23" s="7">
        <f t="shared" si="7"/>
        <v>-0.25682352687336835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2830.05</v>
      </c>
      <c r="E24" s="2"/>
      <c r="F24" s="7">
        <f t="shared" si="0"/>
        <v>0</v>
      </c>
      <c r="G24" s="2"/>
      <c r="H24" s="6">
        <v>2196.79</v>
      </c>
      <c r="I24" s="2"/>
      <c r="J24" s="7">
        <f t="shared" si="1"/>
        <v>0</v>
      </c>
      <c r="K24" s="2"/>
      <c r="L24" s="6">
        <f t="shared" si="2"/>
        <v>633.26000000000022</v>
      </c>
      <c r="M24" s="2"/>
      <c r="N24" s="7">
        <f t="shared" si="3"/>
        <v>0.28826606093436341</v>
      </c>
      <c r="O24" s="11"/>
      <c r="P24" s="6">
        <v>11734.48</v>
      </c>
      <c r="Q24" s="2"/>
      <c r="R24" s="7">
        <f t="shared" si="4"/>
        <v>0</v>
      </c>
      <c r="S24" s="2"/>
      <c r="T24" s="6">
        <v>12211.74</v>
      </c>
      <c r="U24" s="2"/>
      <c r="V24" s="7">
        <f t="shared" si="5"/>
        <v>0</v>
      </c>
      <c r="W24" s="2"/>
      <c r="X24" s="6">
        <f t="shared" si="6"/>
        <v>-477.26000000000022</v>
      </c>
      <c r="Y24" s="2"/>
      <c r="Z24" s="7">
        <f t="shared" si="7"/>
        <v>-3.9082063653500664E-2</v>
      </c>
    </row>
    <row r="25" spans="1:26" s="24" customFormat="1" hidden="1" outlineLevel="2" x14ac:dyDescent="0.25">
      <c r="A25" s="25"/>
      <c r="B25" s="11" t="str">
        <f>CONCATENATE("          ", "6118", " - ", "VACATION")</f>
        <v xml:space="preserve">          6118 - VACATION</v>
      </c>
      <c r="C25" s="11"/>
      <c r="D25" s="6">
        <v>1559.44</v>
      </c>
      <c r="E25" s="2"/>
      <c r="F25" s="7">
        <f t="shared" si="0"/>
        <v>0</v>
      </c>
      <c r="G25" s="2"/>
      <c r="H25" s="6">
        <v>1866.76</v>
      </c>
      <c r="I25" s="2"/>
      <c r="J25" s="7">
        <f t="shared" si="1"/>
        <v>0</v>
      </c>
      <c r="K25" s="2"/>
      <c r="L25" s="6">
        <f t="shared" si="2"/>
        <v>-307.31999999999994</v>
      </c>
      <c r="M25" s="2"/>
      <c r="N25" s="7">
        <f t="shared" si="3"/>
        <v>-0.16462748291156867</v>
      </c>
      <c r="O25" s="11"/>
      <c r="P25" s="6">
        <v>8538.23</v>
      </c>
      <c r="Q25" s="2"/>
      <c r="R25" s="7">
        <f t="shared" si="4"/>
        <v>0</v>
      </c>
      <c r="S25" s="2"/>
      <c r="T25" s="6">
        <v>11141.6</v>
      </c>
      <c r="U25" s="2"/>
      <c r="V25" s="7">
        <f t="shared" si="5"/>
        <v>0</v>
      </c>
      <c r="W25" s="2"/>
      <c r="X25" s="6">
        <f t="shared" si="6"/>
        <v>-2603.3700000000008</v>
      </c>
      <c r="Y25" s="2"/>
      <c r="Z25" s="7">
        <f t="shared" si="7"/>
        <v>-0.23366213111222811</v>
      </c>
    </row>
    <row r="26" spans="1:26" s="24" customFormat="1" hidden="1" outlineLevel="2" x14ac:dyDescent="0.25">
      <c r="A26" s="25"/>
      <c r="B26" s="11" t="str">
        <f>CONCATENATE("          ", "6119", " - ", "SICK LEAVE")</f>
        <v xml:space="preserve">          6119 - SICK LEAVE</v>
      </c>
      <c r="C26" s="11"/>
      <c r="D26" s="6">
        <v>979.42</v>
      </c>
      <c r="E26" s="2"/>
      <c r="F26" s="7">
        <f t="shared" si="0"/>
        <v>0</v>
      </c>
      <c r="G26" s="2"/>
      <c r="H26" s="6">
        <v>1152.2</v>
      </c>
      <c r="I26" s="2"/>
      <c r="J26" s="7">
        <f t="shared" si="1"/>
        <v>0</v>
      </c>
      <c r="K26" s="2"/>
      <c r="L26" s="6">
        <f t="shared" si="2"/>
        <v>-172.78000000000009</v>
      </c>
      <c r="M26" s="2"/>
      <c r="N26" s="7">
        <f t="shared" si="3"/>
        <v>-0.1499566047561188</v>
      </c>
      <c r="O26" s="11"/>
      <c r="P26" s="6">
        <v>5386.81</v>
      </c>
      <c r="Q26" s="2"/>
      <c r="R26" s="7">
        <f t="shared" si="4"/>
        <v>0</v>
      </c>
      <c r="S26" s="2"/>
      <c r="T26" s="6">
        <v>9119.81</v>
      </c>
      <c r="U26" s="2"/>
      <c r="V26" s="7">
        <f t="shared" si="5"/>
        <v>0</v>
      </c>
      <c r="W26" s="2"/>
      <c r="X26" s="6">
        <f t="shared" si="6"/>
        <v>-3732.9999999999991</v>
      </c>
      <c r="Y26" s="2"/>
      <c r="Z26" s="7">
        <f t="shared" si="7"/>
        <v>-0.40932870311991143</v>
      </c>
    </row>
    <row r="27" spans="1:26" s="24" customFormat="1" hidden="1" outlineLevel="2" x14ac:dyDescent="0.25">
      <c r="A27" s="25"/>
      <c r="B27" s="11" t="str">
        <f>CONCATENATE("          ", "6156", " - ", "EMPLOYEE MEALS")</f>
        <v xml:space="preserve">          6156 - EMPLOYEE MEALS</v>
      </c>
      <c r="C27" s="11"/>
      <c r="D27" s="6">
        <v>0.08</v>
      </c>
      <c r="E27" s="2"/>
      <c r="F27" s="7">
        <f t="shared" si="0"/>
        <v>0</v>
      </c>
      <c r="G27" s="2"/>
      <c r="H27" s="6">
        <v>867.61</v>
      </c>
      <c r="I27" s="2"/>
      <c r="J27" s="7">
        <f t="shared" si="1"/>
        <v>0</v>
      </c>
      <c r="K27" s="2"/>
      <c r="L27" s="6">
        <f t="shared" si="2"/>
        <v>-867.53</v>
      </c>
      <c r="M27" s="2"/>
      <c r="N27" s="7">
        <f t="shared" si="3"/>
        <v>-0.9999077926718225</v>
      </c>
      <c r="O27" s="11"/>
      <c r="P27" s="6">
        <v>1263.26</v>
      </c>
      <c r="Q27" s="2"/>
      <c r="R27" s="7">
        <f t="shared" si="4"/>
        <v>0</v>
      </c>
      <c r="S27" s="2"/>
      <c r="T27" s="6">
        <v>4024.09</v>
      </c>
      <c r="U27" s="2"/>
      <c r="V27" s="7">
        <f t="shared" si="5"/>
        <v>0</v>
      </c>
      <c r="W27" s="2"/>
      <c r="X27" s="6">
        <f t="shared" si="6"/>
        <v>-2760.83</v>
      </c>
      <c r="Y27" s="2"/>
      <c r="Z27" s="7">
        <f t="shared" si="7"/>
        <v>-0.68607560964093739</v>
      </c>
    </row>
    <row r="28" spans="1:26" s="26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18048.769999999997</v>
      </c>
      <c r="E28" s="1"/>
      <c r="F28" s="5">
        <f t="shared" ref="F28:F32" si="8">IF(D$12=0,0,D28/D$12)</f>
        <v>0</v>
      </c>
      <c r="G28" s="1"/>
      <c r="H28" s="1">
        <f>SUM(OSRRefH22_1x_0)</f>
        <v>27514.3</v>
      </c>
      <c r="I28" s="1"/>
      <c r="J28" s="5">
        <f t="shared" ref="J28:J32" si="9">IF(H$12=0,0,H28/H$12)</f>
        <v>0</v>
      </c>
      <c r="K28" s="1"/>
      <c r="L28" s="1">
        <f t="shared" ref="L28:L32" si="10">+D28-H28</f>
        <v>-9465.5300000000025</v>
      </c>
      <c r="M28" s="1"/>
      <c r="N28" s="5">
        <f t="shared" ref="N28:N32" si="11">IF(H28=0,0,L28/H28)</f>
        <v>-0.344022199365421</v>
      </c>
      <c r="O28" s="13"/>
      <c r="P28" s="1">
        <f>SUM(OSRRefP22_1x_0)</f>
        <v>107521.56</v>
      </c>
      <c r="Q28" s="1"/>
      <c r="R28" s="5">
        <f t="shared" ref="R28:R32" si="12">IF(P$12=0,0,P28/P$12)</f>
        <v>0</v>
      </c>
      <c r="S28" s="1"/>
      <c r="T28" s="1">
        <f>SUM(OSRRefT22_1x_0)</f>
        <v>155797.57999999999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-48276.01999999999</v>
      </c>
      <c r="Y28" s="1"/>
      <c r="Z28" s="5">
        <f t="shared" ref="Z28:Z32" si="15">IF(T28=0,0,X28/T28)</f>
        <v>-0.30986373472553291</v>
      </c>
    </row>
    <row r="29" spans="1:26" s="24" customFormat="1" hidden="1" outlineLevel="2" x14ac:dyDescent="0.25">
      <c r="A29" s="25"/>
      <c r="B29" s="11" t="str">
        <f>CONCATENATE("          ", "6002", " - ", "STAFF SALARIES")</f>
        <v xml:space="preserve">          6002 - STAFF SALARIES</v>
      </c>
      <c r="C29" s="11"/>
      <c r="D29" s="6">
        <v>18048.769999999997</v>
      </c>
      <c r="E29" s="2"/>
      <c r="F29" s="7">
        <f t="shared" si="8"/>
        <v>0</v>
      </c>
      <c r="G29" s="2"/>
      <c r="H29" s="6">
        <v>22187.53</v>
      </c>
      <c r="I29" s="2"/>
      <c r="J29" s="7">
        <f t="shared" si="9"/>
        <v>0</v>
      </c>
      <c r="K29" s="2"/>
      <c r="L29" s="6">
        <f t="shared" si="10"/>
        <v>-4138.760000000002</v>
      </c>
      <c r="M29" s="2"/>
      <c r="N29" s="7">
        <f t="shared" si="11"/>
        <v>-0.18653540975493901</v>
      </c>
      <c r="O29" s="11"/>
      <c r="P29" s="6">
        <v>107139.8</v>
      </c>
      <c r="Q29" s="2"/>
      <c r="R29" s="7">
        <f t="shared" si="12"/>
        <v>0</v>
      </c>
      <c r="S29" s="2"/>
      <c r="T29" s="6">
        <v>125644.87999999999</v>
      </c>
      <c r="U29" s="2"/>
      <c r="V29" s="7">
        <f t="shared" si="13"/>
        <v>0</v>
      </c>
      <c r="W29" s="2"/>
      <c r="X29" s="6">
        <f t="shared" si="14"/>
        <v>-18505.079999999987</v>
      </c>
      <c r="Y29" s="2"/>
      <c r="Z29" s="7">
        <f t="shared" si="15"/>
        <v>-0.14728081239760815</v>
      </c>
    </row>
    <row r="30" spans="1:26" s="24" customFormat="1" hidden="1" outlineLevel="2" x14ac:dyDescent="0.25">
      <c r="A30" s="25"/>
      <c r="B30" s="11" t="str">
        <f>CONCATENATE("          ", "6005", " - ", "TEMPORARY WAGES-HOURLY")</f>
        <v xml:space="preserve">          6005 - TEMPORARY WAGES-HOURLY</v>
      </c>
      <c r="C30" s="11"/>
      <c r="D30" s="6"/>
      <c r="E30" s="2"/>
      <c r="F30" s="7">
        <f t="shared" si="8"/>
        <v>0</v>
      </c>
      <c r="G30" s="2"/>
      <c r="H30" s="6">
        <v>1665.77</v>
      </c>
      <c r="I30" s="2"/>
      <c r="J30" s="7">
        <f t="shared" si="9"/>
        <v>0</v>
      </c>
      <c r="K30" s="2"/>
      <c r="L30" s="6">
        <f t="shared" si="10"/>
        <v>-1665.77</v>
      </c>
      <c r="M30" s="2"/>
      <c r="N30" s="7">
        <f t="shared" si="11"/>
        <v>-1</v>
      </c>
      <c r="O30" s="11"/>
      <c r="P30" s="6">
        <v>265.48</v>
      </c>
      <c r="Q30" s="2"/>
      <c r="R30" s="7">
        <f t="shared" si="12"/>
        <v>0</v>
      </c>
      <c r="S30" s="2"/>
      <c r="T30" s="6">
        <v>11904.45</v>
      </c>
      <c r="U30" s="2"/>
      <c r="V30" s="7">
        <f t="shared" si="13"/>
        <v>0</v>
      </c>
      <c r="W30" s="2"/>
      <c r="X30" s="6">
        <f t="shared" si="14"/>
        <v>-11638.970000000001</v>
      </c>
      <c r="Y30" s="2"/>
      <c r="Z30" s="7">
        <f t="shared" si="15"/>
        <v>-0.97769909571630775</v>
      </c>
    </row>
    <row r="31" spans="1:26" s="24" customFormat="1" hidden="1" outlineLevel="2" x14ac:dyDescent="0.25">
      <c r="A31" s="25"/>
      <c r="B31" s="11" t="str">
        <f>CONCATENATE("          ", "6007", " - ", "STUDENT HOURLY")</f>
        <v xml:space="preserve">          6007 - STUDENT HOURLY</v>
      </c>
      <c r="C31" s="11"/>
      <c r="D31" s="6"/>
      <c r="E31" s="2"/>
      <c r="F31" s="7">
        <f t="shared" si="8"/>
        <v>0</v>
      </c>
      <c r="G31" s="2"/>
      <c r="H31" s="6">
        <v>3181</v>
      </c>
      <c r="I31" s="2"/>
      <c r="J31" s="7">
        <f t="shared" si="9"/>
        <v>0</v>
      </c>
      <c r="K31" s="2"/>
      <c r="L31" s="6">
        <f t="shared" si="10"/>
        <v>-3181</v>
      </c>
      <c r="M31" s="2"/>
      <c r="N31" s="7">
        <f t="shared" si="11"/>
        <v>-1</v>
      </c>
      <c r="O31" s="11"/>
      <c r="P31" s="6">
        <v>116.28</v>
      </c>
      <c r="Q31" s="2"/>
      <c r="R31" s="7">
        <f t="shared" si="12"/>
        <v>0</v>
      </c>
      <c r="S31" s="2"/>
      <c r="T31" s="6">
        <v>15743.249999999998</v>
      </c>
      <c r="U31" s="2"/>
      <c r="V31" s="7">
        <f t="shared" si="13"/>
        <v>0</v>
      </c>
      <c r="W31" s="2"/>
      <c r="X31" s="6">
        <f t="shared" si="14"/>
        <v>-15626.969999999998</v>
      </c>
      <c r="Y31" s="2"/>
      <c r="Z31" s="7">
        <f t="shared" si="15"/>
        <v>-0.99261397741889379</v>
      </c>
    </row>
    <row r="32" spans="1:26" s="24" customFormat="1" hidden="1" outlineLevel="2" x14ac:dyDescent="0.25">
      <c r="A32" s="25"/>
      <c r="B32" s="11" t="str">
        <f>CONCATENATE("          ", "6008", " - ", "STUDENT HOURLY-FICA EXEMPT")</f>
        <v xml:space="preserve">          6008 - STUDENT HOURLY-FICA EXEMPT</v>
      </c>
      <c r="C32" s="11"/>
      <c r="D32" s="6"/>
      <c r="E32" s="2"/>
      <c r="F32" s="7">
        <f t="shared" si="8"/>
        <v>0</v>
      </c>
      <c r="G32" s="2"/>
      <c r="H32" s="6">
        <v>480</v>
      </c>
      <c r="I32" s="2"/>
      <c r="J32" s="7">
        <f t="shared" si="9"/>
        <v>0</v>
      </c>
      <c r="K32" s="2"/>
      <c r="L32" s="6">
        <f t="shared" si="10"/>
        <v>-480</v>
      </c>
      <c r="M32" s="2"/>
      <c r="N32" s="7">
        <f t="shared" si="11"/>
        <v>-1</v>
      </c>
      <c r="O32" s="11"/>
      <c r="P32" s="6"/>
      <c r="Q32" s="2"/>
      <c r="R32" s="7">
        <f t="shared" si="12"/>
        <v>0</v>
      </c>
      <c r="S32" s="2"/>
      <c r="T32" s="6">
        <v>2505</v>
      </c>
      <c r="U32" s="2"/>
      <c r="V32" s="7">
        <f t="shared" si="13"/>
        <v>0</v>
      </c>
      <c r="W32" s="2"/>
      <c r="X32" s="6">
        <f t="shared" si="14"/>
        <v>-2505</v>
      </c>
      <c r="Y32" s="2"/>
      <c r="Z32" s="7">
        <f t="shared" si="15"/>
        <v>-1</v>
      </c>
    </row>
    <row r="33" spans="1:26" s="26" customFormat="1" outlineLevel="1" collapsed="1" x14ac:dyDescent="0.25">
      <c r="A33" s="27"/>
      <c r="B33" s="13" t="str">
        <f>CONCATENATE("     ","Depreciation                                      ")</f>
        <v xml:space="preserve">     Depreciation                                      </v>
      </c>
      <c r="C33" s="13"/>
      <c r="D33" s="1">
        <f>SUM(OSRRefD22_2x_0)</f>
        <v>1558.88</v>
      </c>
      <c r="E33" s="1"/>
      <c r="F33" s="5">
        <f t="shared" ref="F33:F39" si="16">IF(D$12=0,0,D33/D$12)</f>
        <v>0</v>
      </c>
      <c r="G33" s="1"/>
      <c r="H33" s="1">
        <f>SUM(OSRRefH22_2x_0)</f>
        <v>1558.88</v>
      </c>
      <c r="I33" s="1"/>
      <c r="J33" s="5">
        <f t="shared" ref="J33:J39" si="17">IF(H$12=0,0,H33/H$12)</f>
        <v>0</v>
      </c>
      <c r="K33" s="1"/>
      <c r="L33" s="1">
        <f t="shared" ref="L33:L39" si="18">+D33-H33</f>
        <v>0</v>
      </c>
      <c r="M33" s="1"/>
      <c r="N33" s="5">
        <f t="shared" ref="N33:N39" si="19">IF(H33=0,0,L33/H33)</f>
        <v>0</v>
      </c>
      <c r="O33" s="13"/>
      <c r="P33" s="1">
        <f>SUM(OSRRefP22_2x_0)</f>
        <v>7794.4</v>
      </c>
      <c r="Q33" s="1"/>
      <c r="R33" s="5">
        <f t="shared" ref="R33:R39" si="20">IF(P$12=0,0,P33/P$12)</f>
        <v>0</v>
      </c>
      <c r="S33" s="1"/>
      <c r="T33" s="1">
        <f>SUM(OSRRefT22_2x_0)</f>
        <v>7794.4</v>
      </c>
      <c r="U33" s="1"/>
      <c r="V33" s="5">
        <f t="shared" ref="V33:V39" si="21">IF(T$12=0,0,T33/T$12)</f>
        <v>0</v>
      </c>
      <c r="W33" s="1"/>
      <c r="X33" s="1">
        <f t="shared" ref="X33:X39" si="22">+P33-T33</f>
        <v>0</v>
      </c>
      <c r="Y33" s="1"/>
      <c r="Z33" s="5">
        <f t="shared" ref="Z33:Z39" si="23">IF(T33=0,0,X33/T33)</f>
        <v>0</v>
      </c>
    </row>
    <row r="34" spans="1:26" s="24" customFormat="1" hidden="1" outlineLevel="2" x14ac:dyDescent="0.25">
      <c r="A34" s="25"/>
      <c r="B34" s="11" t="str">
        <f>CONCATENATE("          ", "6322", " - ", "EQUIPMENT DEPRECIATION EXPENSE")</f>
        <v xml:space="preserve">          6322 - EQUIPMENT DEPRECIATION EXPENSE</v>
      </c>
      <c r="C34" s="11"/>
      <c r="D34" s="6">
        <v>1558.88</v>
      </c>
      <c r="E34" s="2"/>
      <c r="F34" s="7">
        <f t="shared" si="16"/>
        <v>0</v>
      </c>
      <c r="G34" s="2"/>
      <c r="H34" s="6">
        <v>1558.88</v>
      </c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>
        <v>7794.4</v>
      </c>
      <c r="Q34" s="2"/>
      <c r="R34" s="7">
        <f t="shared" si="20"/>
        <v>0</v>
      </c>
      <c r="S34" s="2"/>
      <c r="T34" s="6">
        <v>7794.4</v>
      </c>
      <c r="U34" s="2"/>
      <c r="V34" s="7">
        <f t="shared" si="21"/>
        <v>0</v>
      </c>
      <c r="W34" s="2"/>
      <c r="X34" s="6">
        <f t="shared" si="22"/>
        <v>0</v>
      </c>
      <c r="Y34" s="2"/>
      <c r="Z34" s="7">
        <f t="shared" si="23"/>
        <v>0</v>
      </c>
    </row>
    <row r="35" spans="1:26" s="26" customFormat="1" outlineLevel="1" collapsed="1" x14ac:dyDescent="0.25">
      <c r="A35" s="27"/>
      <c r="B35" s="13" t="str">
        <f>CONCATENATE("     ","Equipment Rental                                  ")</f>
        <v xml:space="preserve">     Equipment Rental                                  </v>
      </c>
      <c r="C35" s="13"/>
      <c r="D35" s="1">
        <f>SUM(OSRRefD22_3x_0)</f>
        <v>91.26</v>
      </c>
      <c r="E35" s="1"/>
      <c r="F35" s="5">
        <f t="shared" si="16"/>
        <v>0</v>
      </c>
      <c r="G35" s="1"/>
      <c r="H35" s="1">
        <f>SUM(OSRRefH22_3x_0)</f>
        <v>91.26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3"/>
      <c r="P35" s="1">
        <f>SUM(OSRRefP22_3x_0)</f>
        <v>456.3</v>
      </c>
      <c r="Q35" s="1"/>
      <c r="R35" s="5">
        <f t="shared" si="20"/>
        <v>0</v>
      </c>
      <c r="S35" s="1"/>
      <c r="T35" s="1">
        <f>SUM(OSRRefT22_3x_0)</f>
        <v>547.55999999999995</v>
      </c>
      <c r="U35" s="1"/>
      <c r="V35" s="5">
        <f t="shared" si="21"/>
        <v>0</v>
      </c>
      <c r="W35" s="1"/>
      <c r="X35" s="1">
        <f t="shared" si="22"/>
        <v>-91.259999999999934</v>
      </c>
      <c r="Y35" s="1"/>
      <c r="Z35" s="5">
        <f t="shared" si="23"/>
        <v>-0.16666666666666657</v>
      </c>
    </row>
    <row r="36" spans="1:26" s="24" customFormat="1" hidden="1" outlineLevel="2" x14ac:dyDescent="0.25">
      <c r="A36" s="25"/>
      <c r="B36" s="11" t="str">
        <f>CONCATENATE("          ", "6351", " - ", "EQUIPMENT RENTAL")</f>
        <v xml:space="preserve">          6351 - EQUIPMENT RENTAL</v>
      </c>
      <c r="C36" s="11"/>
      <c r="D36" s="6">
        <v>91.26</v>
      </c>
      <c r="E36" s="2"/>
      <c r="F36" s="7">
        <f t="shared" si="16"/>
        <v>0</v>
      </c>
      <c r="G36" s="2"/>
      <c r="H36" s="6">
        <v>91.26</v>
      </c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>
        <v>456.3</v>
      </c>
      <c r="Q36" s="2"/>
      <c r="R36" s="7">
        <f t="shared" si="20"/>
        <v>0</v>
      </c>
      <c r="S36" s="2"/>
      <c r="T36" s="6">
        <v>547.55999999999995</v>
      </c>
      <c r="U36" s="2"/>
      <c r="V36" s="7">
        <f t="shared" si="21"/>
        <v>0</v>
      </c>
      <c r="W36" s="2"/>
      <c r="X36" s="6">
        <f t="shared" si="22"/>
        <v>-91.259999999999934</v>
      </c>
      <c r="Y36" s="2"/>
      <c r="Z36" s="7">
        <f t="shared" si="23"/>
        <v>-0.16666666666666657</v>
      </c>
    </row>
    <row r="37" spans="1:26" s="26" customFormat="1" outlineLevel="1" collapsed="1" x14ac:dyDescent="0.25">
      <c r="A37" s="27"/>
      <c r="B37" s="13" t="str">
        <f>CONCATENATE("     ","Freight out/Postage                               ")</f>
        <v xml:space="preserve">     Freight out/Postage                               </v>
      </c>
      <c r="C37" s="13"/>
      <c r="D37" s="1">
        <f>SUM(OSRRefD22_4x_0)</f>
        <v>78.5</v>
      </c>
      <c r="E37" s="1"/>
      <c r="F37" s="5">
        <f t="shared" si="16"/>
        <v>0</v>
      </c>
      <c r="G37" s="1"/>
      <c r="H37" s="1">
        <f>SUM(OSRRefH22_4x_0)</f>
        <v>126.1</v>
      </c>
      <c r="I37" s="1"/>
      <c r="J37" s="5">
        <f t="shared" si="17"/>
        <v>0</v>
      </c>
      <c r="K37" s="1"/>
      <c r="L37" s="1">
        <f t="shared" si="18"/>
        <v>-47.599999999999994</v>
      </c>
      <c r="M37" s="1"/>
      <c r="N37" s="5">
        <f t="shared" si="19"/>
        <v>-0.37747819191118159</v>
      </c>
      <c r="O37" s="13"/>
      <c r="P37" s="1">
        <f>SUM(OSRRefP22_4x_0)</f>
        <v>538.36</v>
      </c>
      <c r="Q37" s="1"/>
      <c r="R37" s="5">
        <f t="shared" si="20"/>
        <v>0</v>
      </c>
      <c r="S37" s="1"/>
      <c r="T37" s="1">
        <f>SUM(OSRRefT22_4x_0)</f>
        <v>665.25</v>
      </c>
      <c r="U37" s="1"/>
      <c r="V37" s="5">
        <f t="shared" si="21"/>
        <v>0</v>
      </c>
      <c r="W37" s="1"/>
      <c r="X37" s="1">
        <f t="shared" si="22"/>
        <v>-126.88999999999999</v>
      </c>
      <c r="Y37" s="1"/>
      <c r="Z37" s="5">
        <f t="shared" si="23"/>
        <v>-0.19074032318677187</v>
      </c>
    </row>
    <row r="38" spans="1:26" s="24" customFormat="1" hidden="1" outlineLevel="2" x14ac:dyDescent="0.25">
      <c r="A38" s="25"/>
      <c r="B38" s="11" t="str">
        <f>CONCATENATE("          ", "6305", " - ", "FREIGHT OUT")</f>
        <v xml:space="preserve">          6305 - FREIGHT OUT</v>
      </c>
      <c r="C38" s="11"/>
      <c r="D38" s="6"/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>
        <v>5.41</v>
      </c>
      <c r="Q38" s="2"/>
      <c r="R38" s="7">
        <f t="shared" si="20"/>
        <v>0</v>
      </c>
      <c r="S38" s="2"/>
      <c r="T38" s="6"/>
      <c r="U38" s="2"/>
      <c r="V38" s="7">
        <f t="shared" si="21"/>
        <v>0</v>
      </c>
      <c r="W38" s="2"/>
      <c r="X38" s="6">
        <f t="shared" si="22"/>
        <v>5.41</v>
      </c>
      <c r="Y38" s="2"/>
      <c r="Z38" s="7">
        <f t="shared" si="23"/>
        <v>0</v>
      </c>
    </row>
    <row r="39" spans="1:26" s="24" customFormat="1" hidden="1" outlineLevel="2" x14ac:dyDescent="0.25">
      <c r="A39" s="25"/>
      <c r="B39" s="11" t="str">
        <f>CONCATENATE("          ", "6307", " - ", "POSTAGE")</f>
        <v xml:space="preserve">          6307 - POSTAGE</v>
      </c>
      <c r="C39" s="11"/>
      <c r="D39" s="6">
        <v>78.5</v>
      </c>
      <c r="E39" s="2"/>
      <c r="F39" s="7">
        <f t="shared" si="16"/>
        <v>0</v>
      </c>
      <c r="G39" s="2"/>
      <c r="H39" s="6">
        <v>126.1</v>
      </c>
      <c r="I39" s="2"/>
      <c r="J39" s="7">
        <f t="shared" si="17"/>
        <v>0</v>
      </c>
      <c r="K39" s="2"/>
      <c r="L39" s="6">
        <f t="shared" si="18"/>
        <v>-47.599999999999994</v>
      </c>
      <c r="M39" s="2"/>
      <c r="N39" s="7">
        <f t="shared" si="19"/>
        <v>-0.37747819191118159</v>
      </c>
      <c r="O39" s="11"/>
      <c r="P39" s="6">
        <v>532.95000000000005</v>
      </c>
      <c r="Q39" s="2"/>
      <c r="R39" s="7">
        <f t="shared" si="20"/>
        <v>0</v>
      </c>
      <c r="S39" s="2"/>
      <c r="T39" s="6">
        <v>665.25</v>
      </c>
      <c r="U39" s="2"/>
      <c r="V39" s="7">
        <f t="shared" si="21"/>
        <v>0</v>
      </c>
      <c r="W39" s="2"/>
      <c r="X39" s="6">
        <f t="shared" si="22"/>
        <v>-132.29999999999995</v>
      </c>
      <c r="Y39" s="2"/>
      <c r="Z39" s="7">
        <f t="shared" si="23"/>
        <v>-0.19887260428410367</v>
      </c>
    </row>
    <row r="40" spans="1:26" s="26" customFormat="1" outlineLevel="1" collapsed="1" x14ac:dyDescent="0.25">
      <c r="A40" s="27"/>
      <c r="B40" s="13" t="str">
        <f>CONCATENATE("     ","Insurance                                         ")</f>
        <v xml:space="preserve">     Insurance                                         </v>
      </c>
      <c r="C40" s="13"/>
      <c r="D40" s="1">
        <f>SUM(OSRRefD22_5x_0)</f>
        <v>132.16999999999999</v>
      </c>
      <c r="E40" s="1"/>
      <c r="F40" s="5">
        <f t="shared" ref="F40:F47" si="24">IF(D$12=0,0,D40/D$12)</f>
        <v>0</v>
      </c>
      <c r="G40" s="1"/>
      <c r="H40" s="1">
        <f>SUM(OSRRefH22_5x_0)</f>
        <v>132.16999999999999</v>
      </c>
      <c r="I40" s="1"/>
      <c r="J40" s="5">
        <f t="shared" ref="J40:J47" si="25">IF(H$12=0,0,H40/H$12)</f>
        <v>0</v>
      </c>
      <c r="K40" s="1"/>
      <c r="L40" s="1">
        <f t="shared" ref="L40:L47" si="26">+D40-H40</f>
        <v>0</v>
      </c>
      <c r="M40" s="1"/>
      <c r="N40" s="5">
        <f t="shared" ref="N40:N47" si="27">IF(H40=0,0,L40/H40)</f>
        <v>0</v>
      </c>
      <c r="O40" s="13"/>
      <c r="P40" s="1">
        <f>SUM(OSRRefP22_5x_0)</f>
        <v>660.85</v>
      </c>
      <c r="Q40" s="1"/>
      <c r="R40" s="5">
        <f t="shared" ref="R40:R47" si="28">IF(P$12=0,0,P40/P$12)</f>
        <v>0</v>
      </c>
      <c r="S40" s="1"/>
      <c r="T40" s="1">
        <f>SUM(OSRRefT22_5x_0)</f>
        <v>660.85</v>
      </c>
      <c r="U40" s="1"/>
      <c r="V40" s="5">
        <f t="shared" ref="V40:V47" si="29">IF(T$12=0,0,T40/T$12)</f>
        <v>0</v>
      </c>
      <c r="W40" s="1"/>
      <c r="X40" s="1">
        <f t="shared" ref="X40:X47" si="30">+P40-T40</f>
        <v>0</v>
      </c>
      <c r="Y40" s="1"/>
      <c r="Z40" s="5">
        <f t="shared" ref="Z40:Z47" si="31">IF(T40=0,0,X40/T40)</f>
        <v>0</v>
      </c>
    </row>
    <row r="41" spans="1:26" s="24" customFormat="1" hidden="1" outlineLevel="2" x14ac:dyDescent="0.25">
      <c r="A41" s="25"/>
      <c r="B41" s="11" t="str">
        <f>CONCATENATE("          ", "6314", " - ", "LIABILITY INSURANCE")</f>
        <v xml:space="preserve">          6314 - LIABILITY INSURANCE</v>
      </c>
      <c r="C41" s="11"/>
      <c r="D41" s="6">
        <v>132.16999999999999</v>
      </c>
      <c r="E41" s="2"/>
      <c r="F41" s="7">
        <f t="shared" si="24"/>
        <v>0</v>
      </c>
      <c r="G41" s="2"/>
      <c r="H41" s="6">
        <v>132.16999999999999</v>
      </c>
      <c r="I41" s="2"/>
      <c r="J41" s="7">
        <f t="shared" si="25"/>
        <v>0</v>
      </c>
      <c r="K41" s="2"/>
      <c r="L41" s="6">
        <f t="shared" si="26"/>
        <v>0</v>
      </c>
      <c r="M41" s="2"/>
      <c r="N41" s="7">
        <f t="shared" si="27"/>
        <v>0</v>
      </c>
      <c r="O41" s="11"/>
      <c r="P41" s="6">
        <v>660.85</v>
      </c>
      <c r="Q41" s="2"/>
      <c r="R41" s="7">
        <f t="shared" si="28"/>
        <v>0</v>
      </c>
      <c r="S41" s="2"/>
      <c r="T41" s="6">
        <v>660.85</v>
      </c>
      <c r="U41" s="2"/>
      <c r="V41" s="7">
        <f t="shared" si="29"/>
        <v>0</v>
      </c>
      <c r="W41" s="2"/>
      <c r="X41" s="6">
        <f t="shared" si="30"/>
        <v>0</v>
      </c>
      <c r="Y41" s="2"/>
      <c r="Z41" s="7">
        <f t="shared" si="31"/>
        <v>0</v>
      </c>
    </row>
    <row r="42" spans="1:26" s="26" customFormat="1" outlineLevel="1" collapsed="1" x14ac:dyDescent="0.25">
      <c r="A42" s="27"/>
      <c r="B42" s="13" t="str">
        <f>CONCATENATE("     ","Professional Services                             ")</f>
        <v xml:space="preserve">     Professional Services                             </v>
      </c>
      <c r="C42" s="13"/>
      <c r="D42" s="1">
        <f>SUM(OSRRefD22_6x_0)</f>
        <v>0</v>
      </c>
      <c r="E42" s="1"/>
      <c r="F42" s="5">
        <f t="shared" si="24"/>
        <v>0</v>
      </c>
      <c r="G42" s="1"/>
      <c r="H42" s="1">
        <f>SUM(OSRRefH22_6x_0)</f>
        <v>0</v>
      </c>
      <c r="I42" s="1"/>
      <c r="J42" s="5">
        <f t="shared" si="25"/>
        <v>0</v>
      </c>
      <c r="K42" s="1"/>
      <c r="L42" s="1">
        <f t="shared" si="26"/>
        <v>0</v>
      </c>
      <c r="M42" s="1"/>
      <c r="N42" s="5">
        <f t="shared" si="27"/>
        <v>0</v>
      </c>
      <c r="O42" s="13"/>
      <c r="P42" s="1">
        <f>SUM(OSRRefP22_6x_0)</f>
        <v>0</v>
      </c>
      <c r="Q42" s="1"/>
      <c r="R42" s="5">
        <f t="shared" si="28"/>
        <v>0</v>
      </c>
      <c r="S42" s="1"/>
      <c r="T42" s="1">
        <f>SUM(OSRRefT22_6x_0)</f>
        <v>82.5</v>
      </c>
      <c r="U42" s="1"/>
      <c r="V42" s="5">
        <f t="shared" si="29"/>
        <v>0</v>
      </c>
      <c r="W42" s="1"/>
      <c r="X42" s="1">
        <f t="shared" si="30"/>
        <v>-82.5</v>
      </c>
      <c r="Y42" s="1"/>
      <c r="Z42" s="5">
        <f t="shared" si="31"/>
        <v>-1</v>
      </c>
    </row>
    <row r="43" spans="1:26" s="24" customFormat="1" hidden="1" outlineLevel="2" x14ac:dyDescent="0.25">
      <c r="A43" s="25"/>
      <c r="B43" s="11" t="str">
        <f>CONCATENATE("          ", "6332", " - ", "CONSULTANT FEES")</f>
        <v xml:space="preserve">          6332 - CONSULTANT FEES</v>
      </c>
      <c r="C43" s="11"/>
      <c r="D43" s="6"/>
      <c r="E43" s="2"/>
      <c r="F43" s="7">
        <f t="shared" si="24"/>
        <v>0</v>
      </c>
      <c r="G43" s="2"/>
      <c r="H43" s="6"/>
      <c r="I43" s="2"/>
      <c r="J43" s="7">
        <f t="shared" si="25"/>
        <v>0</v>
      </c>
      <c r="K43" s="2"/>
      <c r="L43" s="6">
        <f t="shared" si="26"/>
        <v>0</v>
      </c>
      <c r="M43" s="2"/>
      <c r="N43" s="7">
        <f t="shared" si="27"/>
        <v>0</v>
      </c>
      <c r="O43" s="11"/>
      <c r="P43" s="6"/>
      <c r="Q43" s="2"/>
      <c r="R43" s="7">
        <f t="shared" si="28"/>
        <v>0</v>
      </c>
      <c r="S43" s="2"/>
      <c r="T43" s="6">
        <v>82.5</v>
      </c>
      <c r="U43" s="2"/>
      <c r="V43" s="7">
        <f t="shared" si="29"/>
        <v>0</v>
      </c>
      <c r="W43" s="2"/>
      <c r="X43" s="6">
        <f t="shared" si="30"/>
        <v>-82.5</v>
      </c>
      <c r="Y43" s="2"/>
      <c r="Z43" s="7">
        <f t="shared" si="31"/>
        <v>-1</v>
      </c>
    </row>
    <row r="44" spans="1:26" s="26" customFormat="1" outlineLevel="1" collapsed="1" x14ac:dyDescent="0.25">
      <c r="A44" s="27"/>
      <c r="B44" s="13" t="str">
        <f>CONCATENATE("     ","Repair and Maintenance                            ")</f>
        <v xml:space="preserve">     Repair and Maintenance                            </v>
      </c>
      <c r="C44" s="13"/>
      <c r="D44" s="1">
        <f>SUM(OSRRefD22_7x_0)</f>
        <v>66.67</v>
      </c>
      <c r="E44" s="1"/>
      <c r="F44" s="5">
        <f t="shared" si="24"/>
        <v>0</v>
      </c>
      <c r="G44" s="1"/>
      <c r="H44" s="1">
        <f>SUM(OSRRefH22_7x_0)</f>
        <v>16.97</v>
      </c>
      <c r="I44" s="1"/>
      <c r="J44" s="5">
        <f t="shared" si="25"/>
        <v>0</v>
      </c>
      <c r="K44" s="1"/>
      <c r="L44" s="1">
        <f t="shared" si="26"/>
        <v>49.7</v>
      </c>
      <c r="M44" s="1"/>
      <c r="N44" s="5">
        <f t="shared" si="27"/>
        <v>2.9286977018267533</v>
      </c>
      <c r="O44" s="13"/>
      <c r="P44" s="1">
        <f>SUM(OSRRefP22_7x_0)</f>
        <v>719.76</v>
      </c>
      <c r="Q44" s="1"/>
      <c r="R44" s="5">
        <f t="shared" si="28"/>
        <v>0</v>
      </c>
      <c r="S44" s="1"/>
      <c r="T44" s="1">
        <f>SUM(OSRRefT22_7x_0)</f>
        <v>571.48</v>
      </c>
      <c r="U44" s="1"/>
      <c r="V44" s="5">
        <f t="shared" si="29"/>
        <v>0</v>
      </c>
      <c r="W44" s="1"/>
      <c r="X44" s="1">
        <f t="shared" si="30"/>
        <v>148.27999999999997</v>
      </c>
      <c r="Y44" s="1"/>
      <c r="Z44" s="5">
        <f t="shared" si="31"/>
        <v>0.25946664800167979</v>
      </c>
    </row>
    <row r="45" spans="1:26" s="24" customFormat="1" hidden="1" outlineLevel="2" x14ac:dyDescent="0.25">
      <c r="A45" s="25"/>
      <c r="B45" s="11" t="str">
        <f>CONCATENATE("          ", "6371", " - ", "COMPUTER SOFTWARE MAINTENANCE")</f>
        <v xml:space="preserve">          6371 - COMPUTER SOFTWARE MAINTENANCE</v>
      </c>
      <c r="C45" s="11"/>
      <c r="D45" s="6">
        <v>59.95</v>
      </c>
      <c r="E45" s="2"/>
      <c r="F45" s="7">
        <f t="shared" si="24"/>
        <v>0</v>
      </c>
      <c r="G45" s="2"/>
      <c r="H45" s="6"/>
      <c r="I45" s="2"/>
      <c r="J45" s="7">
        <f t="shared" si="25"/>
        <v>0</v>
      </c>
      <c r="K45" s="2"/>
      <c r="L45" s="6">
        <f t="shared" si="26"/>
        <v>59.95</v>
      </c>
      <c r="M45" s="2"/>
      <c r="N45" s="7">
        <f t="shared" si="27"/>
        <v>0</v>
      </c>
      <c r="O45" s="11"/>
      <c r="P45" s="6">
        <v>671</v>
      </c>
      <c r="Q45" s="2"/>
      <c r="R45" s="7">
        <f t="shared" si="28"/>
        <v>0</v>
      </c>
      <c r="S45" s="2"/>
      <c r="T45" s="6"/>
      <c r="U45" s="2"/>
      <c r="V45" s="7">
        <f t="shared" si="29"/>
        <v>0</v>
      </c>
      <c r="W45" s="2"/>
      <c r="X45" s="6">
        <f t="shared" si="30"/>
        <v>671</v>
      </c>
      <c r="Y45" s="2"/>
      <c r="Z45" s="7">
        <f t="shared" si="31"/>
        <v>0</v>
      </c>
    </row>
    <row r="46" spans="1:26" s="24" customFormat="1" hidden="1" outlineLevel="2" x14ac:dyDescent="0.25">
      <c r="A46" s="25"/>
      <c r="B46" s="11" t="str">
        <f>CONCATENATE("          ", "6373", " - ", "MAINTENANCE CONTRACTS")</f>
        <v xml:space="preserve">          6373 - MAINTENANCE CONTRACTS</v>
      </c>
      <c r="C46" s="11"/>
      <c r="D46" s="6">
        <v>6.72</v>
      </c>
      <c r="E46" s="2"/>
      <c r="F46" s="7">
        <f t="shared" si="24"/>
        <v>0</v>
      </c>
      <c r="G46" s="2"/>
      <c r="H46" s="6">
        <v>16.97</v>
      </c>
      <c r="I46" s="2"/>
      <c r="J46" s="7">
        <f t="shared" si="25"/>
        <v>0</v>
      </c>
      <c r="K46" s="2"/>
      <c r="L46" s="6">
        <f t="shared" si="26"/>
        <v>-10.25</v>
      </c>
      <c r="M46" s="2"/>
      <c r="N46" s="7">
        <f t="shared" si="27"/>
        <v>-0.60400707130229825</v>
      </c>
      <c r="O46" s="11"/>
      <c r="P46" s="6">
        <v>48.76</v>
      </c>
      <c r="Q46" s="2"/>
      <c r="R46" s="7">
        <f t="shared" si="28"/>
        <v>0</v>
      </c>
      <c r="S46" s="2"/>
      <c r="T46" s="6">
        <v>106.9</v>
      </c>
      <c r="U46" s="2"/>
      <c r="V46" s="7">
        <f t="shared" si="29"/>
        <v>0</v>
      </c>
      <c r="W46" s="2"/>
      <c r="X46" s="6">
        <f t="shared" si="30"/>
        <v>-58.140000000000008</v>
      </c>
      <c r="Y46" s="2"/>
      <c r="Z46" s="7">
        <f t="shared" si="31"/>
        <v>-0.54387277829747427</v>
      </c>
    </row>
    <row r="47" spans="1:26" s="24" customFormat="1" hidden="1" outlineLevel="2" x14ac:dyDescent="0.25">
      <c r="A47" s="25"/>
      <c r="B47" s="11" t="str">
        <f>CONCATENATE("          ", "6375", " - ", "OUTSIDE REPAIRS &amp; MAINTENANCE")</f>
        <v xml:space="preserve">          6375 - OUTSIDE REPAIRS &amp; MAINTENANCE</v>
      </c>
      <c r="C47" s="11"/>
      <c r="D47" s="6"/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0</v>
      </c>
      <c r="M47" s="2"/>
      <c r="N47" s="7">
        <f t="shared" si="27"/>
        <v>0</v>
      </c>
      <c r="O47" s="11"/>
      <c r="P47" s="6"/>
      <c r="Q47" s="2"/>
      <c r="R47" s="7">
        <f t="shared" si="28"/>
        <v>0</v>
      </c>
      <c r="S47" s="2"/>
      <c r="T47" s="6">
        <v>464.58</v>
      </c>
      <c r="U47" s="2"/>
      <c r="V47" s="7">
        <f t="shared" si="29"/>
        <v>0</v>
      </c>
      <c r="W47" s="2"/>
      <c r="X47" s="6">
        <f t="shared" si="30"/>
        <v>-464.58</v>
      </c>
      <c r="Y47" s="2"/>
      <c r="Z47" s="7">
        <f t="shared" si="31"/>
        <v>-1</v>
      </c>
    </row>
    <row r="48" spans="1:26" s="26" customFormat="1" outlineLevel="1" collapsed="1" x14ac:dyDescent="0.25">
      <c r="A48" s="27"/>
      <c r="B48" s="13" t="str">
        <f>CONCATENATE("     ","Services                                          ")</f>
        <v xml:space="preserve">     Services                                          </v>
      </c>
      <c r="C48" s="13"/>
      <c r="D48" s="1">
        <f>SUM(OSRRefD22_8x_0)</f>
        <v>512.48</v>
      </c>
      <c r="E48" s="1"/>
      <c r="F48" s="5">
        <f t="shared" ref="F48:F55" si="32">IF(D$12=0,0,D48/D$12)</f>
        <v>0</v>
      </c>
      <c r="G48" s="1"/>
      <c r="H48" s="1">
        <f>SUM(OSRRefH22_8x_0)</f>
        <v>427.96</v>
      </c>
      <c r="I48" s="1"/>
      <c r="J48" s="5">
        <f t="shared" ref="J48:J55" si="33">IF(H$12=0,0,H48/H$12)</f>
        <v>0</v>
      </c>
      <c r="K48" s="1"/>
      <c r="L48" s="1">
        <f t="shared" ref="L48:L55" si="34">+D48-H48</f>
        <v>84.520000000000039</v>
      </c>
      <c r="M48" s="1"/>
      <c r="N48" s="5">
        <f t="shared" ref="N48:N55" si="35">IF(H48=0,0,L48/H48)</f>
        <v>0.19749509299934584</v>
      </c>
      <c r="O48" s="13"/>
      <c r="P48" s="1">
        <f>SUM(OSRRefP22_8x_0)</f>
        <v>2562.4</v>
      </c>
      <c r="Q48" s="1"/>
      <c r="R48" s="5">
        <f t="shared" ref="R48:R55" si="36">IF(P$12=0,0,P48/P$12)</f>
        <v>0</v>
      </c>
      <c r="S48" s="1"/>
      <c r="T48" s="1">
        <f>SUM(OSRRefT22_8x_0)</f>
        <v>7595.03</v>
      </c>
      <c r="U48" s="1"/>
      <c r="V48" s="5">
        <f t="shared" ref="V48:V55" si="37">IF(T$12=0,0,T48/T$12)</f>
        <v>0</v>
      </c>
      <c r="W48" s="1"/>
      <c r="X48" s="1">
        <f t="shared" ref="X48:X55" si="38">+P48-T48</f>
        <v>-5032.6299999999992</v>
      </c>
      <c r="Y48" s="1"/>
      <c r="Z48" s="5">
        <f t="shared" ref="Z48:Z55" si="39">IF(T48=0,0,X48/T48)</f>
        <v>-0.66262147746618505</v>
      </c>
    </row>
    <row r="49" spans="1:26" s="24" customFormat="1" hidden="1" outlineLevel="2" x14ac:dyDescent="0.25">
      <c r="A49" s="25"/>
      <c r="B49" s="11" t="str">
        <f>CONCATENATE("          ", "6281", " - ", "STORAGE FEE")</f>
        <v xml:space="preserve">          6281 - STORAGE FEE</v>
      </c>
      <c r="C49" s="11"/>
      <c r="D49" s="6">
        <v>512.48</v>
      </c>
      <c r="E49" s="2"/>
      <c r="F49" s="7">
        <f t="shared" si="32"/>
        <v>0</v>
      </c>
      <c r="G49" s="2"/>
      <c r="H49" s="6">
        <v>427.96</v>
      </c>
      <c r="I49" s="2"/>
      <c r="J49" s="7">
        <f t="shared" si="33"/>
        <v>0</v>
      </c>
      <c r="K49" s="2"/>
      <c r="L49" s="6">
        <f t="shared" si="34"/>
        <v>84.520000000000039</v>
      </c>
      <c r="M49" s="2"/>
      <c r="N49" s="7">
        <f t="shared" si="35"/>
        <v>0.19749509299934584</v>
      </c>
      <c r="O49" s="11"/>
      <c r="P49" s="6">
        <v>2562.4</v>
      </c>
      <c r="Q49" s="2"/>
      <c r="R49" s="7">
        <f t="shared" si="36"/>
        <v>0</v>
      </c>
      <c r="S49" s="2"/>
      <c r="T49" s="6">
        <v>7595.03</v>
      </c>
      <c r="U49" s="2"/>
      <c r="V49" s="7">
        <f t="shared" si="37"/>
        <v>0</v>
      </c>
      <c r="W49" s="2"/>
      <c r="X49" s="6">
        <f t="shared" si="38"/>
        <v>-5032.6299999999992</v>
      </c>
      <c r="Y49" s="2"/>
      <c r="Z49" s="7">
        <f t="shared" si="39"/>
        <v>-0.66262147746618505</v>
      </c>
    </row>
    <row r="50" spans="1:26" s="26" customFormat="1" outlineLevel="1" collapsed="1" x14ac:dyDescent="0.25">
      <c r="A50" s="27"/>
      <c r="B50" s="13" t="str">
        <f>CONCATENATE("     ","Subscriptions &amp; Dues                              ")</f>
        <v xml:space="preserve">     Subscriptions &amp; Dues                              </v>
      </c>
      <c r="C50" s="13"/>
      <c r="D50" s="1">
        <f>SUM(OSRRefD22_9x_0)</f>
        <v>0</v>
      </c>
      <c r="E50" s="1"/>
      <c r="F50" s="5">
        <f t="shared" si="32"/>
        <v>0</v>
      </c>
      <c r="G50" s="1"/>
      <c r="H50" s="1">
        <f>SUM(OSRRefH22_9x_0)</f>
        <v>0</v>
      </c>
      <c r="I50" s="1"/>
      <c r="J50" s="5">
        <f t="shared" si="33"/>
        <v>0</v>
      </c>
      <c r="K50" s="1"/>
      <c r="L50" s="1">
        <f t="shared" si="34"/>
        <v>0</v>
      </c>
      <c r="M50" s="1"/>
      <c r="N50" s="5">
        <f t="shared" si="35"/>
        <v>0</v>
      </c>
      <c r="O50" s="13"/>
      <c r="P50" s="1">
        <f>SUM(OSRRefP22_9x_0)</f>
        <v>0</v>
      </c>
      <c r="Q50" s="1"/>
      <c r="R50" s="5">
        <f t="shared" si="36"/>
        <v>0</v>
      </c>
      <c r="S50" s="1"/>
      <c r="T50" s="1">
        <f>SUM(OSRRefT22_9x_0)</f>
        <v>39</v>
      </c>
      <c r="U50" s="1"/>
      <c r="V50" s="5">
        <f t="shared" si="37"/>
        <v>0</v>
      </c>
      <c r="W50" s="1"/>
      <c r="X50" s="1">
        <f t="shared" si="38"/>
        <v>-39</v>
      </c>
      <c r="Y50" s="1"/>
      <c r="Z50" s="5">
        <f t="shared" si="39"/>
        <v>-1</v>
      </c>
    </row>
    <row r="51" spans="1:26" s="24" customFormat="1" hidden="1" outlineLevel="2" x14ac:dyDescent="0.25">
      <c r="A51" s="25"/>
      <c r="B51" s="11" t="str">
        <f>CONCATENATE("          ", "6258", " - ", "MEMBERSHIP DUES")</f>
        <v xml:space="preserve">          6258 - MEMBERSHIP DUES</v>
      </c>
      <c r="C51" s="11"/>
      <c r="D51" s="6"/>
      <c r="E51" s="2"/>
      <c r="F51" s="7">
        <f t="shared" si="32"/>
        <v>0</v>
      </c>
      <c r="G51" s="2"/>
      <c r="H51" s="6"/>
      <c r="I51" s="2"/>
      <c r="J51" s="7">
        <f t="shared" si="33"/>
        <v>0</v>
      </c>
      <c r="K51" s="2"/>
      <c r="L51" s="6">
        <f t="shared" si="34"/>
        <v>0</v>
      </c>
      <c r="M51" s="2"/>
      <c r="N51" s="7">
        <f t="shared" si="35"/>
        <v>0</v>
      </c>
      <c r="O51" s="11"/>
      <c r="P51" s="6"/>
      <c r="Q51" s="2"/>
      <c r="R51" s="7">
        <f t="shared" si="36"/>
        <v>0</v>
      </c>
      <c r="S51" s="2"/>
      <c r="T51" s="6">
        <v>39</v>
      </c>
      <c r="U51" s="2"/>
      <c r="V51" s="7">
        <f t="shared" si="37"/>
        <v>0</v>
      </c>
      <c r="W51" s="2"/>
      <c r="X51" s="6">
        <f t="shared" si="38"/>
        <v>-39</v>
      </c>
      <c r="Y51" s="2"/>
      <c r="Z51" s="7">
        <f t="shared" si="39"/>
        <v>-1</v>
      </c>
    </row>
    <row r="52" spans="1:26" s="26" customFormat="1" outlineLevel="1" collapsed="1" x14ac:dyDescent="0.25">
      <c r="A52" s="27"/>
      <c r="B52" s="13" t="str">
        <f>CONCATENATE("     ","Supplies                                          ")</f>
        <v xml:space="preserve">     Supplies                                          </v>
      </c>
      <c r="C52" s="13"/>
      <c r="D52" s="1">
        <f>SUM(OSRRefD22_10x_0)</f>
        <v>0</v>
      </c>
      <c r="E52" s="1"/>
      <c r="F52" s="5">
        <f t="shared" si="32"/>
        <v>0</v>
      </c>
      <c r="G52" s="1"/>
      <c r="H52" s="1">
        <f>SUM(OSRRefH22_10x_0)</f>
        <v>277.06</v>
      </c>
      <c r="I52" s="1"/>
      <c r="J52" s="5">
        <f t="shared" si="33"/>
        <v>0</v>
      </c>
      <c r="K52" s="1"/>
      <c r="L52" s="1">
        <f t="shared" si="34"/>
        <v>-277.06</v>
      </c>
      <c r="M52" s="1"/>
      <c r="N52" s="5">
        <f t="shared" si="35"/>
        <v>-1</v>
      </c>
      <c r="O52" s="13"/>
      <c r="P52" s="1">
        <f>SUM(OSRRefP22_10x_0)</f>
        <v>714.04</v>
      </c>
      <c r="Q52" s="1"/>
      <c r="R52" s="5">
        <f t="shared" si="36"/>
        <v>0</v>
      </c>
      <c r="S52" s="1"/>
      <c r="T52" s="1">
        <f>SUM(OSRRefT22_10x_0)</f>
        <v>2884.95</v>
      </c>
      <c r="U52" s="1"/>
      <c r="V52" s="5">
        <f t="shared" si="37"/>
        <v>0</v>
      </c>
      <c r="W52" s="1"/>
      <c r="X52" s="1">
        <f t="shared" si="38"/>
        <v>-2170.91</v>
      </c>
      <c r="Y52" s="1"/>
      <c r="Z52" s="5">
        <f t="shared" si="39"/>
        <v>-0.75249484393143729</v>
      </c>
    </row>
    <row r="53" spans="1:26" s="24" customFormat="1" hidden="1" outlineLevel="2" x14ac:dyDescent="0.25">
      <c r="A53" s="25"/>
      <c r="B53" s="11" t="str">
        <f>CONCATENATE("          ", "6235", " - ", "COVID-19 EXPENSES")</f>
        <v xml:space="preserve">          6235 - COVID-19 EXPENSES</v>
      </c>
      <c r="C53" s="11"/>
      <c r="D53" s="6"/>
      <c r="E53" s="2"/>
      <c r="F53" s="7">
        <f t="shared" si="32"/>
        <v>0</v>
      </c>
      <c r="G53" s="2"/>
      <c r="H53" s="6"/>
      <c r="I53" s="2"/>
      <c r="J53" s="7">
        <f t="shared" si="33"/>
        <v>0</v>
      </c>
      <c r="K53" s="2"/>
      <c r="L53" s="6">
        <f t="shared" si="34"/>
        <v>0</v>
      </c>
      <c r="M53" s="2"/>
      <c r="N53" s="7">
        <f t="shared" si="35"/>
        <v>0</v>
      </c>
      <c r="O53" s="11"/>
      <c r="P53" s="6">
        <v>426.66</v>
      </c>
      <c r="Q53" s="2"/>
      <c r="R53" s="7">
        <f t="shared" si="36"/>
        <v>0</v>
      </c>
      <c r="S53" s="2"/>
      <c r="T53" s="6"/>
      <c r="U53" s="2"/>
      <c r="V53" s="7">
        <f t="shared" si="37"/>
        <v>0</v>
      </c>
      <c r="W53" s="2"/>
      <c r="X53" s="6">
        <f t="shared" si="38"/>
        <v>426.66</v>
      </c>
      <c r="Y53" s="2"/>
      <c r="Z53" s="7">
        <f t="shared" si="39"/>
        <v>0</v>
      </c>
    </row>
    <row r="54" spans="1:26" s="24" customFormat="1" hidden="1" outlineLevel="2" x14ac:dyDescent="0.25">
      <c r="A54" s="25"/>
      <c r="B54" s="11" t="str">
        <f>CONCATENATE("          ", "6241", " - ", "OFFICE EXPENSE")</f>
        <v xml:space="preserve">          6241 - OFFICE EXPENSE</v>
      </c>
      <c r="C54" s="11"/>
      <c r="D54" s="6"/>
      <c r="E54" s="2"/>
      <c r="F54" s="7">
        <f t="shared" si="32"/>
        <v>0</v>
      </c>
      <c r="G54" s="2"/>
      <c r="H54" s="6">
        <v>277.06</v>
      </c>
      <c r="I54" s="2"/>
      <c r="J54" s="7">
        <f t="shared" si="33"/>
        <v>0</v>
      </c>
      <c r="K54" s="2"/>
      <c r="L54" s="6">
        <f t="shared" si="34"/>
        <v>-277.06</v>
      </c>
      <c r="M54" s="2"/>
      <c r="N54" s="7">
        <f t="shared" si="35"/>
        <v>-1</v>
      </c>
      <c r="O54" s="11"/>
      <c r="P54" s="6">
        <v>287.38</v>
      </c>
      <c r="Q54" s="2"/>
      <c r="R54" s="7">
        <f t="shared" si="36"/>
        <v>0</v>
      </c>
      <c r="S54" s="2"/>
      <c r="T54" s="6">
        <v>2222.04</v>
      </c>
      <c r="U54" s="2"/>
      <c r="V54" s="7">
        <f t="shared" si="37"/>
        <v>0</v>
      </c>
      <c r="W54" s="2"/>
      <c r="X54" s="6">
        <f t="shared" si="38"/>
        <v>-1934.6599999999999</v>
      </c>
      <c r="Y54" s="2"/>
      <c r="Z54" s="7">
        <f t="shared" si="39"/>
        <v>-0.87066839480837421</v>
      </c>
    </row>
    <row r="55" spans="1:26" s="24" customFormat="1" hidden="1" outlineLevel="2" x14ac:dyDescent="0.25">
      <c r="A55" s="25"/>
      <c r="B55" s="11" t="str">
        <f>CONCATENATE("          ", "6245", " - ", "PRINTING")</f>
        <v xml:space="preserve">          6245 - PRINTING</v>
      </c>
      <c r="C55" s="11"/>
      <c r="D55" s="6"/>
      <c r="E55" s="2"/>
      <c r="F55" s="7">
        <f t="shared" si="32"/>
        <v>0</v>
      </c>
      <c r="G55" s="2"/>
      <c r="H55" s="6"/>
      <c r="I55" s="2"/>
      <c r="J55" s="7">
        <f t="shared" si="33"/>
        <v>0</v>
      </c>
      <c r="K55" s="2"/>
      <c r="L55" s="6">
        <f t="shared" si="34"/>
        <v>0</v>
      </c>
      <c r="M55" s="2"/>
      <c r="N55" s="7">
        <f t="shared" si="35"/>
        <v>0</v>
      </c>
      <c r="O55" s="11"/>
      <c r="P55" s="6"/>
      <c r="Q55" s="2"/>
      <c r="R55" s="7">
        <f t="shared" si="36"/>
        <v>0</v>
      </c>
      <c r="S55" s="2"/>
      <c r="T55" s="6">
        <v>662.91</v>
      </c>
      <c r="U55" s="2"/>
      <c r="V55" s="7">
        <f t="shared" si="37"/>
        <v>0</v>
      </c>
      <c r="W55" s="2"/>
      <c r="X55" s="6">
        <f t="shared" si="38"/>
        <v>-662.91</v>
      </c>
      <c r="Y55" s="2"/>
      <c r="Z55" s="7">
        <f t="shared" si="39"/>
        <v>-1</v>
      </c>
    </row>
    <row r="56" spans="1:26" s="26" customFormat="1" outlineLevel="1" collapsed="1" x14ac:dyDescent="0.25">
      <c r="A56" s="27"/>
      <c r="B56" s="13" t="str">
        <f>CONCATENATE("     ","Telephone/Data Lines                              ")</f>
        <v xml:space="preserve">     Telephone/Data Lines                              </v>
      </c>
      <c r="C56" s="13"/>
      <c r="D56" s="1">
        <f>SUM(OSRRefD22_11x_0)</f>
        <v>413.65</v>
      </c>
      <c r="E56" s="1"/>
      <c r="F56" s="5">
        <f t="shared" ref="F56:F61" si="40">IF(D$12=0,0,D56/D$12)</f>
        <v>0</v>
      </c>
      <c r="G56" s="1"/>
      <c r="H56" s="1">
        <f>SUM(OSRRefH22_11x_0)</f>
        <v>435.38</v>
      </c>
      <c r="I56" s="1"/>
      <c r="J56" s="5">
        <f t="shared" ref="J56:J61" si="41">IF(H$12=0,0,H56/H$12)</f>
        <v>0</v>
      </c>
      <c r="K56" s="1"/>
      <c r="L56" s="1">
        <f t="shared" ref="L56:L61" si="42">+D56-H56</f>
        <v>-21.730000000000018</v>
      </c>
      <c r="M56" s="1"/>
      <c r="N56" s="5">
        <f t="shared" ref="N56:N61" si="43">IF(H56=0,0,L56/H56)</f>
        <v>-4.9910423078689925E-2</v>
      </c>
      <c r="O56" s="13"/>
      <c r="P56" s="1">
        <f>SUM(OSRRefP22_11x_0)</f>
        <v>2105.9</v>
      </c>
      <c r="Q56" s="1"/>
      <c r="R56" s="5">
        <f t="shared" ref="R56:R61" si="44">IF(P$12=0,0,P56/P$12)</f>
        <v>0</v>
      </c>
      <c r="S56" s="1"/>
      <c r="T56" s="1">
        <f>SUM(OSRRefT22_11x_0)</f>
        <v>1995.61</v>
      </c>
      <c r="U56" s="1"/>
      <c r="V56" s="5">
        <f t="shared" ref="V56:V61" si="45">IF(T$12=0,0,T56/T$12)</f>
        <v>0</v>
      </c>
      <c r="W56" s="1"/>
      <c r="X56" s="1">
        <f t="shared" ref="X56:X61" si="46">+P56-T56</f>
        <v>110.29000000000019</v>
      </c>
      <c r="Y56" s="1"/>
      <c r="Z56" s="5">
        <f t="shared" ref="Z56:Z61" si="47">IF(T56=0,0,X56/T56)</f>
        <v>5.5266309549461164E-2</v>
      </c>
    </row>
    <row r="57" spans="1:26" s="24" customFormat="1" hidden="1" outlineLevel="2" x14ac:dyDescent="0.25">
      <c r="A57" s="25"/>
      <c r="B57" s="11" t="str">
        <f>CONCATENATE("          ", "6309", " - ", "TELEPHONE")</f>
        <v xml:space="preserve">          6309 - TELEPHONE</v>
      </c>
      <c r="C57" s="11"/>
      <c r="D57" s="6">
        <v>413.65</v>
      </c>
      <c r="E57" s="2"/>
      <c r="F57" s="7">
        <f t="shared" si="40"/>
        <v>0</v>
      </c>
      <c r="G57" s="2"/>
      <c r="H57" s="6">
        <v>435.38</v>
      </c>
      <c r="I57" s="2"/>
      <c r="J57" s="7">
        <f t="shared" si="41"/>
        <v>0</v>
      </c>
      <c r="K57" s="2"/>
      <c r="L57" s="6">
        <f t="shared" si="42"/>
        <v>-21.730000000000018</v>
      </c>
      <c r="M57" s="2"/>
      <c r="N57" s="7">
        <f t="shared" si="43"/>
        <v>-4.9910423078689925E-2</v>
      </c>
      <c r="O57" s="11"/>
      <c r="P57" s="6">
        <v>2105.9</v>
      </c>
      <c r="Q57" s="2"/>
      <c r="R57" s="7">
        <f t="shared" si="44"/>
        <v>0</v>
      </c>
      <c r="S57" s="2"/>
      <c r="T57" s="6">
        <v>1995.61</v>
      </c>
      <c r="U57" s="2"/>
      <c r="V57" s="7">
        <f t="shared" si="45"/>
        <v>0</v>
      </c>
      <c r="W57" s="2"/>
      <c r="X57" s="6">
        <f t="shared" si="46"/>
        <v>110.29000000000019</v>
      </c>
      <c r="Y57" s="2"/>
      <c r="Z57" s="7">
        <f t="shared" si="47"/>
        <v>5.5266309549461164E-2</v>
      </c>
    </row>
    <row r="58" spans="1:26" s="26" customFormat="1" outlineLevel="1" collapsed="1" x14ac:dyDescent="0.25">
      <c r="A58" s="27"/>
      <c r="B58" s="13" t="str">
        <f>CONCATENATE("     ","Training                                          ")</f>
        <v xml:space="preserve">     Training                                          </v>
      </c>
      <c r="C58" s="13"/>
      <c r="D58" s="1">
        <f>SUM(OSRRefD22_12x_0)</f>
        <v>0</v>
      </c>
      <c r="E58" s="1"/>
      <c r="F58" s="5">
        <f t="shared" si="40"/>
        <v>0</v>
      </c>
      <c r="G58" s="1"/>
      <c r="H58" s="1">
        <f>SUM(OSRRefH22_12x_0)</f>
        <v>7</v>
      </c>
      <c r="I58" s="1"/>
      <c r="J58" s="5">
        <f t="shared" si="41"/>
        <v>0</v>
      </c>
      <c r="K58" s="1"/>
      <c r="L58" s="1">
        <f t="shared" si="42"/>
        <v>-7</v>
      </c>
      <c r="M58" s="1"/>
      <c r="N58" s="5">
        <f t="shared" si="43"/>
        <v>-1</v>
      </c>
      <c r="O58" s="13"/>
      <c r="P58" s="1">
        <f>SUM(OSRRefP22_12x_0)</f>
        <v>398</v>
      </c>
      <c r="Q58" s="1"/>
      <c r="R58" s="5">
        <f t="shared" si="44"/>
        <v>0</v>
      </c>
      <c r="S58" s="1"/>
      <c r="T58" s="1">
        <f>SUM(OSRRefT22_12x_0)</f>
        <v>27.53</v>
      </c>
      <c r="U58" s="1"/>
      <c r="V58" s="5">
        <f t="shared" si="45"/>
        <v>0</v>
      </c>
      <c r="W58" s="1"/>
      <c r="X58" s="1">
        <f t="shared" si="46"/>
        <v>370.47</v>
      </c>
      <c r="Y58" s="1"/>
      <c r="Z58" s="5">
        <f t="shared" si="47"/>
        <v>13.456956047947694</v>
      </c>
    </row>
    <row r="59" spans="1:26" s="24" customFormat="1" hidden="1" outlineLevel="2" x14ac:dyDescent="0.25">
      <c r="A59" s="25"/>
      <c r="B59" s="11" t="str">
        <f>CONCATENATE("          ", "6376", " - ", "TRAINING")</f>
        <v xml:space="preserve">          6376 - TRAINING</v>
      </c>
      <c r="C59" s="11"/>
      <c r="D59" s="6"/>
      <c r="E59" s="2"/>
      <c r="F59" s="7">
        <f t="shared" si="40"/>
        <v>0</v>
      </c>
      <c r="G59" s="2"/>
      <c r="H59" s="6">
        <v>7</v>
      </c>
      <c r="I59" s="2"/>
      <c r="J59" s="7">
        <f t="shared" si="41"/>
        <v>0</v>
      </c>
      <c r="K59" s="2"/>
      <c r="L59" s="6">
        <f t="shared" si="42"/>
        <v>-7</v>
      </c>
      <c r="M59" s="2"/>
      <c r="N59" s="7">
        <f t="shared" si="43"/>
        <v>-1</v>
      </c>
      <c r="O59" s="11"/>
      <c r="P59" s="6">
        <v>398</v>
      </c>
      <c r="Q59" s="2"/>
      <c r="R59" s="7">
        <f t="shared" si="44"/>
        <v>0</v>
      </c>
      <c r="S59" s="2"/>
      <c r="T59" s="6">
        <v>27.53</v>
      </c>
      <c r="U59" s="2"/>
      <c r="V59" s="7">
        <f t="shared" si="45"/>
        <v>0</v>
      </c>
      <c r="W59" s="2"/>
      <c r="X59" s="6">
        <f t="shared" si="46"/>
        <v>370.47</v>
      </c>
      <c r="Y59" s="2"/>
      <c r="Z59" s="7">
        <f t="shared" si="47"/>
        <v>13.456956047947694</v>
      </c>
    </row>
    <row r="60" spans="1:26" s="26" customFormat="1" outlineLevel="1" collapsed="1" x14ac:dyDescent="0.25">
      <c r="A60" s="27"/>
      <c r="B60" s="13" t="str">
        <f>CONCATENATE("     ","Travel                                            ")</f>
        <v xml:space="preserve">     Travel                                            </v>
      </c>
      <c r="C60" s="13"/>
      <c r="D60" s="1">
        <f>SUM(OSRRefD22_13x_0)</f>
        <v>0</v>
      </c>
      <c r="E60" s="1"/>
      <c r="F60" s="5">
        <f t="shared" si="40"/>
        <v>0</v>
      </c>
      <c r="G60" s="1"/>
      <c r="H60" s="1">
        <f>SUM(OSRRefH22_13x_0)</f>
        <v>0</v>
      </c>
      <c r="I60" s="1"/>
      <c r="J60" s="5">
        <f t="shared" si="41"/>
        <v>0</v>
      </c>
      <c r="K60" s="1"/>
      <c r="L60" s="1">
        <f t="shared" si="42"/>
        <v>0</v>
      </c>
      <c r="M60" s="1"/>
      <c r="N60" s="5">
        <f t="shared" si="43"/>
        <v>0</v>
      </c>
      <c r="O60" s="13"/>
      <c r="P60" s="1">
        <f>SUM(OSRRefP22_13x_0)</f>
        <v>46.62</v>
      </c>
      <c r="Q60" s="1"/>
      <c r="R60" s="5">
        <f t="shared" si="44"/>
        <v>0</v>
      </c>
      <c r="S60" s="1"/>
      <c r="T60" s="1">
        <f>SUM(OSRRefT22_13x_0)</f>
        <v>0</v>
      </c>
      <c r="U60" s="1"/>
      <c r="V60" s="5">
        <f t="shared" si="45"/>
        <v>0</v>
      </c>
      <c r="W60" s="1"/>
      <c r="X60" s="1">
        <f t="shared" si="46"/>
        <v>46.62</v>
      </c>
      <c r="Y60" s="1"/>
      <c r="Z60" s="5">
        <f t="shared" si="47"/>
        <v>0</v>
      </c>
    </row>
    <row r="61" spans="1:26" s="24" customFormat="1" hidden="1" outlineLevel="2" x14ac:dyDescent="0.25">
      <c r="A61" s="25"/>
      <c r="B61" s="11" t="str">
        <f>CONCATENATE("          ", "6294", " - ", "TRAVEL OPERATIONAL")</f>
        <v xml:space="preserve">          6294 - TRAVEL OPERATIONAL</v>
      </c>
      <c r="C61" s="11"/>
      <c r="D61" s="6"/>
      <c r="E61" s="2"/>
      <c r="F61" s="7">
        <f t="shared" si="40"/>
        <v>0</v>
      </c>
      <c r="G61" s="2"/>
      <c r="H61" s="6"/>
      <c r="I61" s="2"/>
      <c r="J61" s="7">
        <f t="shared" si="41"/>
        <v>0</v>
      </c>
      <c r="K61" s="2"/>
      <c r="L61" s="6">
        <f t="shared" si="42"/>
        <v>0</v>
      </c>
      <c r="M61" s="2"/>
      <c r="N61" s="7">
        <f t="shared" si="43"/>
        <v>0</v>
      </c>
      <c r="O61" s="11"/>
      <c r="P61" s="6">
        <v>46.62</v>
      </c>
      <c r="Q61" s="2"/>
      <c r="R61" s="7">
        <f t="shared" si="44"/>
        <v>0</v>
      </c>
      <c r="S61" s="2"/>
      <c r="T61" s="6"/>
      <c r="U61" s="2"/>
      <c r="V61" s="7">
        <f t="shared" si="45"/>
        <v>0</v>
      </c>
      <c r="W61" s="2"/>
      <c r="X61" s="6">
        <f t="shared" si="46"/>
        <v>46.62</v>
      </c>
      <c r="Y61" s="2"/>
      <c r="Z61" s="7">
        <f t="shared" si="47"/>
        <v>0</v>
      </c>
    </row>
    <row r="62" spans="1:26" s="53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9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8" t="s">
        <v>3</v>
      </c>
      <c r="C65" s="28"/>
      <c r="D65" s="20">
        <f>+D16-D18+D63</f>
        <v>-34438.06</v>
      </c>
      <c r="E65" s="14"/>
      <c r="F65" s="22">
        <f>IF(D$12=0,0,D65/D$12)</f>
        <v>0</v>
      </c>
      <c r="G65" s="14"/>
      <c r="H65" s="20">
        <f>+H16-H18+H63</f>
        <v>-44835.369999999988</v>
      </c>
      <c r="I65" s="14"/>
      <c r="J65" s="22">
        <f>IF(H$12=0,0,H65/H$12)</f>
        <v>0</v>
      </c>
      <c r="K65" s="15"/>
      <c r="L65" s="20">
        <f>+D65-H65</f>
        <v>10397.30999999999</v>
      </c>
      <c r="M65" s="15"/>
      <c r="N65" s="22">
        <f>IF(H65=0,0,L65/H65)</f>
        <v>-0.23189972559610847</v>
      </c>
      <c r="O65" s="29"/>
      <c r="P65" s="20">
        <f>+P16-P18+P63</f>
        <v>-190594.6</v>
      </c>
      <c r="Q65" s="14"/>
      <c r="R65" s="22">
        <f>IF(P$12=0,0,P65/P$12)</f>
        <v>0</v>
      </c>
      <c r="S65" s="14"/>
      <c r="T65" s="20">
        <f>+T16-T18+T63</f>
        <v>-259130.04999999996</v>
      </c>
      <c r="U65" s="14"/>
      <c r="V65" s="22">
        <f>IF(T$12=0,0,T65/T$12)</f>
        <v>0</v>
      </c>
      <c r="W65" s="15"/>
      <c r="X65" s="20">
        <f>+P65-T65</f>
        <v>68535.449999999953</v>
      </c>
      <c r="Y65" s="15"/>
      <c r="Z65" s="22">
        <f>IF(T65=0,0,X65/T65)</f>
        <v>-0.26448283400555034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1"/>
      <c r="B67" s="10" t="s">
        <v>13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8" t="s">
        <v>4</v>
      </c>
      <c r="C69" s="28"/>
      <c r="D69" s="31">
        <f>+D65-D67</f>
        <v>-34438.06</v>
      </c>
      <c r="E69" s="14"/>
      <c r="F69" s="34">
        <f>IF(D$12=0,0,D69/D$12)</f>
        <v>0</v>
      </c>
      <c r="G69" s="14"/>
      <c r="H69" s="31">
        <f>+H65-H67</f>
        <v>-44835.369999999988</v>
      </c>
      <c r="I69" s="14"/>
      <c r="J69" s="34">
        <f>IF(H$12=0,0,H69/H$12)</f>
        <v>0</v>
      </c>
      <c r="K69" s="15"/>
      <c r="L69" s="31">
        <f>D69-H69</f>
        <v>10397.30999999999</v>
      </c>
      <c r="M69" s="15"/>
      <c r="N69" s="34">
        <f>IF(H69=0,0,L69/H69)</f>
        <v>-0.23189972559610847</v>
      </c>
      <c r="O69" s="29"/>
      <c r="P69" s="31">
        <f>+P65-P67</f>
        <v>-190594.6</v>
      </c>
      <c r="Q69" s="14"/>
      <c r="R69" s="34">
        <f>IF(P$12=0,0,P69/P$12)</f>
        <v>0</v>
      </c>
      <c r="S69" s="14"/>
      <c r="T69" s="31">
        <f>+T65-T67</f>
        <v>-259130.04999999996</v>
      </c>
      <c r="U69" s="14"/>
      <c r="V69" s="34">
        <f>IF(T$12=0,0,T69/T$12)</f>
        <v>0</v>
      </c>
      <c r="W69" s="15"/>
      <c r="X69" s="31">
        <f>P69-T69</f>
        <v>68535.449999999953</v>
      </c>
      <c r="Y69" s="15"/>
      <c r="Z69" s="34">
        <f>IF(T69=0,0,X69/T69)</f>
        <v>-0.26448283400555034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8" t="s">
        <v>5</v>
      </c>
      <c r="C72" s="28"/>
      <c r="D72" s="32">
        <f>SUM(D69:D71)</f>
        <v>-34438.06</v>
      </c>
      <c r="E72" s="14"/>
      <c r="F72" s="30">
        <f>IF(D$12=0,0,D72/D$12)</f>
        <v>0</v>
      </c>
      <c r="G72" s="14"/>
      <c r="H72" s="32">
        <f>SUM(H69:H71)</f>
        <v>-44835.369999999988</v>
      </c>
      <c r="I72" s="14"/>
      <c r="J72" s="30">
        <f>IF(H$12=0,0,H72/H$12)</f>
        <v>0</v>
      </c>
      <c r="K72" s="15"/>
      <c r="L72" s="32">
        <f>+D72-H72</f>
        <v>10397.30999999999</v>
      </c>
      <c r="M72" s="15"/>
      <c r="N72" s="30">
        <f>IF(H72=0,0,L72/H72)</f>
        <v>-0.23189972559610847</v>
      </c>
      <c r="O72" s="29"/>
      <c r="P72" s="32">
        <f>SUM(P69:P71)</f>
        <v>-190594.6</v>
      </c>
      <c r="Q72" s="14"/>
      <c r="R72" s="30">
        <f>IF(P$12=0,0,P72/P$12)</f>
        <v>0</v>
      </c>
      <c r="S72" s="14"/>
      <c r="T72" s="32">
        <f>SUM(T69:T71)</f>
        <v>-259130.04999999996</v>
      </c>
      <c r="U72" s="14"/>
      <c r="V72" s="30">
        <f>IF(T$12=0,0,T72/T$12)</f>
        <v>0</v>
      </c>
      <c r="W72" s="15"/>
      <c r="X72" s="32">
        <f>+P72-T72</f>
        <v>68535.449999999953</v>
      </c>
      <c r="Y72" s="15"/>
      <c r="Z72" s="30">
        <f>IF(T72=0,0,X72/T72)</f>
        <v>-0.26448283400555034</v>
      </c>
    </row>
    <row r="73" spans="1:26" ht="15.75" thickTop="1" x14ac:dyDescent="0.25">
      <c r="A73" s="9"/>
      <c r="C73" s="9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4">
        <v>44174.685367442129</v>
      </c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A75" s="9"/>
      <c r="B75" s="56" t="s">
        <v>313</v>
      </c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61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","203", " - ", "Human Resources")</f>
        <v>Department 203 - Human Resources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41689.03</v>
      </c>
      <c r="E18" s="21"/>
      <c r="F18" s="35">
        <f t="shared" ref="F18:F29" si="0">IF(D$12=0,0,D18/D$12)</f>
        <v>0</v>
      </c>
      <c r="G18" s="21"/>
      <c r="H18" s="21">
        <f>SUM(OSRRefH22x_0)</f>
        <v>50493.69000000001</v>
      </c>
      <c r="I18" s="21"/>
      <c r="J18" s="35">
        <f t="shared" ref="J18:J29" si="1">IF(H$12=0,0,H18/H$12)</f>
        <v>0</v>
      </c>
      <c r="K18" s="4"/>
      <c r="L18" s="21">
        <f t="shared" ref="L18:L29" si="2">+D18-H18</f>
        <v>-8804.6600000000108</v>
      </c>
      <c r="M18" s="4"/>
      <c r="N18" s="35">
        <f t="shared" ref="N18:N29" si="3">IF(H18=0,0,L18/H18)</f>
        <v>-0.17437149077439199</v>
      </c>
      <c r="O18" s="10"/>
      <c r="P18" s="21">
        <f>SUM(OSRRefP22x_0)</f>
        <v>230388.40999999992</v>
      </c>
      <c r="Q18" s="21"/>
      <c r="R18" s="35">
        <f t="shared" ref="R18:R29" si="4">IF(P$12=0,0,P18/P$12)</f>
        <v>0</v>
      </c>
      <c r="S18" s="21"/>
      <c r="T18" s="21">
        <f>SUM(OSRRefT22x_0)</f>
        <v>340081.28</v>
      </c>
      <c r="U18" s="21"/>
      <c r="V18" s="35">
        <f t="shared" ref="V18:V29" si="5">IF(T$12=0,0,T18/T$12)</f>
        <v>0</v>
      </c>
      <c r="W18" s="4"/>
      <c r="X18" s="21">
        <f t="shared" ref="X18:X29" si="6">+P18-T18</f>
        <v>-109692.87000000011</v>
      </c>
      <c r="Y18" s="4"/>
      <c r="Z18" s="35">
        <f t="shared" ref="Z18:Z29" si="7">IF(T18=0,0,X18/T18)</f>
        <v>-0.32254898005559174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12995.090000000002</v>
      </c>
      <c r="E19" s="1"/>
      <c r="F19" s="5">
        <f t="shared" si="0"/>
        <v>0</v>
      </c>
      <c r="G19" s="1"/>
      <c r="H19" s="1">
        <f>SUM(OSRRefH22_0x_0)</f>
        <v>12336.43</v>
      </c>
      <c r="I19" s="1"/>
      <c r="J19" s="5">
        <f t="shared" si="1"/>
        <v>0</v>
      </c>
      <c r="K19" s="1"/>
      <c r="L19" s="1">
        <f t="shared" si="2"/>
        <v>658.66000000000167</v>
      </c>
      <c r="M19" s="1"/>
      <c r="N19" s="5">
        <f t="shared" si="3"/>
        <v>5.3391459279548595E-2</v>
      </c>
      <c r="O19" s="13"/>
      <c r="P19" s="1">
        <f>SUM(OSRRefP22_0x_0)</f>
        <v>64996.34</v>
      </c>
      <c r="Q19" s="1"/>
      <c r="R19" s="5">
        <f t="shared" si="4"/>
        <v>0</v>
      </c>
      <c r="S19" s="1"/>
      <c r="T19" s="1">
        <f>SUM(OSRRefT22_0x_0)</f>
        <v>69716.710000000006</v>
      </c>
      <c r="U19" s="1"/>
      <c r="V19" s="5">
        <f t="shared" si="5"/>
        <v>0</v>
      </c>
      <c r="W19" s="1"/>
      <c r="X19" s="1">
        <f t="shared" si="6"/>
        <v>-4720.3700000000099</v>
      </c>
      <c r="Y19" s="1"/>
      <c r="Z19" s="5">
        <f t="shared" si="7"/>
        <v>-6.7707870896374908E-2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1880.99</v>
      </c>
      <c r="E20" s="2"/>
      <c r="F20" s="7">
        <f t="shared" si="0"/>
        <v>0</v>
      </c>
      <c r="G20" s="2"/>
      <c r="H20" s="6">
        <v>1665.77</v>
      </c>
      <c r="I20" s="2"/>
      <c r="J20" s="7">
        <f t="shared" si="1"/>
        <v>0</v>
      </c>
      <c r="K20" s="2"/>
      <c r="L20" s="6">
        <f t="shared" si="2"/>
        <v>215.22000000000003</v>
      </c>
      <c r="M20" s="2"/>
      <c r="N20" s="7">
        <f t="shared" si="3"/>
        <v>0.129201510412602</v>
      </c>
      <c r="O20" s="11"/>
      <c r="P20" s="6">
        <v>11677.25</v>
      </c>
      <c r="Q20" s="2"/>
      <c r="R20" s="7">
        <f t="shared" si="4"/>
        <v>0</v>
      </c>
      <c r="S20" s="2"/>
      <c r="T20" s="6">
        <v>10783.9</v>
      </c>
      <c r="U20" s="2"/>
      <c r="V20" s="7">
        <f t="shared" si="5"/>
        <v>0</v>
      </c>
      <c r="W20" s="2"/>
      <c r="X20" s="6">
        <f t="shared" si="6"/>
        <v>893.35000000000036</v>
      </c>
      <c r="Y20" s="2"/>
      <c r="Z20" s="7">
        <f t="shared" si="7"/>
        <v>8.2841087176253519E-2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160.16999999999999</v>
      </c>
      <c r="E21" s="2"/>
      <c r="F21" s="7">
        <f t="shared" si="0"/>
        <v>0</v>
      </c>
      <c r="G21" s="2"/>
      <c r="H21" s="6">
        <v>76.23</v>
      </c>
      <c r="I21" s="2"/>
      <c r="J21" s="7">
        <f t="shared" si="1"/>
        <v>0</v>
      </c>
      <c r="K21" s="2"/>
      <c r="L21" s="6">
        <f t="shared" si="2"/>
        <v>83.939999999999984</v>
      </c>
      <c r="M21" s="2"/>
      <c r="N21" s="7">
        <f t="shared" si="3"/>
        <v>1.1011412829594645</v>
      </c>
      <c r="O21" s="11"/>
      <c r="P21" s="6">
        <v>500.61</v>
      </c>
      <c r="Q21" s="2"/>
      <c r="R21" s="7">
        <f t="shared" si="4"/>
        <v>0</v>
      </c>
      <c r="S21" s="2"/>
      <c r="T21" s="6">
        <v>311.17</v>
      </c>
      <c r="U21" s="2"/>
      <c r="V21" s="7">
        <f t="shared" si="5"/>
        <v>0</v>
      </c>
      <c r="W21" s="2"/>
      <c r="X21" s="6">
        <f t="shared" si="6"/>
        <v>189.44</v>
      </c>
      <c r="Y21" s="2"/>
      <c r="Z21" s="7">
        <f t="shared" si="7"/>
        <v>0.60879904875148627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6091.67</v>
      </c>
      <c r="E22" s="2"/>
      <c r="F22" s="7">
        <f t="shared" si="0"/>
        <v>0</v>
      </c>
      <c r="G22" s="2"/>
      <c r="H22" s="6">
        <v>5861.63</v>
      </c>
      <c r="I22" s="2"/>
      <c r="J22" s="7">
        <f t="shared" si="1"/>
        <v>0</v>
      </c>
      <c r="K22" s="2"/>
      <c r="L22" s="6">
        <f t="shared" si="2"/>
        <v>230.03999999999996</v>
      </c>
      <c r="M22" s="2"/>
      <c r="N22" s="7">
        <f t="shared" si="3"/>
        <v>3.9245056409224051E-2</v>
      </c>
      <c r="O22" s="11"/>
      <c r="P22" s="6">
        <v>30458.350000000002</v>
      </c>
      <c r="Q22" s="2"/>
      <c r="R22" s="7">
        <f t="shared" si="4"/>
        <v>0</v>
      </c>
      <c r="S22" s="2"/>
      <c r="T22" s="6">
        <v>29308.9</v>
      </c>
      <c r="U22" s="2"/>
      <c r="V22" s="7">
        <f t="shared" si="5"/>
        <v>0</v>
      </c>
      <c r="W22" s="2"/>
      <c r="X22" s="6">
        <f t="shared" si="6"/>
        <v>1149.4500000000007</v>
      </c>
      <c r="Y22" s="2"/>
      <c r="Z22" s="7">
        <f t="shared" si="7"/>
        <v>3.9218462651276598E-2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126.19</v>
      </c>
      <c r="E23" s="2"/>
      <c r="F23" s="7">
        <f t="shared" si="0"/>
        <v>0</v>
      </c>
      <c r="G23" s="2"/>
      <c r="H23" s="6">
        <v>58.29</v>
      </c>
      <c r="I23" s="2"/>
      <c r="J23" s="7">
        <f t="shared" si="1"/>
        <v>0</v>
      </c>
      <c r="K23" s="2"/>
      <c r="L23" s="6">
        <f t="shared" si="2"/>
        <v>67.900000000000006</v>
      </c>
      <c r="M23" s="2"/>
      <c r="N23" s="7">
        <f t="shared" si="3"/>
        <v>1.164865328529765</v>
      </c>
      <c r="O23" s="11"/>
      <c r="P23" s="6">
        <v>394.42</v>
      </c>
      <c r="Q23" s="2"/>
      <c r="R23" s="7">
        <f t="shared" si="4"/>
        <v>0</v>
      </c>
      <c r="S23" s="2"/>
      <c r="T23" s="6">
        <v>336.65</v>
      </c>
      <c r="U23" s="2"/>
      <c r="V23" s="7">
        <f t="shared" si="5"/>
        <v>0</v>
      </c>
      <c r="W23" s="2"/>
      <c r="X23" s="6">
        <f t="shared" si="6"/>
        <v>57.770000000000039</v>
      </c>
      <c r="Y23" s="2"/>
      <c r="Z23" s="7">
        <f t="shared" si="7"/>
        <v>0.17160255458191012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2368.52</v>
      </c>
      <c r="E24" s="2"/>
      <c r="F24" s="7">
        <f t="shared" si="0"/>
        <v>0</v>
      </c>
      <c r="G24" s="2"/>
      <c r="H24" s="6">
        <v>919.4</v>
      </c>
      <c r="I24" s="2"/>
      <c r="J24" s="7">
        <f t="shared" si="1"/>
        <v>0</v>
      </c>
      <c r="K24" s="2"/>
      <c r="L24" s="6">
        <f t="shared" si="2"/>
        <v>1449.12</v>
      </c>
      <c r="M24" s="2"/>
      <c r="N24" s="7">
        <f t="shared" si="3"/>
        <v>1.5761583641505328</v>
      </c>
      <c r="O24" s="11"/>
      <c r="P24" s="6">
        <v>7280.18</v>
      </c>
      <c r="Q24" s="2"/>
      <c r="R24" s="7">
        <f t="shared" si="4"/>
        <v>0</v>
      </c>
      <c r="S24" s="2"/>
      <c r="T24" s="6">
        <v>6120.89</v>
      </c>
      <c r="U24" s="2"/>
      <c r="V24" s="7">
        <f t="shared" si="5"/>
        <v>0</v>
      </c>
      <c r="W24" s="2"/>
      <c r="X24" s="6">
        <f t="shared" si="6"/>
        <v>1159.29</v>
      </c>
      <c r="Y24" s="2"/>
      <c r="Z24" s="7">
        <f t="shared" si="7"/>
        <v>0.18939892728018309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1971.94</v>
      </c>
      <c r="U25" s="2"/>
      <c r="V25" s="7">
        <f t="shared" si="5"/>
        <v>0</v>
      </c>
      <c r="W25" s="2"/>
      <c r="X25" s="6">
        <f t="shared" si="6"/>
        <v>-1971.94</v>
      </c>
      <c r="Y25" s="2"/>
      <c r="Z25" s="7">
        <f t="shared" si="7"/>
        <v>-1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6">
        <v>585.52</v>
      </c>
      <c r="E26" s="2"/>
      <c r="F26" s="7">
        <f t="shared" si="0"/>
        <v>0</v>
      </c>
      <c r="G26" s="2"/>
      <c r="H26" s="6">
        <v>333.85</v>
      </c>
      <c r="I26" s="2"/>
      <c r="J26" s="7">
        <f t="shared" si="1"/>
        <v>0</v>
      </c>
      <c r="K26" s="2"/>
      <c r="L26" s="6">
        <f t="shared" si="2"/>
        <v>251.66999999999996</v>
      </c>
      <c r="M26" s="2"/>
      <c r="N26" s="7">
        <f t="shared" si="3"/>
        <v>0.75384154560431316</v>
      </c>
      <c r="O26" s="11"/>
      <c r="P26" s="6">
        <v>3255.16</v>
      </c>
      <c r="Q26" s="2"/>
      <c r="R26" s="7">
        <f t="shared" si="4"/>
        <v>0</v>
      </c>
      <c r="S26" s="2"/>
      <c r="T26" s="6">
        <v>2313.37</v>
      </c>
      <c r="U26" s="2"/>
      <c r="V26" s="7">
        <f t="shared" si="5"/>
        <v>0</v>
      </c>
      <c r="W26" s="2"/>
      <c r="X26" s="6">
        <f t="shared" si="6"/>
        <v>941.79</v>
      </c>
      <c r="Y26" s="2"/>
      <c r="Z26" s="7">
        <f t="shared" si="7"/>
        <v>0.40710738014238967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667.3</v>
      </c>
      <c r="E27" s="2"/>
      <c r="F27" s="7">
        <f t="shared" si="0"/>
        <v>0</v>
      </c>
      <c r="G27" s="2"/>
      <c r="H27" s="6">
        <v>1479.67</v>
      </c>
      <c r="I27" s="2"/>
      <c r="J27" s="7">
        <f t="shared" si="1"/>
        <v>0</v>
      </c>
      <c r="K27" s="2"/>
      <c r="L27" s="6">
        <f t="shared" si="2"/>
        <v>-812.37000000000012</v>
      </c>
      <c r="M27" s="2"/>
      <c r="N27" s="7">
        <f t="shared" si="3"/>
        <v>-0.54902106550784979</v>
      </c>
      <c r="O27" s="11"/>
      <c r="P27" s="6">
        <v>6095.88</v>
      </c>
      <c r="Q27" s="2"/>
      <c r="R27" s="7">
        <f t="shared" si="4"/>
        <v>0</v>
      </c>
      <c r="S27" s="2"/>
      <c r="T27" s="6">
        <v>10085.870000000001</v>
      </c>
      <c r="U27" s="2"/>
      <c r="V27" s="7">
        <f t="shared" si="5"/>
        <v>0</v>
      </c>
      <c r="W27" s="2"/>
      <c r="X27" s="6">
        <f t="shared" si="6"/>
        <v>-3989.9900000000007</v>
      </c>
      <c r="Y27" s="2"/>
      <c r="Z27" s="7">
        <f t="shared" si="7"/>
        <v>-0.39560196591865654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908.12</v>
      </c>
      <c r="E28" s="2"/>
      <c r="F28" s="7">
        <f t="shared" si="0"/>
        <v>0</v>
      </c>
      <c r="G28" s="2"/>
      <c r="H28" s="6">
        <v>1514.86</v>
      </c>
      <c r="I28" s="2"/>
      <c r="J28" s="7">
        <f t="shared" si="1"/>
        <v>0</v>
      </c>
      <c r="K28" s="2"/>
      <c r="L28" s="6">
        <f t="shared" si="2"/>
        <v>-606.7399999999999</v>
      </c>
      <c r="M28" s="2"/>
      <c r="N28" s="7">
        <f t="shared" si="3"/>
        <v>-0.40052546109871534</v>
      </c>
      <c r="O28" s="11"/>
      <c r="P28" s="6">
        <v>4994.66</v>
      </c>
      <c r="Q28" s="2"/>
      <c r="R28" s="7">
        <f t="shared" si="4"/>
        <v>0</v>
      </c>
      <c r="S28" s="2"/>
      <c r="T28" s="6">
        <v>6551.09</v>
      </c>
      <c r="U28" s="2"/>
      <c r="V28" s="7">
        <f t="shared" si="5"/>
        <v>0</v>
      </c>
      <c r="W28" s="2"/>
      <c r="X28" s="6">
        <f t="shared" si="6"/>
        <v>-1556.4300000000003</v>
      </c>
      <c r="Y28" s="2"/>
      <c r="Z28" s="7">
        <f t="shared" si="7"/>
        <v>-0.23758336398980937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206.61</v>
      </c>
      <c r="E29" s="2"/>
      <c r="F29" s="7">
        <f t="shared" si="0"/>
        <v>0</v>
      </c>
      <c r="G29" s="2"/>
      <c r="H29" s="6">
        <v>426.73</v>
      </c>
      <c r="I29" s="2"/>
      <c r="J29" s="7">
        <f t="shared" si="1"/>
        <v>0</v>
      </c>
      <c r="K29" s="2"/>
      <c r="L29" s="6">
        <f t="shared" si="2"/>
        <v>-220.12</v>
      </c>
      <c r="M29" s="2"/>
      <c r="N29" s="7">
        <f t="shared" si="3"/>
        <v>-0.51582968153164765</v>
      </c>
      <c r="O29" s="11"/>
      <c r="P29" s="6">
        <v>339.83</v>
      </c>
      <c r="Q29" s="2"/>
      <c r="R29" s="7">
        <f t="shared" si="4"/>
        <v>0</v>
      </c>
      <c r="S29" s="2"/>
      <c r="T29" s="6">
        <v>1932.93</v>
      </c>
      <c r="U29" s="2"/>
      <c r="V29" s="7">
        <f t="shared" si="5"/>
        <v>0</v>
      </c>
      <c r="W29" s="2"/>
      <c r="X29" s="6">
        <f t="shared" si="6"/>
        <v>-1593.1000000000001</v>
      </c>
      <c r="Y29" s="2"/>
      <c r="Z29" s="7">
        <f t="shared" si="7"/>
        <v>-0.82418918429534438</v>
      </c>
    </row>
    <row r="30" spans="1:26" s="26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23276.47</v>
      </c>
      <c r="E30" s="1"/>
      <c r="F30" s="5">
        <f t="shared" ref="F30:F34" si="8">IF(D$12=0,0,D30/D$12)</f>
        <v>0</v>
      </c>
      <c r="G30" s="1"/>
      <c r="H30" s="1">
        <f>SUM(OSRRefH22_1x_0)</f>
        <v>20425.559999999998</v>
      </c>
      <c r="I30" s="1"/>
      <c r="J30" s="5">
        <f t="shared" ref="J30:J34" si="9">IF(H$12=0,0,H30/H$12)</f>
        <v>0</v>
      </c>
      <c r="K30" s="1"/>
      <c r="L30" s="1">
        <f t="shared" ref="L30:L34" si="10">+D30-H30</f>
        <v>2850.9100000000035</v>
      </c>
      <c r="M30" s="1"/>
      <c r="N30" s="5">
        <f t="shared" ref="N30:N34" si="11">IF(H30=0,0,L30/H30)</f>
        <v>0.13957561016686953</v>
      </c>
      <c r="O30" s="13"/>
      <c r="P30" s="1">
        <f>SUM(OSRRefP22_1x_0)</f>
        <v>135679.18</v>
      </c>
      <c r="Q30" s="1"/>
      <c r="R30" s="5">
        <f t="shared" ref="R30:R34" si="12">IF(P$12=0,0,P30/P$12)</f>
        <v>0</v>
      </c>
      <c r="S30" s="1"/>
      <c r="T30" s="1">
        <f>SUM(OSRRefT22_1x_0)</f>
        <v>118335.07999999999</v>
      </c>
      <c r="U30" s="1"/>
      <c r="V30" s="5">
        <f t="shared" ref="V30:V34" si="13">IF(T$12=0,0,T30/T$12)</f>
        <v>0</v>
      </c>
      <c r="W30" s="1"/>
      <c r="X30" s="1">
        <f t="shared" ref="X30:X34" si="14">+P30-T30</f>
        <v>17344.100000000006</v>
      </c>
      <c r="Y30" s="1"/>
      <c r="Z30" s="5">
        <f t="shared" ref="Z30:Z34" si="15">IF(T30=0,0,X30/T30)</f>
        <v>0.14656769573316727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>
        <v>9894.68</v>
      </c>
      <c r="E31" s="2"/>
      <c r="F31" s="7">
        <f t="shared" si="8"/>
        <v>0</v>
      </c>
      <c r="G31" s="2"/>
      <c r="H31" s="6">
        <v>7645.88</v>
      </c>
      <c r="I31" s="2"/>
      <c r="J31" s="7">
        <f t="shared" si="9"/>
        <v>0</v>
      </c>
      <c r="K31" s="2"/>
      <c r="L31" s="6">
        <f t="shared" si="10"/>
        <v>2248.8000000000002</v>
      </c>
      <c r="M31" s="2"/>
      <c r="N31" s="7">
        <f t="shared" si="11"/>
        <v>0.29411918575755835</v>
      </c>
      <c r="O31" s="11"/>
      <c r="P31" s="6">
        <v>50957.619999999995</v>
      </c>
      <c r="Q31" s="2"/>
      <c r="R31" s="7">
        <f t="shared" si="12"/>
        <v>0</v>
      </c>
      <c r="S31" s="2"/>
      <c r="T31" s="6">
        <v>43626.52</v>
      </c>
      <c r="U31" s="2"/>
      <c r="V31" s="7">
        <f t="shared" si="13"/>
        <v>0</v>
      </c>
      <c r="W31" s="2"/>
      <c r="X31" s="6">
        <f t="shared" si="14"/>
        <v>7331.0999999999985</v>
      </c>
      <c r="Y31" s="2"/>
      <c r="Z31" s="7">
        <f t="shared" si="15"/>
        <v>0.16804228253823589</v>
      </c>
    </row>
    <row r="32" spans="1:26" s="24" customFormat="1" hidden="1" outlineLevel="2" x14ac:dyDescent="0.25">
      <c r="A32" s="25"/>
      <c r="B32" s="11" t="str">
        <f>CONCATENATE("          ", "6004", " - ", "STAFF HOURLY")</f>
        <v xml:space="preserve">          6004 - STAFF HOURLY</v>
      </c>
      <c r="C32" s="11"/>
      <c r="D32" s="6">
        <v>8723.0300000000007</v>
      </c>
      <c r="E32" s="2"/>
      <c r="F32" s="7">
        <f t="shared" si="8"/>
        <v>0</v>
      </c>
      <c r="G32" s="2"/>
      <c r="H32" s="6">
        <v>9310.7199999999993</v>
      </c>
      <c r="I32" s="2"/>
      <c r="J32" s="7">
        <f t="shared" si="9"/>
        <v>0</v>
      </c>
      <c r="K32" s="2"/>
      <c r="L32" s="6">
        <f t="shared" si="10"/>
        <v>-587.68999999999869</v>
      </c>
      <c r="M32" s="2"/>
      <c r="N32" s="7">
        <f t="shared" si="11"/>
        <v>-6.3119715768490375E-2</v>
      </c>
      <c r="O32" s="11"/>
      <c r="P32" s="6">
        <v>53672.79</v>
      </c>
      <c r="Q32" s="2"/>
      <c r="R32" s="7">
        <f t="shared" si="12"/>
        <v>0</v>
      </c>
      <c r="S32" s="2"/>
      <c r="T32" s="6">
        <v>48871.28</v>
      </c>
      <c r="U32" s="2"/>
      <c r="V32" s="7">
        <f t="shared" si="13"/>
        <v>0</v>
      </c>
      <c r="W32" s="2"/>
      <c r="X32" s="6">
        <f t="shared" si="14"/>
        <v>4801.510000000002</v>
      </c>
      <c r="Y32" s="2"/>
      <c r="Z32" s="7">
        <f t="shared" si="15"/>
        <v>9.8248091721763825E-2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6">
        <v>4658.76</v>
      </c>
      <c r="E33" s="2"/>
      <c r="F33" s="7">
        <f t="shared" si="8"/>
        <v>0</v>
      </c>
      <c r="G33" s="2"/>
      <c r="H33" s="6">
        <v>3468.96</v>
      </c>
      <c r="I33" s="2"/>
      <c r="J33" s="7">
        <f t="shared" si="9"/>
        <v>0</v>
      </c>
      <c r="K33" s="2"/>
      <c r="L33" s="6">
        <f t="shared" si="10"/>
        <v>1189.8000000000002</v>
      </c>
      <c r="M33" s="2"/>
      <c r="N33" s="7">
        <f t="shared" si="11"/>
        <v>0.34298464092984648</v>
      </c>
      <c r="O33" s="11"/>
      <c r="P33" s="6">
        <v>31048.769999999997</v>
      </c>
      <c r="Q33" s="2"/>
      <c r="R33" s="7">
        <f t="shared" si="12"/>
        <v>0</v>
      </c>
      <c r="S33" s="2"/>
      <c r="T33" s="6">
        <v>25837.279999999999</v>
      </c>
      <c r="U33" s="2"/>
      <c r="V33" s="7">
        <f t="shared" si="13"/>
        <v>0</v>
      </c>
      <c r="W33" s="2"/>
      <c r="X33" s="6">
        <f t="shared" si="14"/>
        <v>5211.489999999998</v>
      </c>
      <c r="Y33" s="2"/>
      <c r="Z33" s="7">
        <f t="shared" si="15"/>
        <v>0.20170428156524209</v>
      </c>
    </row>
    <row r="34" spans="1:26" s="24" customFormat="1" hidden="1" outlineLevel="2" x14ac:dyDescent="0.25">
      <c r="A34" s="25"/>
      <c r="B34" s="11" t="str">
        <f>CONCATENATE("          ", "6007", " - ", "STUDENT HOURLY")</f>
        <v xml:space="preserve">          6007 - STUDENT HOURLY</v>
      </c>
      <c r="C34" s="11"/>
      <c r="D34" s="6"/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>
        <v>0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6" customFormat="1" outlineLevel="1" collapsed="1" x14ac:dyDescent="0.25">
      <c r="A35" s="27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0</v>
      </c>
      <c r="E35" s="1"/>
      <c r="F35" s="5">
        <f t="shared" ref="F35:F51" si="16">IF(D$12=0,0,D35/D$12)</f>
        <v>0</v>
      </c>
      <c r="G35" s="1"/>
      <c r="H35" s="1">
        <f>SUM(OSRRefH22_2x_0)</f>
        <v>285</v>
      </c>
      <c r="I35" s="1"/>
      <c r="J35" s="5">
        <f t="shared" ref="J35:J51" si="17">IF(H$12=0,0,H35/H$12)</f>
        <v>0</v>
      </c>
      <c r="K35" s="1"/>
      <c r="L35" s="1">
        <f t="shared" ref="L35:L51" si="18">+D35-H35</f>
        <v>-285</v>
      </c>
      <c r="M35" s="1"/>
      <c r="N35" s="5">
        <f t="shared" ref="N35:N51" si="19">IF(H35=0,0,L35/H35)</f>
        <v>-1</v>
      </c>
      <c r="O35" s="13"/>
      <c r="P35" s="1">
        <f>SUM(OSRRefP22_2x_0)</f>
        <v>0</v>
      </c>
      <c r="Q35" s="1"/>
      <c r="R35" s="5">
        <f t="shared" ref="R35:R51" si="20">IF(P$12=0,0,P35/P$12)</f>
        <v>0</v>
      </c>
      <c r="S35" s="1"/>
      <c r="T35" s="1">
        <f>SUM(OSRRefT22_2x_0)</f>
        <v>1335.24</v>
      </c>
      <c r="U35" s="1"/>
      <c r="V35" s="5">
        <f t="shared" ref="V35:V51" si="21">IF(T$12=0,0,T35/T$12)</f>
        <v>0</v>
      </c>
      <c r="W35" s="1"/>
      <c r="X35" s="1">
        <f t="shared" ref="X35:X51" si="22">+P35-T35</f>
        <v>-1335.24</v>
      </c>
      <c r="Y35" s="1"/>
      <c r="Z35" s="5">
        <f t="shared" ref="Z35:Z51" si="23">IF(T35=0,0,X35/T35)</f>
        <v>-1</v>
      </c>
    </row>
    <row r="36" spans="1:26" s="24" customFormat="1" hidden="1" outlineLevel="2" x14ac:dyDescent="0.25">
      <c r="A36" s="25"/>
      <c r="B36" s="11" t="str">
        <f>CONCATENATE("          ", "6362", " - ", "ADVERTISING EXPENSE")</f>
        <v xml:space="preserve">          6362 - ADVERTISING EXPENSE</v>
      </c>
      <c r="C36" s="11"/>
      <c r="D36" s="6"/>
      <c r="E36" s="2"/>
      <c r="F36" s="7">
        <f t="shared" si="16"/>
        <v>0</v>
      </c>
      <c r="G36" s="2"/>
      <c r="H36" s="6">
        <v>285</v>
      </c>
      <c r="I36" s="2"/>
      <c r="J36" s="7">
        <f t="shared" si="17"/>
        <v>0</v>
      </c>
      <c r="K36" s="2"/>
      <c r="L36" s="6">
        <f t="shared" si="18"/>
        <v>-285</v>
      </c>
      <c r="M36" s="2"/>
      <c r="N36" s="7">
        <f t="shared" si="19"/>
        <v>-1</v>
      </c>
      <c r="O36" s="11"/>
      <c r="P36" s="6"/>
      <c r="Q36" s="2"/>
      <c r="R36" s="7">
        <f t="shared" si="20"/>
        <v>0</v>
      </c>
      <c r="S36" s="2"/>
      <c r="T36" s="6">
        <v>1335.24</v>
      </c>
      <c r="U36" s="2"/>
      <c r="V36" s="7">
        <f t="shared" si="21"/>
        <v>0</v>
      </c>
      <c r="W36" s="2"/>
      <c r="X36" s="6">
        <f t="shared" si="22"/>
        <v>-1335.24</v>
      </c>
      <c r="Y36" s="2"/>
      <c r="Z36" s="7">
        <f t="shared" si="23"/>
        <v>-1</v>
      </c>
    </row>
    <row r="37" spans="1:26" s="26" customFormat="1" outlineLevel="1" collapsed="1" x14ac:dyDescent="0.25">
      <c r="A37" s="27"/>
      <c r="B37" s="13" t="str">
        <f>CONCATENATE("     ","Depreciation                                      ")</f>
        <v xml:space="preserve">     Depreciation                                      </v>
      </c>
      <c r="C37" s="13"/>
      <c r="D37" s="1">
        <f>SUM(OSRRefD22_3x_0)</f>
        <v>0</v>
      </c>
      <c r="E37" s="1"/>
      <c r="F37" s="5">
        <f t="shared" si="16"/>
        <v>0</v>
      </c>
      <c r="G37" s="1"/>
      <c r="H37" s="1">
        <f>SUM(OSRRefH22_3x_0)</f>
        <v>224.18</v>
      </c>
      <c r="I37" s="1"/>
      <c r="J37" s="5">
        <f t="shared" si="17"/>
        <v>0</v>
      </c>
      <c r="K37" s="1"/>
      <c r="L37" s="1">
        <f t="shared" si="18"/>
        <v>-224.18</v>
      </c>
      <c r="M37" s="1"/>
      <c r="N37" s="5">
        <f t="shared" si="19"/>
        <v>-1</v>
      </c>
      <c r="O37" s="13"/>
      <c r="P37" s="1">
        <f>SUM(OSRRefP22_3x_0)</f>
        <v>0</v>
      </c>
      <c r="Q37" s="1"/>
      <c r="R37" s="5">
        <f t="shared" si="20"/>
        <v>0</v>
      </c>
      <c r="S37" s="1"/>
      <c r="T37" s="1">
        <f>SUM(OSRRefT22_3x_0)</f>
        <v>1120.9000000000001</v>
      </c>
      <c r="U37" s="1"/>
      <c r="V37" s="5">
        <f t="shared" si="21"/>
        <v>0</v>
      </c>
      <c r="W37" s="1"/>
      <c r="X37" s="1">
        <f t="shared" si="22"/>
        <v>-1120.9000000000001</v>
      </c>
      <c r="Y37" s="1"/>
      <c r="Z37" s="5">
        <f t="shared" si="23"/>
        <v>-1</v>
      </c>
    </row>
    <row r="38" spans="1:26" s="24" customFormat="1" hidden="1" outlineLevel="2" x14ac:dyDescent="0.25">
      <c r="A38" s="25"/>
      <c r="B38" s="11" t="str">
        <f>CONCATENATE("          ", "6322", " - ", "EQUIPMENT DEPRECIATION EXPENSE")</f>
        <v xml:space="preserve">          6322 - EQUIPMENT DEPRECIATION EXPENSE</v>
      </c>
      <c r="C38" s="11"/>
      <c r="D38" s="6"/>
      <c r="E38" s="2"/>
      <c r="F38" s="7">
        <f t="shared" si="16"/>
        <v>0</v>
      </c>
      <c r="G38" s="2"/>
      <c r="H38" s="6">
        <v>224.18</v>
      </c>
      <c r="I38" s="2"/>
      <c r="J38" s="7">
        <f t="shared" si="17"/>
        <v>0</v>
      </c>
      <c r="K38" s="2"/>
      <c r="L38" s="6">
        <f t="shared" si="18"/>
        <v>-224.18</v>
      </c>
      <c r="M38" s="2"/>
      <c r="N38" s="7">
        <f t="shared" si="19"/>
        <v>-1</v>
      </c>
      <c r="O38" s="11"/>
      <c r="P38" s="6"/>
      <c r="Q38" s="2"/>
      <c r="R38" s="7">
        <f t="shared" si="20"/>
        <v>0</v>
      </c>
      <c r="S38" s="2"/>
      <c r="T38" s="6">
        <v>1120.9000000000001</v>
      </c>
      <c r="U38" s="2"/>
      <c r="V38" s="7">
        <f t="shared" si="21"/>
        <v>0</v>
      </c>
      <c r="W38" s="2"/>
      <c r="X38" s="6">
        <f t="shared" si="22"/>
        <v>-1120.9000000000001</v>
      </c>
      <c r="Y38" s="2"/>
      <c r="Z38" s="7">
        <f t="shared" si="23"/>
        <v>-1</v>
      </c>
    </row>
    <row r="39" spans="1:26" s="26" customFormat="1" outlineLevel="1" collapsed="1" x14ac:dyDescent="0.25">
      <c r="A39" s="27"/>
      <c r="B39" s="13" t="str">
        <f>CONCATENATE("     ","Employees' Appreciation                           ")</f>
        <v xml:space="preserve">     Employees' Appreciation                           </v>
      </c>
      <c r="C39" s="13"/>
      <c r="D39" s="1">
        <f>SUM(OSRRefD22_4x_0)</f>
        <v>0</v>
      </c>
      <c r="E39" s="1"/>
      <c r="F39" s="5">
        <f t="shared" si="16"/>
        <v>0</v>
      </c>
      <c r="G39" s="1"/>
      <c r="H39" s="1">
        <f>SUM(OSRRefH22_4x_0)</f>
        <v>330</v>
      </c>
      <c r="I39" s="1"/>
      <c r="J39" s="5">
        <f t="shared" si="17"/>
        <v>0</v>
      </c>
      <c r="K39" s="1"/>
      <c r="L39" s="1">
        <f t="shared" si="18"/>
        <v>-330</v>
      </c>
      <c r="M39" s="1"/>
      <c r="N39" s="5">
        <f t="shared" si="19"/>
        <v>-1</v>
      </c>
      <c r="O39" s="13"/>
      <c r="P39" s="1">
        <f>SUM(OSRRefP22_4x_0)</f>
        <v>81.56</v>
      </c>
      <c r="Q39" s="1"/>
      <c r="R39" s="5">
        <f t="shared" si="20"/>
        <v>0</v>
      </c>
      <c r="S39" s="1"/>
      <c r="T39" s="1">
        <f>SUM(OSRRefT22_4x_0)</f>
        <v>12159.12</v>
      </c>
      <c r="U39" s="1"/>
      <c r="V39" s="5">
        <f t="shared" si="21"/>
        <v>0</v>
      </c>
      <c r="W39" s="1"/>
      <c r="X39" s="1">
        <f t="shared" si="22"/>
        <v>-12077.560000000001</v>
      </c>
      <c r="Y39" s="1"/>
      <c r="Z39" s="5">
        <f t="shared" si="23"/>
        <v>-0.99329227773062534</v>
      </c>
    </row>
    <row r="40" spans="1:26" s="24" customFormat="1" hidden="1" outlineLevel="2" x14ac:dyDescent="0.25">
      <c r="A40" s="25"/>
      <c r="B40" s="11" t="str">
        <f>CONCATENATE("          ", "6277", " - ", "EMPLOYEE APPRECIATION")</f>
        <v xml:space="preserve">          6277 - EMPLOYEE APPRECIATION</v>
      </c>
      <c r="C40" s="11"/>
      <c r="D40" s="6"/>
      <c r="E40" s="2"/>
      <c r="F40" s="7">
        <f t="shared" si="16"/>
        <v>0</v>
      </c>
      <c r="G40" s="2"/>
      <c r="H40" s="6">
        <v>330</v>
      </c>
      <c r="I40" s="2"/>
      <c r="J40" s="7">
        <f t="shared" si="17"/>
        <v>0</v>
      </c>
      <c r="K40" s="2"/>
      <c r="L40" s="6">
        <f t="shared" si="18"/>
        <v>-330</v>
      </c>
      <c r="M40" s="2"/>
      <c r="N40" s="7">
        <f t="shared" si="19"/>
        <v>-1</v>
      </c>
      <c r="O40" s="11"/>
      <c r="P40" s="6">
        <v>81.56</v>
      </c>
      <c r="Q40" s="2"/>
      <c r="R40" s="7">
        <f t="shared" si="20"/>
        <v>0</v>
      </c>
      <c r="S40" s="2"/>
      <c r="T40" s="6">
        <v>12159.12</v>
      </c>
      <c r="U40" s="2"/>
      <c r="V40" s="7">
        <f t="shared" si="21"/>
        <v>0</v>
      </c>
      <c r="W40" s="2"/>
      <c r="X40" s="6">
        <f t="shared" si="22"/>
        <v>-12077.560000000001</v>
      </c>
      <c r="Y40" s="2"/>
      <c r="Z40" s="7">
        <f t="shared" si="23"/>
        <v>-0.99329227773062534</v>
      </c>
    </row>
    <row r="41" spans="1:26" s="26" customFormat="1" outlineLevel="1" collapsed="1" x14ac:dyDescent="0.25">
      <c r="A41" s="27"/>
      <c r="B41" s="13" t="str">
        <f>CONCATENATE("     ","Equipment Rental                                  ")</f>
        <v xml:space="preserve">     Equipment Rental                                  </v>
      </c>
      <c r="C41" s="13"/>
      <c r="D41" s="1">
        <f>SUM(OSRRefD22_5x_0)</f>
        <v>0</v>
      </c>
      <c r="E41" s="1"/>
      <c r="F41" s="5">
        <f t="shared" si="16"/>
        <v>0</v>
      </c>
      <c r="G41" s="1"/>
      <c r="H41" s="1">
        <f>SUM(OSRRefH22_5x_0)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3"/>
      <c r="P41" s="1">
        <f>SUM(OSRRefP22_5x_0)</f>
        <v>0</v>
      </c>
      <c r="Q41" s="1"/>
      <c r="R41" s="5">
        <f t="shared" si="20"/>
        <v>0</v>
      </c>
      <c r="S41" s="1"/>
      <c r="T41" s="1">
        <f>SUM(OSRRefT22_5x_0)</f>
        <v>273.77999999999997</v>
      </c>
      <c r="U41" s="1"/>
      <c r="V41" s="5">
        <f t="shared" si="21"/>
        <v>0</v>
      </c>
      <c r="W41" s="1"/>
      <c r="X41" s="1">
        <f t="shared" si="22"/>
        <v>-273.77999999999997</v>
      </c>
      <c r="Y41" s="1"/>
      <c r="Z41" s="5">
        <f t="shared" si="23"/>
        <v>-1</v>
      </c>
    </row>
    <row r="42" spans="1:26" s="24" customFormat="1" hidden="1" outlineLevel="2" x14ac:dyDescent="0.25">
      <c r="A42" s="25"/>
      <c r="B42" s="11" t="str">
        <f>CONCATENATE("          ", "6351", " - ", "EQUIPMENT RENTAL")</f>
        <v xml:space="preserve">          6351 - EQUIPMENT RENTAL</v>
      </c>
      <c r="C42" s="11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/>
      <c r="Q42" s="2"/>
      <c r="R42" s="7">
        <f t="shared" si="20"/>
        <v>0</v>
      </c>
      <c r="S42" s="2"/>
      <c r="T42" s="6">
        <v>273.77999999999997</v>
      </c>
      <c r="U42" s="2"/>
      <c r="V42" s="7">
        <f t="shared" si="21"/>
        <v>0</v>
      </c>
      <c r="W42" s="2"/>
      <c r="X42" s="6">
        <f t="shared" si="22"/>
        <v>-273.77999999999997</v>
      </c>
      <c r="Y42" s="2"/>
      <c r="Z42" s="7">
        <f t="shared" si="23"/>
        <v>-1</v>
      </c>
    </row>
    <row r="43" spans="1:26" s="26" customFormat="1" outlineLevel="1" collapsed="1" x14ac:dyDescent="0.25">
      <c r="A43" s="27"/>
      <c r="B43" s="13" t="str">
        <f>CONCATENATE("     ","Freight out/Postage                               ")</f>
        <v xml:space="preserve">     Freight out/Postage                               </v>
      </c>
      <c r="C43" s="13"/>
      <c r="D43" s="1">
        <f>SUM(OSRRefD22_6x_0)</f>
        <v>2.5</v>
      </c>
      <c r="E43" s="1"/>
      <c r="F43" s="5">
        <f t="shared" si="16"/>
        <v>0</v>
      </c>
      <c r="G43" s="1"/>
      <c r="H43" s="1">
        <f>SUM(OSRRefH22_6x_0)</f>
        <v>45.9</v>
      </c>
      <c r="I43" s="1"/>
      <c r="J43" s="5">
        <f t="shared" si="17"/>
        <v>0</v>
      </c>
      <c r="K43" s="1"/>
      <c r="L43" s="1">
        <f t="shared" si="18"/>
        <v>-43.4</v>
      </c>
      <c r="M43" s="1"/>
      <c r="N43" s="5">
        <f t="shared" si="19"/>
        <v>-0.94553376906318087</v>
      </c>
      <c r="O43" s="13"/>
      <c r="P43" s="1">
        <f>SUM(OSRRefP22_6x_0)</f>
        <v>76.05</v>
      </c>
      <c r="Q43" s="1"/>
      <c r="R43" s="5">
        <f t="shared" si="20"/>
        <v>0</v>
      </c>
      <c r="S43" s="1"/>
      <c r="T43" s="1">
        <f>SUM(OSRRefT22_6x_0)</f>
        <v>283.5</v>
      </c>
      <c r="U43" s="1"/>
      <c r="V43" s="5">
        <f t="shared" si="21"/>
        <v>0</v>
      </c>
      <c r="W43" s="1"/>
      <c r="X43" s="1">
        <f t="shared" si="22"/>
        <v>-207.45</v>
      </c>
      <c r="Y43" s="1"/>
      <c r="Z43" s="5">
        <f t="shared" si="23"/>
        <v>-0.7317460317460317</v>
      </c>
    </row>
    <row r="44" spans="1:26" s="24" customFormat="1" hidden="1" outlineLevel="2" x14ac:dyDescent="0.25">
      <c r="A44" s="25"/>
      <c r="B44" s="11" t="str">
        <f>CONCATENATE("          ", "6307", " - ", "POSTAGE")</f>
        <v xml:space="preserve">          6307 - POSTAGE</v>
      </c>
      <c r="C44" s="11"/>
      <c r="D44" s="6">
        <v>2.5</v>
      </c>
      <c r="E44" s="2"/>
      <c r="F44" s="7">
        <f t="shared" si="16"/>
        <v>0</v>
      </c>
      <c r="G44" s="2"/>
      <c r="H44" s="6">
        <v>45.9</v>
      </c>
      <c r="I44" s="2"/>
      <c r="J44" s="7">
        <f t="shared" si="17"/>
        <v>0</v>
      </c>
      <c r="K44" s="2"/>
      <c r="L44" s="6">
        <f t="shared" si="18"/>
        <v>-43.4</v>
      </c>
      <c r="M44" s="2"/>
      <c r="N44" s="7">
        <f t="shared" si="19"/>
        <v>-0.94553376906318087</v>
      </c>
      <c r="O44" s="11"/>
      <c r="P44" s="6">
        <v>76.05</v>
      </c>
      <c r="Q44" s="2"/>
      <c r="R44" s="7">
        <f t="shared" si="20"/>
        <v>0</v>
      </c>
      <c r="S44" s="2"/>
      <c r="T44" s="6">
        <v>283.5</v>
      </c>
      <c r="U44" s="2"/>
      <c r="V44" s="7">
        <f t="shared" si="21"/>
        <v>0</v>
      </c>
      <c r="W44" s="2"/>
      <c r="X44" s="6">
        <f t="shared" si="22"/>
        <v>-207.45</v>
      </c>
      <c r="Y44" s="2"/>
      <c r="Z44" s="7">
        <f t="shared" si="23"/>
        <v>-0.7317460317460317</v>
      </c>
    </row>
    <row r="45" spans="1:26" s="26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SUM(OSRRefD22_7x_0)</f>
        <v>0</v>
      </c>
      <c r="E45" s="1"/>
      <c r="F45" s="5">
        <f t="shared" si="16"/>
        <v>0</v>
      </c>
      <c r="G45" s="1"/>
      <c r="H45" s="1">
        <f>SUM(OSRRefH22_7x_0)</f>
        <v>0</v>
      </c>
      <c r="I45" s="1"/>
      <c r="J45" s="5">
        <f t="shared" si="17"/>
        <v>0</v>
      </c>
      <c r="K45" s="1"/>
      <c r="L45" s="1">
        <f t="shared" si="18"/>
        <v>0</v>
      </c>
      <c r="M45" s="1"/>
      <c r="N45" s="5">
        <f t="shared" si="19"/>
        <v>0</v>
      </c>
      <c r="O45" s="13"/>
      <c r="P45" s="1">
        <f>SUM(OSRRefP22_7x_0)</f>
        <v>166.54</v>
      </c>
      <c r="Q45" s="1"/>
      <c r="R45" s="5">
        <f t="shared" si="20"/>
        <v>0</v>
      </c>
      <c r="S45" s="1"/>
      <c r="T45" s="1">
        <f>SUM(OSRRefT22_7x_0)</f>
        <v>700</v>
      </c>
      <c r="U45" s="1"/>
      <c r="V45" s="5">
        <f t="shared" si="21"/>
        <v>0</v>
      </c>
      <c r="W45" s="1"/>
      <c r="X45" s="1">
        <f t="shared" si="22"/>
        <v>-533.46</v>
      </c>
      <c r="Y45" s="1"/>
      <c r="Z45" s="5">
        <f t="shared" si="23"/>
        <v>-0.76208571428571437</v>
      </c>
    </row>
    <row r="46" spans="1:26" s="24" customFormat="1" hidden="1" outlineLevel="2" x14ac:dyDescent="0.25">
      <c r="A46" s="25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1"/>
      <c r="P46" s="6">
        <v>166.54</v>
      </c>
      <c r="Q46" s="2"/>
      <c r="R46" s="7">
        <f t="shared" si="20"/>
        <v>0</v>
      </c>
      <c r="S46" s="2"/>
      <c r="T46" s="6">
        <v>700</v>
      </c>
      <c r="U46" s="2"/>
      <c r="V46" s="7">
        <f t="shared" si="21"/>
        <v>0</v>
      </c>
      <c r="W46" s="2"/>
      <c r="X46" s="6">
        <f t="shared" si="22"/>
        <v>-533.46</v>
      </c>
      <c r="Y46" s="2"/>
      <c r="Z46" s="7">
        <f t="shared" si="23"/>
        <v>-0.76208571428571437</v>
      </c>
    </row>
    <row r="47" spans="1:26" s="26" customFormat="1" outlineLevel="1" collapsed="1" x14ac:dyDescent="0.25">
      <c r="A47" s="27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SUM(OSRRefD22_8x_0)</f>
        <v>65.47</v>
      </c>
      <c r="E47" s="1"/>
      <c r="F47" s="5">
        <f t="shared" si="16"/>
        <v>0</v>
      </c>
      <c r="G47" s="1"/>
      <c r="H47" s="1">
        <f>SUM(OSRRefH22_8x_0)</f>
        <v>65.47</v>
      </c>
      <c r="I47" s="1"/>
      <c r="J47" s="5">
        <f t="shared" si="17"/>
        <v>0</v>
      </c>
      <c r="K47" s="1"/>
      <c r="L47" s="1">
        <f t="shared" si="18"/>
        <v>0</v>
      </c>
      <c r="M47" s="1"/>
      <c r="N47" s="5">
        <f t="shared" si="19"/>
        <v>0</v>
      </c>
      <c r="O47" s="13"/>
      <c r="P47" s="1">
        <f>SUM(OSRRefP22_8x_0)</f>
        <v>327.35000000000002</v>
      </c>
      <c r="Q47" s="1"/>
      <c r="R47" s="5">
        <f t="shared" si="20"/>
        <v>0</v>
      </c>
      <c r="S47" s="1"/>
      <c r="T47" s="1">
        <f>SUM(OSRRefT22_8x_0)</f>
        <v>327.35000000000002</v>
      </c>
      <c r="U47" s="1"/>
      <c r="V47" s="5">
        <f t="shared" si="21"/>
        <v>0</v>
      </c>
      <c r="W47" s="1"/>
      <c r="X47" s="1">
        <f t="shared" si="22"/>
        <v>0</v>
      </c>
      <c r="Y47" s="1"/>
      <c r="Z47" s="5">
        <f t="shared" si="23"/>
        <v>0</v>
      </c>
    </row>
    <row r="48" spans="1:26" s="24" customFormat="1" hidden="1" outlineLevel="2" x14ac:dyDescent="0.25">
      <c r="A48" s="25"/>
      <c r="B48" s="11" t="str">
        <f>CONCATENATE("          ", "6314", " - ", "LIABILITY INSURANCE")</f>
        <v xml:space="preserve">          6314 - LIABILITY INSURANCE</v>
      </c>
      <c r="C48" s="11"/>
      <c r="D48" s="6">
        <v>65.47</v>
      </c>
      <c r="E48" s="2"/>
      <c r="F48" s="7">
        <f t="shared" si="16"/>
        <v>0</v>
      </c>
      <c r="G48" s="2"/>
      <c r="H48" s="6">
        <v>65.47</v>
      </c>
      <c r="I48" s="2"/>
      <c r="J48" s="7">
        <f t="shared" si="17"/>
        <v>0</v>
      </c>
      <c r="K48" s="2"/>
      <c r="L48" s="6">
        <f t="shared" si="18"/>
        <v>0</v>
      </c>
      <c r="M48" s="2"/>
      <c r="N48" s="7">
        <f t="shared" si="19"/>
        <v>0</v>
      </c>
      <c r="O48" s="11"/>
      <c r="P48" s="6">
        <v>327.35000000000002</v>
      </c>
      <c r="Q48" s="2"/>
      <c r="R48" s="7">
        <f t="shared" si="20"/>
        <v>0</v>
      </c>
      <c r="S48" s="2"/>
      <c r="T48" s="6">
        <v>327.35000000000002</v>
      </c>
      <c r="U48" s="2"/>
      <c r="V48" s="7">
        <f t="shared" si="21"/>
        <v>0</v>
      </c>
      <c r="W48" s="2"/>
      <c r="X48" s="6">
        <f t="shared" si="22"/>
        <v>0</v>
      </c>
      <c r="Y48" s="2"/>
      <c r="Z48" s="7">
        <f t="shared" si="23"/>
        <v>0</v>
      </c>
    </row>
    <row r="49" spans="1:26" s="26" customFormat="1" outlineLevel="1" collapsed="1" x14ac:dyDescent="0.25">
      <c r="A49" s="27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SUM(OSRRefD22_9x_0)</f>
        <v>131.37</v>
      </c>
      <c r="E49" s="1"/>
      <c r="F49" s="5">
        <f t="shared" si="16"/>
        <v>0</v>
      </c>
      <c r="G49" s="1"/>
      <c r="H49" s="1">
        <f>SUM(OSRRefH22_9x_0)</f>
        <v>455.91</v>
      </c>
      <c r="I49" s="1"/>
      <c r="J49" s="5">
        <f t="shared" si="17"/>
        <v>0</v>
      </c>
      <c r="K49" s="1"/>
      <c r="L49" s="1">
        <f t="shared" si="18"/>
        <v>-324.54000000000002</v>
      </c>
      <c r="M49" s="1"/>
      <c r="N49" s="5">
        <f t="shared" si="19"/>
        <v>-0.71185102322826876</v>
      </c>
      <c r="O49" s="13"/>
      <c r="P49" s="1">
        <f>SUM(OSRRefP22_9x_0)</f>
        <v>4802.58</v>
      </c>
      <c r="Q49" s="1"/>
      <c r="R49" s="5">
        <f t="shared" si="20"/>
        <v>0</v>
      </c>
      <c r="S49" s="1"/>
      <c r="T49" s="1">
        <f>SUM(OSRRefT22_9x_0)</f>
        <v>54688.09</v>
      </c>
      <c r="U49" s="1"/>
      <c r="V49" s="5">
        <f t="shared" si="21"/>
        <v>0</v>
      </c>
      <c r="W49" s="1"/>
      <c r="X49" s="1">
        <f t="shared" si="22"/>
        <v>-49885.509999999995</v>
      </c>
      <c r="Y49" s="1"/>
      <c r="Z49" s="5">
        <f t="shared" si="23"/>
        <v>-0.91218234171279333</v>
      </c>
    </row>
    <row r="50" spans="1:26" s="24" customFormat="1" hidden="1" outlineLevel="2" x14ac:dyDescent="0.25">
      <c r="A50" s="25"/>
      <c r="B50" s="11" t="str">
        <f>CONCATENATE("          ", "6334", " - ", "LEGAL COUNCIL EXPENSE")</f>
        <v xml:space="preserve">          6334 - LEGAL COUNCIL EXPENSE</v>
      </c>
      <c r="C50" s="11"/>
      <c r="D50" s="6"/>
      <c r="E50" s="2"/>
      <c r="F50" s="7">
        <f t="shared" si="16"/>
        <v>0</v>
      </c>
      <c r="G50" s="2"/>
      <c r="H50" s="6">
        <v>140</v>
      </c>
      <c r="I50" s="2"/>
      <c r="J50" s="7">
        <f t="shared" si="17"/>
        <v>0</v>
      </c>
      <c r="K50" s="2"/>
      <c r="L50" s="6">
        <f t="shared" si="18"/>
        <v>-140</v>
      </c>
      <c r="M50" s="2"/>
      <c r="N50" s="7">
        <f t="shared" si="19"/>
        <v>-1</v>
      </c>
      <c r="O50" s="11"/>
      <c r="P50" s="6">
        <v>385</v>
      </c>
      <c r="Q50" s="2"/>
      <c r="R50" s="7">
        <f t="shared" si="20"/>
        <v>0</v>
      </c>
      <c r="S50" s="2"/>
      <c r="T50" s="6">
        <v>38010</v>
      </c>
      <c r="U50" s="2"/>
      <c r="V50" s="7">
        <f t="shared" si="21"/>
        <v>0</v>
      </c>
      <c r="W50" s="2"/>
      <c r="X50" s="6">
        <f t="shared" si="22"/>
        <v>-37625</v>
      </c>
      <c r="Y50" s="2"/>
      <c r="Z50" s="7">
        <f t="shared" si="23"/>
        <v>-0.9898710865561694</v>
      </c>
    </row>
    <row r="51" spans="1:26" s="24" customFormat="1" hidden="1" outlineLevel="2" x14ac:dyDescent="0.25">
      <c r="A51" s="25"/>
      <c r="B51" s="11" t="str">
        <f>CONCATENATE("          ", "6336", " - ", "PROFESSIONAL SERVICES")</f>
        <v xml:space="preserve">          6336 - PROFESSIONAL SERVICES</v>
      </c>
      <c r="C51" s="11"/>
      <c r="D51" s="6">
        <v>131.37</v>
      </c>
      <c r="E51" s="2"/>
      <c r="F51" s="7">
        <f t="shared" si="16"/>
        <v>0</v>
      </c>
      <c r="G51" s="2"/>
      <c r="H51" s="6">
        <v>315.91000000000003</v>
      </c>
      <c r="I51" s="2"/>
      <c r="J51" s="7">
        <f t="shared" si="17"/>
        <v>0</v>
      </c>
      <c r="K51" s="2"/>
      <c r="L51" s="6">
        <f t="shared" si="18"/>
        <v>-184.54000000000002</v>
      </c>
      <c r="M51" s="2"/>
      <c r="N51" s="7">
        <f t="shared" si="19"/>
        <v>-0.58415371466556931</v>
      </c>
      <c r="O51" s="11"/>
      <c r="P51" s="6">
        <v>4417.58</v>
      </c>
      <c r="Q51" s="2"/>
      <c r="R51" s="7">
        <f t="shared" si="20"/>
        <v>0</v>
      </c>
      <c r="S51" s="2"/>
      <c r="T51" s="6">
        <v>16678.09</v>
      </c>
      <c r="U51" s="2"/>
      <c r="V51" s="7">
        <f t="shared" si="21"/>
        <v>0</v>
      </c>
      <c r="W51" s="2"/>
      <c r="X51" s="6">
        <f t="shared" si="22"/>
        <v>-12260.51</v>
      </c>
      <c r="Y51" s="2"/>
      <c r="Z51" s="7">
        <f t="shared" si="23"/>
        <v>-0.73512674412957357</v>
      </c>
    </row>
    <row r="52" spans="1:26" s="26" customFormat="1" outlineLevel="1" collapsed="1" x14ac:dyDescent="0.25">
      <c r="A52" s="27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SUM(OSRRefD22_10x_0)</f>
        <v>4215.55</v>
      </c>
      <c r="E52" s="1"/>
      <c r="F52" s="5">
        <f t="shared" ref="F52:F54" si="24">IF(D$12=0,0,D52/D$12)</f>
        <v>0</v>
      </c>
      <c r="G52" s="1"/>
      <c r="H52" s="1">
        <f>SUM(OSRRefH22_10x_0)</f>
        <v>13504.189999999999</v>
      </c>
      <c r="I52" s="1"/>
      <c r="J52" s="5">
        <f t="shared" ref="J52:J54" si="25">IF(H$12=0,0,H52/H$12)</f>
        <v>0</v>
      </c>
      <c r="K52" s="1"/>
      <c r="L52" s="1">
        <f t="shared" ref="L52:L54" si="26">+D52-H52</f>
        <v>-9288.64</v>
      </c>
      <c r="M52" s="1"/>
      <c r="N52" s="5">
        <f t="shared" ref="N52:N54" si="27">IF(H52=0,0,L52/H52)</f>
        <v>-0.68783392413761957</v>
      </c>
      <c r="O52" s="13"/>
      <c r="P52" s="1">
        <f>SUM(OSRRefP22_10x_0)</f>
        <v>20153.61</v>
      </c>
      <c r="Q52" s="1"/>
      <c r="R52" s="5">
        <f t="shared" ref="R52:R54" si="28">IF(P$12=0,0,P52/P$12)</f>
        <v>0</v>
      </c>
      <c r="S52" s="1"/>
      <c r="T52" s="1">
        <f>SUM(OSRRefT22_10x_0)</f>
        <v>58065.46</v>
      </c>
      <c r="U52" s="1"/>
      <c r="V52" s="5">
        <f t="shared" ref="V52:V54" si="29">IF(T$12=0,0,T52/T$12)</f>
        <v>0</v>
      </c>
      <c r="W52" s="1"/>
      <c r="X52" s="1">
        <f t="shared" ref="X52:X54" si="30">+P52-T52</f>
        <v>-37911.85</v>
      </c>
      <c r="Y52" s="1"/>
      <c r="Z52" s="5">
        <f t="shared" ref="Z52:Z54" si="31">IF(T52=0,0,X52/T52)</f>
        <v>-0.6529156920482504</v>
      </c>
    </row>
    <row r="53" spans="1:26" s="24" customFormat="1" hidden="1" outlineLevel="2" x14ac:dyDescent="0.25">
      <c r="A53" s="25"/>
      <c r="B53" s="11" t="str">
        <f>CONCATENATE("          ", "6371", " - ", "COMPUTER SOFTWARE MAINTENANCE")</f>
        <v xml:space="preserve">          6371 - COMPUTER SOFTWARE MAINTENANCE</v>
      </c>
      <c r="C53" s="11"/>
      <c r="D53" s="6">
        <v>4157.46</v>
      </c>
      <c r="E53" s="2"/>
      <c r="F53" s="7">
        <f t="shared" si="24"/>
        <v>0</v>
      </c>
      <c r="G53" s="2"/>
      <c r="H53" s="6">
        <v>13274.73</v>
      </c>
      <c r="I53" s="2"/>
      <c r="J53" s="7">
        <f t="shared" si="25"/>
        <v>0</v>
      </c>
      <c r="K53" s="2"/>
      <c r="L53" s="6">
        <f t="shared" si="26"/>
        <v>-9117.27</v>
      </c>
      <c r="M53" s="2"/>
      <c r="N53" s="7">
        <f t="shared" si="27"/>
        <v>-0.68681396909767667</v>
      </c>
      <c r="O53" s="11"/>
      <c r="P53" s="6">
        <v>20095.52</v>
      </c>
      <c r="Q53" s="2"/>
      <c r="R53" s="7">
        <f t="shared" si="28"/>
        <v>0</v>
      </c>
      <c r="S53" s="2"/>
      <c r="T53" s="6">
        <v>57782.54</v>
      </c>
      <c r="U53" s="2"/>
      <c r="V53" s="7">
        <f t="shared" si="29"/>
        <v>0</v>
      </c>
      <c r="W53" s="2"/>
      <c r="X53" s="6">
        <f t="shared" si="30"/>
        <v>-37687.020000000004</v>
      </c>
      <c r="Y53" s="2"/>
      <c r="Z53" s="7">
        <f t="shared" si="31"/>
        <v>-0.65222158804372399</v>
      </c>
    </row>
    <row r="54" spans="1:26" s="24" customFormat="1" hidden="1" outlineLevel="2" x14ac:dyDescent="0.25">
      <c r="A54" s="25"/>
      <c r="B54" s="11" t="str">
        <f>CONCATENATE("          ", "6373", " - ", "MAINTENANCE CONTRACTS")</f>
        <v xml:space="preserve">          6373 - MAINTENANCE CONTRACTS</v>
      </c>
      <c r="C54" s="11"/>
      <c r="D54" s="6">
        <v>58.09</v>
      </c>
      <c r="E54" s="2"/>
      <c r="F54" s="7">
        <f t="shared" si="24"/>
        <v>0</v>
      </c>
      <c r="G54" s="2"/>
      <c r="H54" s="6">
        <v>229.46</v>
      </c>
      <c r="I54" s="2"/>
      <c r="J54" s="7">
        <f t="shared" si="25"/>
        <v>0</v>
      </c>
      <c r="K54" s="2"/>
      <c r="L54" s="6">
        <f t="shared" si="26"/>
        <v>-171.37</v>
      </c>
      <c r="M54" s="2"/>
      <c r="N54" s="7">
        <f t="shared" si="27"/>
        <v>-0.74684040791423345</v>
      </c>
      <c r="O54" s="11"/>
      <c r="P54" s="6">
        <v>58.09</v>
      </c>
      <c r="Q54" s="2"/>
      <c r="R54" s="7">
        <f t="shared" si="28"/>
        <v>0</v>
      </c>
      <c r="S54" s="2"/>
      <c r="T54" s="6">
        <v>282.92</v>
      </c>
      <c r="U54" s="2"/>
      <c r="V54" s="7">
        <f t="shared" si="29"/>
        <v>0</v>
      </c>
      <c r="W54" s="2"/>
      <c r="X54" s="6">
        <f t="shared" si="30"/>
        <v>-224.83</v>
      </c>
      <c r="Y54" s="2"/>
      <c r="Z54" s="7">
        <f t="shared" si="31"/>
        <v>-0.79467694047787363</v>
      </c>
    </row>
    <row r="55" spans="1:26" s="26" customFormat="1" outlineLevel="1" collapsed="1" x14ac:dyDescent="0.25">
      <c r="A55" s="27"/>
      <c r="B55" s="13" t="str">
        <f>CONCATENATE("     ","Subscriptions &amp; Dues                              ")</f>
        <v xml:space="preserve">     Subscriptions &amp; Dues                              </v>
      </c>
      <c r="C55" s="13"/>
      <c r="D55" s="1">
        <f>SUM(OSRRefD22_11x_0)</f>
        <v>0</v>
      </c>
      <c r="E55" s="1"/>
      <c r="F55" s="5">
        <f t="shared" ref="F55:F61" si="32">IF(D$12=0,0,D55/D$12)</f>
        <v>0</v>
      </c>
      <c r="G55" s="1"/>
      <c r="H55" s="1">
        <f>SUM(OSRRefH22_11x_0)</f>
        <v>0</v>
      </c>
      <c r="I55" s="1"/>
      <c r="J55" s="5">
        <f t="shared" ref="J55:J61" si="33">IF(H$12=0,0,H55/H$12)</f>
        <v>0</v>
      </c>
      <c r="K55" s="1"/>
      <c r="L55" s="1">
        <f t="shared" ref="L55:L61" si="34">+D55-H55</f>
        <v>0</v>
      </c>
      <c r="M55" s="1"/>
      <c r="N55" s="5">
        <f t="shared" ref="N55:N61" si="35">IF(H55=0,0,L55/H55)</f>
        <v>0</v>
      </c>
      <c r="O55" s="13"/>
      <c r="P55" s="1">
        <f>SUM(OSRRefP22_11x_0)</f>
        <v>534.99</v>
      </c>
      <c r="Q55" s="1"/>
      <c r="R55" s="5">
        <f t="shared" ref="R55:R61" si="36">IF(P$12=0,0,P55/P$12)</f>
        <v>0</v>
      </c>
      <c r="S55" s="1"/>
      <c r="T55" s="1">
        <f>SUM(OSRRefT22_11x_0)</f>
        <v>587</v>
      </c>
      <c r="U55" s="1"/>
      <c r="V55" s="5">
        <f t="shared" ref="V55:V61" si="37">IF(T$12=0,0,T55/T$12)</f>
        <v>0</v>
      </c>
      <c r="W55" s="1"/>
      <c r="X55" s="1">
        <f t="shared" ref="X55:X61" si="38">+P55-T55</f>
        <v>-52.009999999999991</v>
      </c>
      <c r="Y55" s="1"/>
      <c r="Z55" s="5">
        <f t="shared" ref="Z55:Z61" si="39">IF(T55=0,0,X55/T55)</f>
        <v>-8.8603066439522982E-2</v>
      </c>
    </row>
    <row r="56" spans="1:26" s="24" customFormat="1" hidden="1" outlineLevel="2" x14ac:dyDescent="0.25">
      <c r="A56" s="25"/>
      <c r="B56" s="11" t="str">
        <f>CONCATENATE("          ", "6258", " - ", "MEMBERSHIP DUES")</f>
        <v xml:space="preserve">          6258 - MEMBERSHIP DUES</v>
      </c>
      <c r="C56" s="11"/>
      <c r="D56" s="6"/>
      <c r="E56" s="2"/>
      <c r="F56" s="7">
        <f t="shared" si="32"/>
        <v>0</v>
      </c>
      <c r="G56" s="2"/>
      <c r="H56" s="6"/>
      <c r="I56" s="2"/>
      <c r="J56" s="7">
        <f t="shared" si="33"/>
        <v>0</v>
      </c>
      <c r="K56" s="2"/>
      <c r="L56" s="6">
        <f t="shared" si="34"/>
        <v>0</v>
      </c>
      <c r="M56" s="2"/>
      <c r="N56" s="7">
        <f t="shared" si="35"/>
        <v>0</v>
      </c>
      <c r="O56" s="11"/>
      <c r="P56" s="6">
        <v>534.99</v>
      </c>
      <c r="Q56" s="2"/>
      <c r="R56" s="7">
        <f t="shared" si="36"/>
        <v>0</v>
      </c>
      <c r="S56" s="2"/>
      <c r="T56" s="6">
        <v>587</v>
      </c>
      <c r="U56" s="2"/>
      <c r="V56" s="7">
        <f t="shared" si="37"/>
        <v>0</v>
      </c>
      <c r="W56" s="2"/>
      <c r="X56" s="6">
        <f t="shared" si="38"/>
        <v>-52.009999999999991</v>
      </c>
      <c r="Y56" s="2"/>
      <c r="Z56" s="7">
        <f t="shared" si="39"/>
        <v>-8.8603066439522982E-2</v>
      </c>
    </row>
    <row r="57" spans="1:26" s="26" customFormat="1" outlineLevel="1" collapsed="1" x14ac:dyDescent="0.25">
      <c r="A57" s="27"/>
      <c r="B57" s="13" t="str">
        <f>CONCATENATE("     ","Supplies                                          ")</f>
        <v xml:space="preserve">     Supplies                                          </v>
      </c>
      <c r="C57" s="13"/>
      <c r="D57" s="1">
        <f>SUM(OSRRefD22_12x_0)</f>
        <v>-50.12</v>
      </c>
      <c r="E57" s="1"/>
      <c r="F57" s="5">
        <f t="shared" si="32"/>
        <v>0</v>
      </c>
      <c r="G57" s="1"/>
      <c r="H57" s="1">
        <f>SUM(OSRRefH22_12x_0)</f>
        <v>444.37</v>
      </c>
      <c r="I57" s="1"/>
      <c r="J57" s="5">
        <f t="shared" si="33"/>
        <v>0</v>
      </c>
      <c r="K57" s="1"/>
      <c r="L57" s="1">
        <f t="shared" si="34"/>
        <v>-494.49</v>
      </c>
      <c r="M57" s="1"/>
      <c r="N57" s="5">
        <f t="shared" si="35"/>
        <v>-1.1127888921394333</v>
      </c>
      <c r="O57" s="13"/>
      <c r="P57" s="1">
        <f>SUM(OSRRefP22_12x_0)</f>
        <v>1290.1600000000001</v>
      </c>
      <c r="Q57" s="1"/>
      <c r="R57" s="5">
        <f t="shared" si="36"/>
        <v>0</v>
      </c>
      <c r="S57" s="1"/>
      <c r="T57" s="1">
        <f>SUM(OSRRefT22_12x_0)</f>
        <v>12023.66</v>
      </c>
      <c r="U57" s="1"/>
      <c r="V57" s="5">
        <f t="shared" si="37"/>
        <v>0</v>
      </c>
      <c r="W57" s="1"/>
      <c r="X57" s="1">
        <f t="shared" si="38"/>
        <v>-10733.5</v>
      </c>
      <c r="Y57" s="1"/>
      <c r="Z57" s="5">
        <f t="shared" si="39"/>
        <v>-0.89269822998987003</v>
      </c>
    </row>
    <row r="58" spans="1:26" s="24" customFormat="1" hidden="1" outlineLevel="2" x14ac:dyDescent="0.25">
      <c r="A58" s="25"/>
      <c r="B58" s="11" t="str">
        <f>CONCATENATE("          ", "6235", " - ", "COVID-19 EXPENSES")</f>
        <v xml:space="preserve">          6235 - COVID-19 EXPENSES</v>
      </c>
      <c r="C58" s="11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1"/>
      <c r="P58" s="6">
        <v>210.58</v>
      </c>
      <c r="Q58" s="2"/>
      <c r="R58" s="7">
        <f t="shared" si="36"/>
        <v>0</v>
      </c>
      <c r="S58" s="2"/>
      <c r="T58" s="6"/>
      <c r="U58" s="2"/>
      <c r="V58" s="7">
        <f t="shared" si="37"/>
        <v>0</v>
      </c>
      <c r="W58" s="2"/>
      <c r="X58" s="6">
        <f t="shared" si="38"/>
        <v>210.58</v>
      </c>
      <c r="Y58" s="2"/>
      <c r="Z58" s="7">
        <f t="shared" si="39"/>
        <v>0</v>
      </c>
    </row>
    <row r="59" spans="1:26" s="24" customFormat="1" hidden="1" outlineLevel="2" x14ac:dyDescent="0.25">
      <c r="A59" s="25"/>
      <c r="B59" s="11" t="str">
        <f>CONCATENATE("          ", "6241", " - ", "OFFICE EXPENSE")</f>
        <v xml:space="preserve">          6241 - OFFICE EXPENSE</v>
      </c>
      <c r="C59" s="11"/>
      <c r="D59" s="6">
        <v>-50.12</v>
      </c>
      <c r="E59" s="2"/>
      <c r="F59" s="7">
        <f t="shared" si="32"/>
        <v>0</v>
      </c>
      <c r="G59" s="2"/>
      <c r="H59" s="6">
        <v>312.51</v>
      </c>
      <c r="I59" s="2"/>
      <c r="J59" s="7">
        <f t="shared" si="33"/>
        <v>0</v>
      </c>
      <c r="K59" s="2"/>
      <c r="L59" s="6">
        <f t="shared" si="34"/>
        <v>-362.63</v>
      </c>
      <c r="M59" s="2"/>
      <c r="N59" s="7">
        <f t="shared" si="35"/>
        <v>-1.1603788678762279</v>
      </c>
      <c r="O59" s="11"/>
      <c r="P59" s="6">
        <v>856.87</v>
      </c>
      <c r="Q59" s="2"/>
      <c r="R59" s="7">
        <f t="shared" si="36"/>
        <v>0</v>
      </c>
      <c r="S59" s="2"/>
      <c r="T59" s="6">
        <v>8581.9599999999991</v>
      </c>
      <c r="U59" s="2"/>
      <c r="V59" s="7">
        <f t="shared" si="37"/>
        <v>0</v>
      </c>
      <c r="W59" s="2"/>
      <c r="X59" s="6">
        <f t="shared" si="38"/>
        <v>-7725.0899999999992</v>
      </c>
      <c r="Y59" s="2"/>
      <c r="Z59" s="7">
        <f t="shared" si="39"/>
        <v>-0.90015451015851855</v>
      </c>
    </row>
    <row r="60" spans="1:26" s="24" customFormat="1" hidden="1" outlineLevel="2" x14ac:dyDescent="0.25">
      <c r="A60" s="25"/>
      <c r="B60" s="11" t="str">
        <f>CONCATENATE("          ", "6244", " - ", "SAFETY SUPPLY EXPENSE")</f>
        <v xml:space="preserve">          6244 - SAFETY SUPPLY EXPENSE</v>
      </c>
      <c r="C60" s="11"/>
      <c r="D60" s="6"/>
      <c r="E60" s="2"/>
      <c r="F60" s="7">
        <f t="shared" si="32"/>
        <v>0</v>
      </c>
      <c r="G60" s="2"/>
      <c r="H60" s="6">
        <v>100</v>
      </c>
      <c r="I60" s="2"/>
      <c r="J60" s="7">
        <f t="shared" si="33"/>
        <v>0</v>
      </c>
      <c r="K60" s="2"/>
      <c r="L60" s="6">
        <f t="shared" si="34"/>
        <v>-100</v>
      </c>
      <c r="M60" s="2"/>
      <c r="N60" s="7">
        <f t="shared" si="35"/>
        <v>-1</v>
      </c>
      <c r="O60" s="11"/>
      <c r="P60" s="6">
        <v>222.71</v>
      </c>
      <c r="Q60" s="2"/>
      <c r="R60" s="7">
        <f t="shared" si="36"/>
        <v>0</v>
      </c>
      <c r="S60" s="2"/>
      <c r="T60" s="6">
        <v>1507.33</v>
      </c>
      <c r="U60" s="2"/>
      <c r="V60" s="7">
        <f t="shared" si="37"/>
        <v>0</v>
      </c>
      <c r="W60" s="2"/>
      <c r="X60" s="6">
        <f t="shared" si="38"/>
        <v>-1284.6199999999999</v>
      </c>
      <c r="Y60" s="2"/>
      <c r="Z60" s="7">
        <f t="shared" si="39"/>
        <v>-0.85224867812622318</v>
      </c>
    </row>
    <row r="61" spans="1:26" s="24" customFormat="1" hidden="1" outlineLevel="2" x14ac:dyDescent="0.25">
      <c r="A61" s="25"/>
      <c r="B61" s="11" t="str">
        <f>CONCATENATE("          ", "6245", " - ", "PRINTING")</f>
        <v xml:space="preserve">          6245 - PRINTING</v>
      </c>
      <c r="C61" s="11"/>
      <c r="D61" s="6"/>
      <c r="E61" s="2"/>
      <c r="F61" s="7">
        <f t="shared" si="32"/>
        <v>0</v>
      </c>
      <c r="G61" s="2"/>
      <c r="H61" s="6">
        <v>31.86</v>
      </c>
      <c r="I61" s="2"/>
      <c r="J61" s="7">
        <f t="shared" si="33"/>
        <v>0</v>
      </c>
      <c r="K61" s="2"/>
      <c r="L61" s="6">
        <f t="shared" si="34"/>
        <v>-31.86</v>
      </c>
      <c r="M61" s="2"/>
      <c r="N61" s="7">
        <f t="shared" si="35"/>
        <v>-1</v>
      </c>
      <c r="O61" s="11"/>
      <c r="P61" s="6"/>
      <c r="Q61" s="2"/>
      <c r="R61" s="7">
        <f t="shared" si="36"/>
        <v>0</v>
      </c>
      <c r="S61" s="2"/>
      <c r="T61" s="6">
        <v>1934.37</v>
      </c>
      <c r="U61" s="2"/>
      <c r="V61" s="7">
        <f t="shared" si="37"/>
        <v>0</v>
      </c>
      <c r="W61" s="2"/>
      <c r="X61" s="6">
        <f t="shared" si="38"/>
        <v>-1934.37</v>
      </c>
      <c r="Y61" s="2"/>
      <c r="Z61" s="7">
        <f t="shared" si="39"/>
        <v>-1</v>
      </c>
    </row>
    <row r="62" spans="1:26" s="26" customFormat="1" outlineLevel="1" collapsed="1" x14ac:dyDescent="0.25">
      <c r="A62" s="27"/>
      <c r="B62" s="13" t="str">
        <f>CONCATENATE("     ","Telephone/Data Lines                              ")</f>
        <v xml:space="preserve">     Telephone/Data Lines                              </v>
      </c>
      <c r="C62" s="13"/>
      <c r="D62" s="1">
        <f>SUM(OSRRefD22_13x_0)</f>
        <v>332.7</v>
      </c>
      <c r="E62" s="1"/>
      <c r="F62" s="5">
        <f t="shared" ref="F62:F67" si="40">IF(D$12=0,0,D62/D$12)</f>
        <v>0</v>
      </c>
      <c r="G62" s="1"/>
      <c r="H62" s="1">
        <f>SUM(OSRRefH22_13x_0)</f>
        <v>325.55</v>
      </c>
      <c r="I62" s="1"/>
      <c r="J62" s="5">
        <f t="shared" ref="J62:J67" si="41">IF(H$12=0,0,H62/H$12)</f>
        <v>0</v>
      </c>
      <c r="K62" s="1"/>
      <c r="L62" s="1">
        <f t="shared" ref="L62:L67" si="42">+D62-H62</f>
        <v>7.1499999999999773</v>
      </c>
      <c r="M62" s="1"/>
      <c r="N62" s="5">
        <f t="shared" ref="N62:N67" si="43">IF(H62=0,0,L62/H62)</f>
        <v>2.1962832130241059E-2</v>
      </c>
      <c r="O62" s="13"/>
      <c r="P62" s="1">
        <f>SUM(OSRRefP22_13x_0)</f>
        <v>1657.05</v>
      </c>
      <c r="Q62" s="1"/>
      <c r="R62" s="5">
        <f t="shared" ref="R62:R67" si="44">IF(P$12=0,0,P62/P$12)</f>
        <v>0</v>
      </c>
      <c r="S62" s="1"/>
      <c r="T62" s="1">
        <f>SUM(OSRRefT22_13x_0)</f>
        <v>1663.4</v>
      </c>
      <c r="U62" s="1"/>
      <c r="V62" s="5">
        <f t="shared" ref="V62:V67" si="45">IF(T$12=0,0,T62/T$12)</f>
        <v>0</v>
      </c>
      <c r="W62" s="1"/>
      <c r="X62" s="1">
        <f t="shared" ref="X62:X67" si="46">+P62-T62</f>
        <v>-6.3500000000001364</v>
      </c>
      <c r="Y62" s="1"/>
      <c r="Z62" s="5">
        <f t="shared" ref="Z62:Z67" si="47">IF(T62=0,0,X62/T62)</f>
        <v>-3.817482265239952E-3</v>
      </c>
    </row>
    <row r="63" spans="1:26" s="24" customFormat="1" hidden="1" outlineLevel="2" x14ac:dyDescent="0.25">
      <c r="A63" s="25"/>
      <c r="B63" s="11" t="str">
        <f>CONCATENATE("          ", "6309", " - ", "TELEPHONE")</f>
        <v xml:space="preserve">          6309 - TELEPHONE</v>
      </c>
      <c r="C63" s="11"/>
      <c r="D63" s="6">
        <v>332.7</v>
      </c>
      <c r="E63" s="2"/>
      <c r="F63" s="7">
        <f t="shared" si="40"/>
        <v>0</v>
      </c>
      <c r="G63" s="2"/>
      <c r="H63" s="6">
        <v>325.55</v>
      </c>
      <c r="I63" s="2"/>
      <c r="J63" s="7">
        <f t="shared" si="41"/>
        <v>0</v>
      </c>
      <c r="K63" s="2"/>
      <c r="L63" s="6">
        <f t="shared" si="42"/>
        <v>7.1499999999999773</v>
      </c>
      <c r="M63" s="2"/>
      <c r="N63" s="7">
        <f t="shared" si="43"/>
        <v>2.1962832130241059E-2</v>
      </c>
      <c r="O63" s="11"/>
      <c r="P63" s="6">
        <v>1657.05</v>
      </c>
      <c r="Q63" s="2"/>
      <c r="R63" s="7">
        <f t="shared" si="44"/>
        <v>0</v>
      </c>
      <c r="S63" s="2"/>
      <c r="T63" s="6">
        <v>1663.4</v>
      </c>
      <c r="U63" s="2"/>
      <c r="V63" s="7">
        <f t="shared" si="45"/>
        <v>0</v>
      </c>
      <c r="W63" s="2"/>
      <c r="X63" s="6">
        <f t="shared" si="46"/>
        <v>-6.3500000000001364</v>
      </c>
      <c r="Y63" s="2"/>
      <c r="Z63" s="7">
        <f t="shared" si="47"/>
        <v>-3.817482265239952E-3</v>
      </c>
    </row>
    <row r="64" spans="1:26" s="26" customFormat="1" outlineLevel="1" collapsed="1" x14ac:dyDescent="0.25">
      <c r="A64" s="27"/>
      <c r="B64" s="13" t="str">
        <f>CONCATENATE("     ","Training                                          ")</f>
        <v xml:space="preserve">     Training                                          </v>
      </c>
      <c r="C64" s="13"/>
      <c r="D64" s="1">
        <f>SUM(OSRRefD22_14x_0)</f>
        <v>0</v>
      </c>
      <c r="E64" s="1"/>
      <c r="F64" s="5">
        <f t="shared" si="40"/>
        <v>0</v>
      </c>
      <c r="G64" s="1"/>
      <c r="H64" s="1">
        <f>SUM(OSRRefH22_14x_0)</f>
        <v>0</v>
      </c>
      <c r="I64" s="1"/>
      <c r="J64" s="5">
        <f t="shared" si="41"/>
        <v>0</v>
      </c>
      <c r="K64" s="1"/>
      <c r="L64" s="1">
        <f t="shared" si="42"/>
        <v>0</v>
      </c>
      <c r="M64" s="1"/>
      <c r="N64" s="5">
        <f t="shared" si="43"/>
        <v>0</v>
      </c>
      <c r="O64" s="13"/>
      <c r="P64" s="1">
        <f>SUM(OSRRefP22_14x_0)</f>
        <v>-97</v>
      </c>
      <c r="Q64" s="1"/>
      <c r="R64" s="5">
        <f t="shared" si="44"/>
        <v>0</v>
      </c>
      <c r="S64" s="1"/>
      <c r="T64" s="1">
        <f>SUM(OSRRefT22_14x_0)</f>
        <v>5314.98</v>
      </c>
      <c r="U64" s="1"/>
      <c r="V64" s="5">
        <f t="shared" si="45"/>
        <v>0</v>
      </c>
      <c r="W64" s="1"/>
      <c r="X64" s="1">
        <f t="shared" si="46"/>
        <v>-5411.98</v>
      </c>
      <c r="Y64" s="1"/>
      <c r="Z64" s="5">
        <f t="shared" si="47"/>
        <v>-1.0182503038581519</v>
      </c>
    </row>
    <row r="65" spans="1:26" s="24" customFormat="1" hidden="1" outlineLevel="2" x14ac:dyDescent="0.25">
      <c r="A65" s="25"/>
      <c r="B65" s="11" t="str">
        <f>CONCATENATE("          ", "6376", " - ", "TRAINING")</f>
        <v xml:space="preserve">          6376 - TRAINING</v>
      </c>
      <c r="C65" s="11"/>
      <c r="D65" s="6"/>
      <c r="E65" s="2"/>
      <c r="F65" s="7">
        <f t="shared" si="40"/>
        <v>0</v>
      </c>
      <c r="G65" s="2"/>
      <c r="H65" s="6"/>
      <c r="I65" s="2"/>
      <c r="J65" s="7">
        <f t="shared" si="41"/>
        <v>0</v>
      </c>
      <c r="K65" s="2"/>
      <c r="L65" s="6">
        <f t="shared" si="42"/>
        <v>0</v>
      </c>
      <c r="M65" s="2"/>
      <c r="N65" s="7">
        <f t="shared" si="43"/>
        <v>0</v>
      </c>
      <c r="O65" s="11"/>
      <c r="P65" s="6">
        <v>-97</v>
      </c>
      <c r="Q65" s="2"/>
      <c r="R65" s="7">
        <f t="shared" si="44"/>
        <v>0</v>
      </c>
      <c r="S65" s="2"/>
      <c r="T65" s="6">
        <v>5314.98</v>
      </c>
      <c r="U65" s="2"/>
      <c r="V65" s="7">
        <f t="shared" si="45"/>
        <v>0</v>
      </c>
      <c r="W65" s="2"/>
      <c r="X65" s="6">
        <f t="shared" si="46"/>
        <v>-5411.98</v>
      </c>
      <c r="Y65" s="2"/>
      <c r="Z65" s="7">
        <f t="shared" si="47"/>
        <v>-1.0182503038581519</v>
      </c>
    </row>
    <row r="66" spans="1:26" s="26" customFormat="1" outlineLevel="1" collapsed="1" x14ac:dyDescent="0.25">
      <c r="A66" s="27"/>
      <c r="B66" s="13" t="str">
        <f>CONCATENATE("     ","Travel                                            ")</f>
        <v xml:space="preserve">     Travel                                            </v>
      </c>
      <c r="C66" s="13"/>
      <c r="D66" s="1">
        <f>SUM(OSRRefD22_15x_0)</f>
        <v>720</v>
      </c>
      <c r="E66" s="1"/>
      <c r="F66" s="5">
        <f t="shared" si="40"/>
        <v>0</v>
      </c>
      <c r="G66" s="1"/>
      <c r="H66" s="1">
        <f>SUM(OSRRefH22_15x_0)</f>
        <v>2051.13</v>
      </c>
      <c r="I66" s="1"/>
      <c r="J66" s="5">
        <f t="shared" si="41"/>
        <v>0</v>
      </c>
      <c r="K66" s="1"/>
      <c r="L66" s="1">
        <f t="shared" si="42"/>
        <v>-1331.13</v>
      </c>
      <c r="M66" s="1"/>
      <c r="N66" s="5">
        <f t="shared" si="43"/>
        <v>-0.64897398019628205</v>
      </c>
      <c r="O66" s="13"/>
      <c r="P66" s="1">
        <f>SUM(OSRRefP22_15x_0)</f>
        <v>720</v>
      </c>
      <c r="Q66" s="1"/>
      <c r="R66" s="5">
        <f t="shared" si="44"/>
        <v>0</v>
      </c>
      <c r="S66" s="1"/>
      <c r="T66" s="1">
        <f>SUM(OSRRefT22_15x_0)</f>
        <v>3487.01</v>
      </c>
      <c r="U66" s="1"/>
      <c r="V66" s="5">
        <f t="shared" si="45"/>
        <v>0</v>
      </c>
      <c r="W66" s="1"/>
      <c r="X66" s="1">
        <f t="shared" si="46"/>
        <v>-2767.01</v>
      </c>
      <c r="Y66" s="1"/>
      <c r="Z66" s="5">
        <f t="shared" si="47"/>
        <v>-0.79351937619909318</v>
      </c>
    </row>
    <row r="67" spans="1:26" s="24" customFormat="1" hidden="1" outlineLevel="2" x14ac:dyDescent="0.25">
      <c r="A67" s="25"/>
      <c r="B67" s="11" t="str">
        <f>CONCATENATE("          ", "6292", " - ", "TRAVEL/CONFERENCE")</f>
        <v xml:space="preserve">          6292 - TRAVEL/CONFERENCE</v>
      </c>
      <c r="C67" s="11"/>
      <c r="D67" s="6">
        <v>720</v>
      </c>
      <c r="E67" s="2"/>
      <c r="F67" s="7">
        <f t="shared" si="40"/>
        <v>0</v>
      </c>
      <c r="G67" s="2"/>
      <c r="H67" s="6">
        <v>2051.13</v>
      </c>
      <c r="I67" s="2"/>
      <c r="J67" s="7">
        <f t="shared" si="41"/>
        <v>0</v>
      </c>
      <c r="K67" s="2"/>
      <c r="L67" s="6">
        <f t="shared" si="42"/>
        <v>-1331.13</v>
      </c>
      <c r="M67" s="2"/>
      <c r="N67" s="7">
        <f t="shared" si="43"/>
        <v>-0.64897398019628205</v>
      </c>
      <c r="O67" s="11"/>
      <c r="P67" s="6">
        <v>720</v>
      </c>
      <c r="Q67" s="2"/>
      <c r="R67" s="7">
        <f t="shared" si="44"/>
        <v>0</v>
      </c>
      <c r="S67" s="2"/>
      <c r="T67" s="6">
        <v>3487.01</v>
      </c>
      <c r="U67" s="2"/>
      <c r="V67" s="7">
        <f t="shared" si="45"/>
        <v>0</v>
      </c>
      <c r="W67" s="2"/>
      <c r="X67" s="6">
        <f t="shared" si="46"/>
        <v>-2767.01</v>
      </c>
      <c r="Y67" s="2"/>
      <c r="Z67" s="7">
        <f t="shared" si="47"/>
        <v>-0.79351937619909318</v>
      </c>
    </row>
    <row r="68" spans="1:26" s="53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9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8" t="s">
        <v>3</v>
      </c>
      <c r="C71" s="28"/>
      <c r="D71" s="20">
        <f>+D16-D18+D69</f>
        <v>-41689.03</v>
      </c>
      <c r="E71" s="14"/>
      <c r="F71" s="22">
        <f>IF(D$12=0,0,D71/D$12)</f>
        <v>0</v>
      </c>
      <c r="G71" s="14"/>
      <c r="H71" s="20">
        <f>+H16-H18+H69</f>
        <v>-50493.69000000001</v>
      </c>
      <c r="I71" s="14"/>
      <c r="J71" s="22">
        <f>IF(H$12=0,0,H71/H$12)</f>
        <v>0</v>
      </c>
      <c r="K71" s="15"/>
      <c r="L71" s="20">
        <f>+D71-H71</f>
        <v>8804.6600000000108</v>
      </c>
      <c r="M71" s="15"/>
      <c r="N71" s="22">
        <f>IF(H71=0,0,L71/H71)</f>
        <v>-0.17437149077439199</v>
      </c>
      <c r="O71" s="29"/>
      <c r="P71" s="20">
        <f>+P16-P18+P69</f>
        <v>-230388.40999999992</v>
      </c>
      <c r="Q71" s="14"/>
      <c r="R71" s="22">
        <f>IF(P$12=0,0,P71/P$12)</f>
        <v>0</v>
      </c>
      <c r="S71" s="14"/>
      <c r="T71" s="20">
        <f>+T16-T18+T69</f>
        <v>-340081.28</v>
      </c>
      <c r="U71" s="14"/>
      <c r="V71" s="22">
        <f>IF(T$12=0,0,T71/T$12)</f>
        <v>0</v>
      </c>
      <c r="W71" s="15"/>
      <c r="X71" s="20">
        <f>+P71-T71</f>
        <v>109692.87000000011</v>
      </c>
      <c r="Y71" s="15"/>
      <c r="Z71" s="22">
        <f>IF(T71=0,0,X71/T71)</f>
        <v>-0.32254898005559174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4</v>
      </c>
      <c r="C75" s="28"/>
      <c r="D75" s="31">
        <f>+D71-D73</f>
        <v>-41689.03</v>
      </c>
      <c r="E75" s="14"/>
      <c r="F75" s="34">
        <f>IF(D$12=0,0,D75/D$12)</f>
        <v>0</v>
      </c>
      <c r="G75" s="14"/>
      <c r="H75" s="31">
        <f>+H71-H73</f>
        <v>-50493.69000000001</v>
      </c>
      <c r="I75" s="14"/>
      <c r="J75" s="34">
        <f>IF(H$12=0,0,H75/H$12)</f>
        <v>0</v>
      </c>
      <c r="K75" s="15"/>
      <c r="L75" s="31">
        <f>D75-H75</f>
        <v>8804.6600000000108</v>
      </c>
      <c r="M75" s="15"/>
      <c r="N75" s="34">
        <f>IF(H75=0,0,L75/H75)</f>
        <v>-0.17437149077439199</v>
      </c>
      <c r="O75" s="29"/>
      <c r="P75" s="31">
        <f>+P71-P73</f>
        <v>-230388.40999999992</v>
      </c>
      <c r="Q75" s="14"/>
      <c r="R75" s="34">
        <f>IF(P$12=0,0,P75/P$12)</f>
        <v>0</v>
      </c>
      <c r="S75" s="14"/>
      <c r="T75" s="31">
        <f>+T71-T73</f>
        <v>-340081.28</v>
      </c>
      <c r="U75" s="14"/>
      <c r="V75" s="34">
        <f>IF(T$12=0,0,T75/T$12)</f>
        <v>0</v>
      </c>
      <c r="W75" s="15"/>
      <c r="X75" s="31">
        <f>P75-T75</f>
        <v>109692.87000000011</v>
      </c>
      <c r="Y75" s="15"/>
      <c r="Z75" s="34">
        <f>IF(T75=0,0,X75/T75)</f>
        <v>-0.32254898005559174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5</v>
      </c>
      <c r="C78" s="28"/>
      <c r="D78" s="32">
        <f>SUM(D75:D77)</f>
        <v>-41689.03</v>
      </c>
      <c r="E78" s="14"/>
      <c r="F78" s="30">
        <f>IF(D$12=0,0,D78/D$12)</f>
        <v>0</v>
      </c>
      <c r="G78" s="14"/>
      <c r="H78" s="32">
        <f>SUM(H75:H77)</f>
        <v>-50493.69000000001</v>
      </c>
      <c r="I78" s="14"/>
      <c r="J78" s="30">
        <f>IF(H$12=0,0,H78/H$12)</f>
        <v>0</v>
      </c>
      <c r="K78" s="15"/>
      <c r="L78" s="32">
        <f>+D78-H78</f>
        <v>8804.6600000000108</v>
      </c>
      <c r="M78" s="15"/>
      <c r="N78" s="30">
        <f>IF(H78=0,0,L78/H78)</f>
        <v>-0.17437149077439199</v>
      </c>
      <c r="O78" s="29"/>
      <c r="P78" s="32">
        <f>SUM(P75:P77)</f>
        <v>-230388.40999999992</v>
      </c>
      <c r="Q78" s="14"/>
      <c r="R78" s="30">
        <f>IF(P$12=0,0,P78/P$12)</f>
        <v>0</v>
      </c>
      <c r="S78" s="14"/>
      <c r="T78" s="32">
        <f>SUM(T75:T77)</f>
        <v>-340081.28</v>
      </c>
      <c r="U78" s="14"/>
      <c r="V78" s="30">
        <f>IF(T$12=0,0,T78/T$12)</f>
        <v>0</v>
      </c>
      <c r="W78" s="15"/>
      <c r="X78" s="32">
        <f>+P78-T78</f>
        <v>109692.87000000011</v>
      </c>
      <c r="Y78" s="15"/>
      <c r="Z78" s="30">
        <f>IF(T78=0,0,X78/T78)</f>
        <v>-0.32254898005559174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54">
        <v>44174.685383761571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56" t="s">
        <v>313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61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","204", " - ", "Information Technology")</f>
        <v>Department 204 - Information Technology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50583.669999999991</v>
      </c>
      <c r="E18" s="21"/>
      <c r="F18" s="35">
        <f t="shared" ref="F18:F28" si="0">IF(D$12=0,0,D18/D$12)</f>
        <v>0</v>
      </c>
      <c r="G18" s="21"/>
      <c r="H18" s="21">
        <f>SUM(OSRRefH22x_0)</f>
        <v>53277.119999999995</v>
      </c>
      <c r="I18" s="21"/>
      <c r="J18" s="35">
        <f t="shared" ref="J18:J28" si="1">IF(H$12=0,0,H18/H$12)</f>
        <v>0</v>
      </c>
      <c r="K18" s="4"/>
      <c r="L18" s="21">
        <f t="shared" ref="L18:L28" si="2">+D18-H18</f>
        <v>-2693.4500000000044</v>
      </c>
      <c r="M18" s="4"/>
      <c r="N18" s="35">
        <f t="shared" ref="N18:N28" si="3">IF(H18=0,0,L18/H18)</f>
        <v>-5.0555472968508895E-2</v>
      </c>
      <c r="O18" s="10"/>
      <c r="P18" s="21">
        <f>SUM(OSRRefP22x_0)</f>
        <v>261691.25000000003</v>
      </c>
      <c r="Q18" s="21"/>
      <c r="R18" s="35">
        <f t="shared" ref="R18:R28" si="4">IF(P$12=0,0,P18/P$12)</f>
        <v>0</v>
      </c>
      <c r="S18" s="21"/>
      <c r="T18" s="21">
        <f>SUM(OSRRefT22x_0)</f>
        <v>306106.23000000004</v>
      </c>
      <c r="U18" s="21"/>
      <c r="V18" s="35">
        <f t="shared" ref="V18:V28" si="5">IF(T$12=0,0,T18/T$12)</f>
        <v>0</v>
      </c>
      <c r="W18" s="4"/>
      <c r="X18" s="21">
        <f t="shared" ref="X18:X28" si="6">+P18-T18</f>
        <v>-44414.98000000001</v>
      </c>
      <c r="Y18" s="4"/>
      <c r="Z18" s="35">
        <f t="shared" ref="Z18:Z28" si="7">IF(T18=0,0,X18/T18)</f>
        <v>-0.1450966221759028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13374.209999999997</v>
      </c>
      <c r="E19" s="1"/>
      <c r="F19" s="5">
        <f t="shared" si="0"/>
        <v>0</v>
      </c>
      <c r="G19" s="1"/>
      <c r="H19" s="1">
        <f>SUM(OSRRefH22_0x_0)</f>
        <v>12019.230000000001</v>
      </c>
      <c r="I19" s="1"/>
      <c r="J19" s="5">
        <f t="shared" si="1"/>
        <v>0</v>
      </c>
      <c r="K19" s="1"/>
      <c r="L19" s="1">
        <f t="shared" si="2"/>
        <v>1354.9799999999959</v>
      </c>
      <c r="M19" s="1"/>
      <c r="N19" s="5">
        <f t="shared" si="3"/>
        <v>0.11273434321499762</v>
      </c>
      <c r="O19" s="13"/>
      <c r="P19" s="1">
        <f>SUM(OSRRefP22_0x_0)</f>
        <v>65802.239999999991</v>
      </c>
      <c r="Q19" s="1"/>
      <c r="R19" s="5">
        <f t="shared" si="4"/>
        <v>0</v>
      </c>
      <c r="S19" s="1"/>
      <c r="T19" s="1">
        <f>SUM(OSRRefT22_0x_0)</f>
        <v>65924.899999999994</v>
      </c>
      <c r="U19" s="1"/>
      <c r="V19" s="5">
        <f t="shared" si="5"/>
        <v>0</v>
      </c>
      <c r="W19" s="1"/>
      <c r="X19" s="1">
        <f t="shared" si="6"/>
        <v>-122.66000000000349</v>
      </c>
      <c r="Y19" s="1"/>
      <c r="Z19" s="5">
        <f t="shared" si="7"/>
        <v>-1.8606019880197543E-3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1559.82</v>
      </c>
      <c r="E20" s="2"/>
      <c r="F20" s="7">
        <f t="shared" si="0"/>
        <v>0</v>
      </c>
      <c r="G20" s="2"/>
      <c r="H20" s="6">
        <v>1809.12</v>
      </c>
      <c r="I20" s="2"/>
      <c r="J20" s="7">
        <f t="shared" si="1"/>
        <v>0</v>
      </c>
      <c r="K20" s="2"/>
      <c r="L20" s="6">
        <f t="shared" si="2"/>
        <v>-249.29999999999995</v>
      </c>
      <c r="M20" s="2"/>
      <c r="N20" s="7">
        <f t="shared" si="3"/>
        <v>-0.13780180419209337</v>
      </c>
      <c r="O20" s="11"/>
      <c r="P20" s="6">
        <v>9892.2099999999991</v>
      </c>
      <c r="Q20" s="2"/>
      <c r="R20" s="7">
        <f t="shared" si="4"/>
        <v>0</v>
      </c>
      <c r="S20" s="2"/>
      <c r="T20" s="6">
        <v>11353.33</v>
      </c>
      <c r="U20" s="2"/>
      <c r="V20" s="7">
        <f t="shared" si="5"/>
        <v>0</v>
      </c>
      <c r="W20" s="2"/>
      <c r="X20" s="6">
        <f t="shared" si="6"/>
        <v>-1461.1200000000008</v>
      </c>
      <c r="Y20" s="2"/>
      <c r="Z20" s="7">
        <f t="shared" si="7"/>
        <v>-0.12869528147248435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194.42</v>
      </c>
      <c r="E21" s="2"/>
      <c r="F21" s="7">
        <f t="shared" si="0"/>
        <v>0</v>
      </c>
      <c r="G21" s="2"/>
      <c r="H21" s="6">
        <v>87.15</v>
      </c>
      <c r="I21" s="2"/>
      <c r="J21" s="7">
        <f t="shared" si="1"/>
        <v>0</v>
      </c>
      <c r="K21" s="2"/>
      <c r="L21" s="6">
        <f t="shared" si="2"/>
        <v>107.26999999999998</v>
      </c>
      <c r="M21" s="2"/>
      <c r="N21" s="7">
        <f t="shared" si="3"/>
        <v>1.2308663224325873</v>
      </c>
      <c r="O21" s="11"/>
      <c r="P21" s="6">
        <v>479.14</v>
      </c>
      <c r="Q21" s="2"/>
      <c r="R21" s="7">
        <f t="shared" si="4"/>
        <v>0</v>
      </c>
      <c r="S21" s="2"/>
      <c r="T21" s="6">
        <v>333.11</v>
      </c>
      <c r="U21" s="2"/>
      <c r="V21" s="7">
        <f t="shared" si="5"/>
        <v>0</v>
      </c>
      <c r="W21" s="2"/>
      <c r="X21" s="6">
        <f t="shared" si="6"/>
        <v>146.02999999999997</v>
      </c>
      <c r="Y21" s="2"/>
      <c r="Z21" s="7">
        <f t="shared" si="7"/>
        <v>0.43838371709045049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5567.87</v>
      </c>
      <c r="E22" s="2"/>
      <c r="F22" s="7">
        <f t="shared" si="0"/>
        <v>0</v>
      </c>
      <c r="G22" s="2"/>
      <c r="H22" s="6">
        <v>5268.48</v>
      </c>
      <c r="I22" s="2"/>
      <c r="J22" s="7">
        <f t="shared" si="1"/>
        <v>0</v>
      </c>
      <c r="K22" s="2"/>
      <c r="L22" s="6">
        <f t="shared" si="2"/>
        <v>299.39000000000033</v>
      </c>
      <c r="M22" s="2"/>
      <c r="N22" s="7">
        <f t="shared" si="3"/>
        <v>5.6826636904761973E-2</v>
      </c>
      <c r="O22" s="11"/>
      <c r="P22" s="6">
        <v>27839.350000000002</v>
      </c>
      <c r="Q22" s="2"/>
      <c r="R22" s="7">
        <f t="shared" si="4"/>
        <v>0</v>
      </c>
      <c r="S22" s="2"/>
      <c r="T22" s="6">
        <v>25707.3</v>
      </c>
      <c r="U22" s="2"/>
      <c r="V22" s="7">
        <f t="shared" si="5"/>
        <v>0</v>
      </c>
      <c r="W22" s="2"/>
      <c r="X22" s="6">
        <f t="shared" si="6"/>
        <v>2132.0500000000029</v>
      </c>
      <c r="Y22" s="2"/>
      <c r="Z22" s="7">
        <f t="shared" si="7"/>
        <v>8.2935586389858248E-2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114.01</v>
      </c>
      <c r="E23" s="2"/>
      <c r="F23" s="7">
        <f t="shared" si="0"/>
        <v>0</v>
      </c>
      <c r="G23" s="2"/>
      <c r="H23" s="6">
        <v>66.64</v>
      </c>
      <c r="I23" s="2"/>
      <c r="J23" s="7">
        <f t="shared" si="1"/>
        <v>0</v>
      </c>
      <c r="K23" s="2"/>
      <c r="L23" s="6">
        <f t="shared" si="2"/>
        <v>47.370000000000005</v>
      </c>
      <c r="M23" s="2"/>
      <c r="N23" s="7">
        <f t="shared" si="3"/>
        <v>0.71083433373349347</v>
      </c>
      <c r="O23" s="11"/>
      <c r="P23" s="6">
        <v>338.33</v>
      </c>
      <c r="Q23" s="2"/>
      <c r="R23" s="7">
        <f t="shared" si="4"/>
        <v>0</v>
      </c>
      <c r="S23" s="2"/>
      <c r="T23" s="6">
        <v>380.61</v>
      </c>
      <c r="U23" s="2"/>
      <c r="V23" s="7">
        <f t="shared" si="5"/>
        <v>0</v>
      </c>
      <c r="W23" s="2"/>
      <c r="X23" s="6">
        <f t="shared" si="6"/>
        <v>-42.28000000000003</v>
      </c>
      <c r="Y23" s="2"/>
      <c r="Z23" s="7">
        <f t="shared" si="7"/>
        <v>-0.11108483749770114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3316.44</v>
      </c>
      <c r="E24" s="2"/>
      <c r="F24" s="7">
        <f t="shared" si="0"/>
        <v>0</v>
      </c>
      <c r="G24" s="2"/>
      <c r="H24" s="6">
        <v>1339.05</v>
      </c>
      <c r="I24" s="2"/>
      <c r="J24" s="7">
        <f t="shared" si="1"/>
        <v>0</v>
      </c>
      <c r="K24" s="2"/>
      <c r="L24" s="6">
        <f t="shared" si="2"/>
        <v>1977.39</v>
      </c>
      <c r="M24" s="2"/>
      <c r="N24" s="7">
        <f t="shared" si="3"/>
        <v>1.4767111011538032</v>
      </c>
      <c r="O24" s="11"/>
      <c r="P24" s="6">
        <v>11691.88</v>
      </c>
      <c r="Q24" s="2"/>
      <c r="R24" s="7">
        <f t="shared" si="4"/>
        <v>0</v>
      </c>
      <c r="S24" s="2"/>
      <c r="T24" s="6">
        <v>8436.01</v>
      </c>
      <c r="U24" s="2"/>
      <c r="V24" s="7">
        <f t="shared" si="5"/>
        <v>0</v>
      </c>
      <c r="W24" s="2"/>
      <c r="X24" s="6">
        <f t="shared" si="6"/>
        <v>3255.869999999999</v>
      </c>
      <c r="Y24" s="2"/>
      <c r="Z24" s="7">
        <f t="shared" si="7"/>
        <v>0.38594904463128882</v>
      </c>
    </row>
    <row r="25" spans="1:26" s="24" customFormat="1" hidden="1" outlineLevel="2" x14ac:dyDescent="0.25">
      <c r="A25" s="25"/>
      <c r="B25" s="11" t="str">
        <f>CONCATENATE("          ", "6117", " - ", "RETIREMENT STAFF HOURLY")</f>
        <v xml:space="preserve">          6117 - RETIREMENT STAFF HOURLY</v>
      </c>
      <c r="C25" s="11"/>
      <c r="D25" s="6">
        <v>164.4</v>
      </c>
      <c r="E25" s="2"/>
      <c r="F25" s="7">
        <f t="shared" si="0"/>
        <v>0</v>
      </c>
      <c r="G25" s="2"/>
      <c r="H25" s="6">
        <v>510.05</v>
      </c>
      <c r="I25" s="2"/>
      <c r="J25" s="7">
        <f t="shared" si="1"/>
        <v>0</v>
      </c>
      <c r="K25" s="2"/>
      <c r="L25" s="6">
        <f t="shared" si="2"/>
        <v>-345.65</v>
      </c>
      <c r="M25" s="2"/>
      <c r="N25" s="7">
        <f t="shared" si="3"/>
        <v>-0.67767865895500434</v>
      </c>
      <c r="O25" s="11"/>
      <c r="P25" s="6">
        <v>912.28</v>
      </c>
      <c r="Q25" s="2"/>
      <c r="R25" s="7">
        <f t="shared" si="4"/>
        <v>0</v>
      </c>
      <c r="S25" s="2"/>
      <c r="T25" s="6">
        <v>2024.27</v>
      </c>
      <c r="U25" s="2"/>
      <c r="V25" s="7">
        <f t="shared" si="5"/>
        <v>0</v>
      </c>
      <c r="W25" s="2"/>
      <c r="X25" s="6">
        <f t="shared" si="6"/>
        <v>-1111.99</v>
      </c>
      <c r="Y25" s="2"/>
      <c r="Z25" s="7">
        <f t="shared" si="7"/>
        <v>-0.54932889387285289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1409.96</v>
      </c>
      <c r="E26" s="2"/>
      <c r="F26" s="7">
        <f t="shared" si="0"/>
        <v>0</v>
      </c>
      <c r="G26" s="2"/>
      <c r="H26" s="6">
        <v>1408.62</v>
      </c>
      <c r="I26" s="2"/>
      <c r="J26" s="7">
        <f t="shared" si="1"/>
        <v>0</v>
      </c>
      <c r="K26" s="2"/>
      <c r="L26" s="6">
        <f t="shared" si="2"/>
        <v>1.3400000000001455</v>
      </c>
      <c r="M26" s="2"/>
      <c r="N26" s="7">
        <f t="shared" si="3"/>
        <v>9.5128565546431657E-4</v>
      </c>
      <c r="O26" s="11"/>
      <c r="P26" s="6">
        <v>8045.84</v>
      </c>
      <c r="Q26" s="2"/>
      <c r="R26" s="7">
        <f t="shared" si="4"/>
        <v>0</v>
      </c>
      <c r="S26" s="2"/>
      <c r="T26" s="6">
        <v>8762.18</v>
      </c>
      <c r="U26" s="2"/>
      <c r="V26" s="7">
        <f t="shared" si="5"/>
        <v>0</v>
      </c>
      <c r="W26" s="2"/>
      <c r="X26" s="6">
        <f t="shared" si="6"/>
        <v>-716.34000000000015</v>
      </c>
      <c r="Y26" s="2"/>
      <c r="Z26" s="7">
        <f t="shared" si="7"/>
        <v>-8.1753627521918074E-2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921.55</v>
      </c>
      <c r="E27" s="2"/>
      <c r="F27" s="7">
        <f t="shared" si="0"/>
        <v>0</v>
      </c>
      <c r="G27" s="2"/>
      <c r="H27" s="6">
        <v>941.7</v>
      </c>
      <c r="I27" s="2"/>
      <c r="J27" s="7">
        <f t="shared" si="1"/>
        <v>0</v>
      </c>
      <c r="K27" s="2"/>
      <c r="L27" s="6">
        <f t="shared" si="2"/>
        <v>-20.150000000000091</v>
      </c>
      <c r="M27" s="2"/>
      <c r="N27" s="7">
        <f t="shared" si="3"/>
        <v>-2.1397472655835286E-2</v>
      </c>
      <c r="O27" s="11"/>
      <c r="P27" s="6">
        <v>5417.23</v>
      </c>
      <c r="Q27" s="2"/>
      <c r="R27" s="7">
        <f t="shared" si="4"/>
        <v>0</v>
      </c>
      <c r="S27" s="2"/>
      <c r="T27" s="6">
        <v>5864.96</v>
      </c>
      <c r="U27" s="2"/>
      <c r="V27" s="7">
        <f t="shared" si="5"/>
        <v>0</v>
      </c>
      <c r="W27" s="2"/>
      <c r="X27" s="6">
        <f t="shared" si="6"/>
        <v>-447.73000000000047</v>
      </c>
      <c r="Y27" s="2"/>
      <c r="Z27" s="7">
        <f t="shared" si="7"/>
        <v>-7.633982158446101E-2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125.74</v>
      </c>
      <c r="E28" s="2"/>
      <c r="F28" s="7">
        <f t="shared" si="0"/>
        <v>0</v>
      </c>
      <c r="G28" s="2"/>
      <c r="H28" s="6">
        <v>588.41999999999996</v>
      </c>
      <c r="I28" s="2"/>
      <c r="J28" s="7">
        <f t="shared" si="1"/>
        <v>0</v>
      </c>
      <c r="K28" s="2"/>
      <c r="L28" s="6">
        <f t="shared" si="2"/>
        <v>-462.67999999999995</v>
      </c>
      <c r="M28" s="2"/>
      <c r="N28" s="7">
        <f t="shared" si="3"/>
        <v>-0.78630909894293188</v>
      </c>
      <c r="O28" s="11"/>
      <c r="P28" s="6">
        <v>1185.98</v>
      </c>
      <c r="Q28" s="2"/>
      <c r="R28" s="7">
        <f t="shared" si="4"/>
        <v>0</v>
      </c>
      <c r="S28" s="2"/>
      <c r="T28" s="6">
        <v>3063.13</v>
      </c>
      <c r="U28" s="2"/>
      <c r="V28" s="7">
        <f t="shared" si="5"/>
        <v>0</v>
      </c>
      <c r="W28" s="2"/>
      <c r="X28" s="6">
        <f t="shared" si="6"/>
        <v>-1877.15</v>
      </c>
      <c r="Y28" s="2"/>
      <c r="Z28" s="7">
        <f t="shared" si="7"/>
        <v>-0.61282087276739805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17857.12</v>
      </c>
      <c r="E29" s="1"/>
      <c r="F29" s="5">
        <f t="shared" ref="F29:F34" si="8">IF(D$12=0,0,D29/D$12)</f>
        <v>0</v>
      </c>
      <c r="G29" s="1"/>
      <c r="H29" s="1">
        <f>SUM(OSRRefH22_1x_0)</f>
        <v>23404.21</v>
      </c>
      <c r="I29" s="1"/>
      <c r="J29" s="5">
        <f t="shared" ref="J29:J34" si="9">IF(H$12=0,0,H29/H$12)</f>
        <v>0</v>
      </c>
      <c r="K29" s="1"/>
      <c r="L29" s="1">
        <f t="shared" ref="L29:L34" si="10">+D29-H29</f>
        <v>-5547.09</v>
      </c>
      <c r="M29" s="1"/>
      <c r="N29" s="5">
        <f t="shared" ref="N29:N34" si="11">IF(H29=0,0,L29/H29)</f>
        <v>-0.23701248621508697</v>
      </c>
      <c r="O29" s="13"/>
      <c r="P29" s="1">
        <f>SUM(OSRRefP22_1x_0)</f>
        <v>107318.55</v>
      </c>
      <c r="Q29" s="1"/>
      <c r="R29" s="5">
        <f t="shared" ref="R29:R34" si="12">IF(P$12=0,0,P29/P$12)</f>
        <v>0</v>
      </c>
      <c r="S29" s="1"/>
      <c r="T29" s="1">
        <f>SUM(OSRRefT22_1x_0)</f>
        <v>132990.35999999999</v>
      </c>
      <c r="U29" s="1"/>
      <c r="V29" s="5">
        <f t="shared" ref="V29:V34" si="13">IF(T$12=0,0,T29/T$12)</f>
        <v>0</v>
      </c>
      <c r="W29" s="1"/>
      <c r="X29" s="1">
        <f t="shared" ref="X29:X34" si="14">+P29-T29</f>
        <v>-25671.809999999983</v>
      </c>
      <c r="Y29" s="1"/>
      <c r="Z29" s="5">
        <f t="shared" ref="Z29:Z34" si="15">IF(T29=0,0,X29/T29)</f>
        <v>-0.19303511923721378</v>
      </c>
    </row>
    <row r="30" spans="1:26" s="24" customFormat="1" hidden="1" outlineLevel="2" x14ac:dyDescent="0.25">
      <c r="A30" s="25"/>
      <c r="B30" s="11" t="str">
        <f>CONCATENATE("          ", "6002", " - ", "STAFF SALARIES")</f>
        <v xml:space="preserve">          6002 - STAFF SALARIES</v>
      </c>
      <c r="C30" s="11"/>
      <c r="D30" s="6">
        <v>16254.92</v>
      </c>
      <c r="E30" s="2"/>
      <c r="F30" s="7">
        <f t="shared" si="8"/>
        <v>0</v>
      </c>
      <c r="G30" s="2"/>
      <c r="H30" s="6">
        <v>10507.07</v>
      </c>
      <c r="I30" s="2"/>
      <c r="J30" s="7">
        <f t="shared" si="9"/>
        <v>0</v>
      </c>
      <c r="K30" s="2"/>
      <c r="L30" s="6">
        <f t="shared" si="10"/>
        <v>5747.85</v>
      </c>
      <c r="M30" s="2"/>
      <c r="N30" s="7">
        <f t="shared" si="11"/>
        <v>0.54704594144704477</v>
      </c>
      <c r="O30" s="11"/>
      <c r="P30" s="6">
        <v>93105.31</v>
      </c>
      <c r="Q30" s="2"/>
      <c r="R30" s="7">
        <f t="shared" si="12"/>
        <v>0</v>
      </c>
      <c r="S30" s="2"/>
      <c r="T30" s="6">
        <v>62613.799999999996</v>
      </c>
      <c r="U30" s="2"/>
      <c r="V30" s="7">
        <f t="shared" si="13"/>
        <v>0</v>
      </c>
      <c r="W30" s="2"/>
      <c r="X30" s="6">
        <f t="shared" si="14"/>
        <v>30491.510000000002</v>
      </c>
      <c r="Y30" s="2"/>
      <c r="Z30" s="7">
        <f t="shared" si="15"/>
        <v>0.48697747142003844</v>
      </c>
    </row>
    <row r="31" spans="1:26" s="24" customFormat="1" hidden="1" outlineLevel="2" x14ac:dyDescent="0.25">
      <c r="A31" s="25"/>
      <c r="B31" s="11" t="str">
        <f>CONCATENATE("          ", "6004", " - ", "STAFF HOURLY")</f>
        <v xml:space="preserve">          6004 - STAFF HOURLY</v>
      </c>
      <c r="C31" s="11"/>
      <c r="D31" s="6">
        <v>1602.2</v>
      </c>
      <c r="E31" s="2"/>
      <c r="F31" s="7">
        <f t="shared" si="8"/>
        <v>0</v>
      </c>
      <c r="G31" s="2"/>
      <c r="H31" s="6">
        <v>8028.64</v>
      </c>
      <c r="I31" s="2"/>
      <c r="J31" s="7">
        <f t="shared" si="9"/>
        <v>0</v>
      </c>
      <c r="K31" s="2"/>
      <c r="L31" s="6">
        <f t="shared" si="10"/>
        <v>-6426.4400000000005</v>
      </c>
      <c r="M31" s="2"/>
      <c r="N31" s="7">
        <f t="shared" si="11"/>
        <v>-0.80043942685187031</v>
      </c>
      <c r="O31" s="11"/>
      <c r="P31" s="6">
        <v>14213.24</v>
      </c>
      <c r="Q31" s="2"/>
      <c r="R31" s="7">
        <f t="shared" si="12"/>
        <v>0</v>
      </c>
      <c r="S31" s="2"/>
      <c r="T31" s="6">
        <v>40354.049999999996</v>
      </c>
      <c r="U31" s="2"/>
      <c r="V31" s="7">
        <f t="shared" si="13"/>
        <v>0</v>
      </c>
      <c r="W31" s="2"/>
      <c r="X31" s="6">
        <f t="shared" si="14"/>
        <v>-26140.809999999998</v>
      </c>
      <c r="Y31" s="2"/>
      <c r="Z31" s="7">
        <f t="shared" si="15"/>
        <v>-0.64778652948093196</v>
      </c>
    </row>
    <row r="32" spans="1:26" s="24" customFormat="1" hidden="1" outlineLevel="2" x14ac:dyDescent="0.25">
      <c r="A32" s="25"/>
      <c r="B32" s="11" t="str">
        <f>CONCATENATE("          ", "6005", " - ", "TEMPORARY WAGES-HOURLY")</f>
        <v xml:space="preserve">          6005 - TEMPORARY WAGES-HOURLY</v>
      </c>
      <c r="C32" s="11"/>
      <c r="D32" s="6"/>
      <c r="E32" s="2"/>
      <c r="F32" s="7">
        <f t="shared" si="8"/>
        <v>0</v>
      </c>
      <c r="G32" s="2"/>
      <c r="H32" s="6">
        <v>2519</v>
      </c>
      <c r="I32" s="2"/>
      <c r="J32" s="7">
        <f t="shared" si="9"/>
        <v>0</v>
      </c>
      <c r="K32" s="2"/>
      <c r="L32" s="6">
        <f t="shared" si="10"/>
        <v>-2519</v>
      </c>
      <c r="M32" s="2"/>
      <c r="N32" s="7">
        <f t="shared" si="11"/>
        <v>-1</v>
      </c>
      <c r="O32" s="11"/>
      <c r="P32" s="6"/>
      <c r="Q32" s="2"/>
      <c r="R32" s="7">
        <f t="shared" si="12"/>
        <v>0</v>
      </c>
      <c r="S32" s="2"/>
      <c r="T32" s="6">
        <v>13021.5</v>
      </c>
      <c r="U32" s="2"/>
      <c r="V32" s="7">
        <f t="shared" si="13"/>
        <v>0</v>
      </c>
      <c r="W32" s="2"/>
      <c r="X32" s="6">
        <f t="shared" si="14"/>
        <v>-13021.5</v>
      </c>
      <c r="Y32" s="2"/>
      <c r="Z32" s="7">
        <f t="shared" si="15"/>
        <v>-1</v>
      </c>
    </row>
    <row r="33" spans="1:26" s="24" customFormat="1" hidden="1" outlineLevel="2" x14ac:dyDescent="0.25">
      <c r="A33" s="25"/>
      <c r="B33" s="11" t="str">
        <f>CONCATENATE("          ", "6007", " - ", "STUDENT HOURLY")</f>
        <v xml:space="preserve">          6007 - STUDENT HOURLY</v>
      </c>
      <c r="C33" s="11"/>
      <c r="D33" s="6"/>
      <c r="E33" s="2"/>
      <c r="F33" s="7">
        <f t="shared" si="8"/>
        <v>0</v>
      </c>
      <c r="G33" s="2"/>
      <c r="H33" s="6">
        <v>2349.5</v>
      </c>
      <c r="I33" s="2"/>
      <c r="J33" s="7">
        <f t="shared" si="9"/>
        <v>0</v>
      </c>
      <c r="K33" s="2"/>
      <c r="L33" s="6">
        <f t="shared" si="10"/>
        <v>-2349.5</v>
      </c>
      <c r="M33" s="2"/>
      <c r="N33" s="7">
        <f t="shared" si="11"/>
        <v>-1</v>
      </c>
      <c r="O33" s="11"/>
      <c r="P33" s="6">
        <v>0</v>
      </c>
      <c r="Q33" s="2"/>
      <c r="R33" s="7">
        <f t="shared" si="12"/>
        <v>0</v>
      </c>
      <c r="S33" s="2"/>
      <c r="T33" s="6">
        <v>14481.01</v>
      </c>
      <c r="U33" s="2"/>
      <c r="V33" s="7">
        <f t="shared" si="13"/>
        <v>0</v>
      </c>
      <c r="W33" s="2"/>
      <c r="X33" s="6">
        <f t="shared" si="14"/>
        <v>-14481.01</v>
      </c>
      <c r="Y33" s="2"/>
      <c r="Z33" s="7">
        <f t="shared" si="15"/>
        <v>-1</v>
      </c>
    </row>
    <row r="34" spans="1:26" s="24" customFormat="1" hidden="1" outlineLevel="2" x14ac:dyDescent="0.25">
      <c r="A34" s="25"/>
      <c r="B34" s="11" t="str">
        <f>CONCATENATE("          ", "6008", " - ", "STUDENT HOURLY-FICA EXEMPT")</f>
        <v xml:space="preserve">          6008 - STUDENT HOURLY-FICA EXEMPT</v>
      </c>
      <c r="C34" s="11"/>
      <c r="D34" s="6"/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2520</v>
      </c>
      <c r="U34" s="2"/>
      <c r="V34" s="7">
        <f t="shared" si="13"/>
        <v>0</v>
      </c>
      <c r="W34" s="2"/>
      <c r="X34" s="6">
        <f t="shared" si="14"/>
        <v>-2520</v>
      </c>
      <c r="Y34" s="2"/>
      <c r="Z34" s="7">
        <f t="shared" si="15"/>
        <v>-1</v>
      </c>
    </row>
    <row r="35" spans="1:26" s="26" customFormat="1" outlineLevel="1" collapsed="1" x14ac:dyDescent="0.25">
      <c r="A35" s="27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0</v>
      </c>
      <c r="E35" s="1"/>
      <c r="F35" s="5">
        <f t="shared" ref="F35:F46" si="16">IF(D$12=0,0,D35/D$12)</f>
        <v>0</v>
      </c>
      <c r="G35" s="1"/>
      <c r="H35" s="1">
        <f>SUM(OSRRefH22_2x_0)</f>
        <v>0</v>
      </c>
      <c r="I35" s="1"/>
      <c r="J35" s="5">
        <f t="shared" ref="J35:J46" si="17">IF(H$12=0,0,H35/H$12)</f>
        <v>0</v>
      </c>
      <c r="K35" s="1"/>
      <c r="L35" s="1">
        <f t="shared" ref="L35:L46" si="18">+D35-H35</f>
        <v>0</v>
      </c>
      <c r="M35" s="1"/>
      <c r="N35" s="5">
        <f t="shared" ref="N35:N46" si="19">IF(H35=0,0,L35/H35)</f>
        <v>0</v>
      </c>
      <c r="O35" s="13"/>
      <c r="P35" s="1">
        <f>SUM(OSRRefP22_2x_0)</f>
        <v>0</v>
      </c>
      <c r="Q35" s="1"/>
      <c r="R35" s="5">
        <f t="shared" ref="R35:R46" si="20">IF(P$12=0,0,P35/P$12)</f>
        <v>0</v>
      </c>
      <c r="S35" s="1"/>
      <c r="T35" s="1">
        <f>SUM(OSRRefT22_2x_0)</f>
        <v>9.99</v>
      </c>
      <c r="U35" s="1"/>
      <c r="V35" s="5">
        <f t="shared" ref="V35:V46" si="21">IF(T$12=0,0,T35/T$12)</f>
        <v>0</v>
      </c>
      <c r="W35" s="1"/>
      <c r="X35" s="1">
        <f t="shared" ref="X35:X46" si="22">+P35-T35</f>
        <v>-9.99</v>
      </c>
      <c r="Y35" s="1"/>
      <c r="Z35" s="5">
        <f t="shared" ref="Z35:Z46" si="23">IF(T35=0,0,X35/T35)</f>
        <v>-1</v>
      </c>
    </row>
    <row r="36" spans="1:26" s="24" customFormat="1" hidden="1" outlineLevel="2" x14ac:dyDescent="0.25">
      <c r="A36" s="25"/>
      <c r="B36" s="11" t="str">
        <f>CONCATENATE("          ", "6362", " - ", "ADVERTISING EXPENSE")</f>
        <v xml:space="preserve">          6362 - ADVERTISING EXPENSE</v>
      </c>
      <c r="C36" s="11"/>
      <c r="D36" s="6"/>
      <c r="E36" s="2"/>
      <c r="F36" s="7">
        <f t="shared" si="16"/>
        <v>0</v>
      </c>
      <c r="G36" s="2"/>
      <c r="H36" s="6"/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/>
      <c r="Q36" s="2"/>
      <c r="R36" s="7">
        <f t="shared" si="20"/>
        <v>0</v>
      </c>
      <c r="S36" s="2"/>
      <c r="T36" s="6">
        <v>9.99</v>
      </c>
      <c r="U36" s="2"/>
      <c r="V36" s="7">
        <f t="shared" si="21"/>
        <v>0</v>
      </c>
      <c r="W36" s="2"/>
      <c r="X36" s="6">
        <f t="shared" si="22"/>
        <v>-9.99</v>
      </c>
      <c r="Y36" s="2"/>
      <c r="Z36" s="7">
        <f t="shared" si="23"/>
        <v>-1</v>
      </c>
    </row>
    <row r="37" spans="1:26" s="26" customFormat="1" outlineLevel="1" collapsed="1" x14ac:dyDescent="0.25">
      <c r="A37" s="27"/>
      <c r="B37" s="13" t="str">
        <f>CONCATENATE("     ","Depreciation                                      ")</f>
        <v xml:space="preserve">     Depreciation                                      </v>
      </c>
      <c r="C37" s="13"/>
      <c r="D37" s="1">
        <f>SUM(OSRRefD22_3x_0)</f>
        <v>5077.13</v>
      </c>
      <c r="E37" s="1"/>
      <c r="F37" s="5">
        <f t="shared" si="16"/>
        <v>0</v>
      </c>
      <c r="G37" s="1"/>
      <c r="H37" s="1">
        <f>SUM(OSRRefH22_3x_0)</f>
        <v>6175.97</v>
      </c>
      <c r="I37" s="1"/>
      <c r="J37" s="5">
        <f t="shared" si="17"/>
        <v>0</v>
      </c>
      <c r="K37" s="1"/>
      <c r="L37" s="1">
        <f t="shared" si="18"/>
        <v>-1098.8400000000001</v>
      </c>
      <c r="M37" s="1"/>
      <c r="N37" s="5">
        <f t="shared" si="19"/>
        <v>-0.17792184871364339</v>
      </c>
      <c r="O37" s="13"/>
      <c r="P37" s="1">
        <f>SUM(OSRRefP22_3x_0)</f>
        <v>26540.670000000002</v>
      </c>
      <c r="Q37" s="1"/>
      <c r="R37" s="5">
        <f t="shared" si="20"/>
        <v>0</v>
      </c>
      <c r="S37" s="1"/>
      <c r="T37" s="1">
        <f>SUM(OSRRefT22_3x_0)</f>
        <v>30879.85</v>
      </c>
      <c r="U37" s="1"/>
      <c r="V37" s="5">
        <f t="shared" si="21"/>
        <v>0</v>
      </c>
      <c r="W37" s="1"/>
      <c r="X37" s="1">
        <f t="shared" si="22"/>
        <v>-4339.1799999999967</v>
      </c>
      <c r="Y37" s="1"/>
      <c r="Z37" s="5">
        <f t="shared" si="23"/>
        <v>-0.14051816961546112</v>
      </c>
    </row>
    <row r="38" spans="1:26" s="24" customFormat="1" hidden="1" outlineLevel="2" x14ac:dyDescent="0.25">
      <c r="A38" s="25"/>
      <c r="B38" s="11" t="str">
        <f>CONCATENATE("          ", "6322", " - ", "EQUIPMENT DEPRECIATION EXPENSE")</f>
        <v xml:space="preserve">          6322 - EQUIPMENT DEPRECIATION EXPENSE</v>
      </c>
      <c r="C38" s="11"/>
      <c r="D38" s="6">
        <v>5077.13</v>
      </c>
      <c r="E38" s="2"/>
      <c r="F38" s="7">
        <f t="shared" si="16"/>
        <v>0</v>
      </c>
      <c r="G38" s="2"/>
      <c r="H38" s="6">
        <v>6175.97</v>
      </c>
      <c r="I38" s="2"/>
      <c r="J38" s="7">
        <f t="shared" si="17"/>
        <v>0</v>
      </c>
      <c r="K38" s="2"/>
      <c r="L38" s="6">
        <f t="shared" si="18"/>
        <v>-1098.8400000000001</v>
      </c>
      <c r="M38" s="2"/>
      <c r="N38" s="7">
        <f t="shared" si="19"/>
        <v>-0.17792184871364339</v>
      </c>
      <c r="O38" s="11"/>
      <c r="P38" s="6">
        <v>26540.670000000002</v>
      </c>
      <c r="Q38" s="2"/>
      <c r="R38" s="7">
        <f t="shared" si="20"/>
        <v>0</v>
      </c>
      <c r="S38" s="2"/>
      <c r="T38" s="6">
        <v>30879.85</v>
      </c>
      <c r="U38" s="2"/>
      <c r="V38" s="7">
        <f t="shared" si="21"/>
        <v>0</v>
      </c>
      <c r="W38" s="2"/>
      <c r="X38" s="6">
        <f t="shared" si="22"/>
        <v>-4339.1799999999967</v>
      </c>
      <c r="Y38" s="2"/>
      <c r="Z38" s="7">
        <f t="shared" si="23"/>
        <v>-0.14051816961546112</v>
      </c>
    </row>
    <row r="39" spans="1:26" s="26" customFormat="1" outlineLevel="1" collapsed="1" x14ac:dyDescent="0.25">
      <c r="A39" s="27"/>
      <c r="B39" s="13" t="str">
        <f>CONCATENATE("     ","Freight out/Postage                               ")</f>
        <v xml:space="preserve">     Freight out/Postage                               </v>
      </c>
      <c r="C39" s="13"/>
      <c r="D39" s="1">
        <f>SUM(OSRRefD22_4x_0)</f>
        <v>5.7</v>
      </c>
      <c r="E39" s="1"/>
      <c r="F39" s="5">
        <f t="shared" si="16"/>
        <v>0</v>
      </c>
      <c r="G39" s="1"/>
      <c r="H39" s="1">
        <f>SUM(OSRRefH22_4x_0)</f>
        <v>0</v>
      </c>
      <c r="I39" s="1"/>
      <c r="J39" s="5">
        <f t="shared" si="17"/>
        <v>0</v>
      </c>
      <c r="K39" s="1"/>
      <c r="L39" s="1">
        <f t="shared" si="18"/>
        <v>5.7</v>
      </c>
      <c r="M39" s="1"/>
      <c r="N39" s="5">
        <f t="shared" si="19"/>
        <v>0</v>
      </c>
      <c r="O39" s="13"/>
      <c r="P39" s="1">
        <f>SUM(OSRRefP22_4x_0)</f>
        <v>5.7</v>
      </c>
      <c r="Q39" s="1"/>
      <c r="R39" s="5">
        <f t="shared" si="20"/>
        <v>0</v>
      </c>
      <c r="S39" s="1"/>
      <c r="T39" s="1">
        <f>SUM(OSRRefT22_4x_0)</f>
        <v>0</v>
      </c>
      <c r="U39" s="1"/>
      <c r="V39" s="5">
        <f t="shared" si="21"/>
        <v>0</v>
      </c>
      <c r="W39" s="1"/>
      <c r="X39" s="1">
        <f t="shared" si="22"/>
        <v>5.7</v>
      </c>
      <c r="Y39" s="1"/>
      <c r="Z39" s="5">
        <f t="shared" si="23"/>
        <v>0</v>
      </c>
    </row>
    <row r="40" spans="1:26" s="24" customFormat="1" hidden="1" outlineLevel="2" x14ac:dyDescent="0.25">
      <c r="A40" s="25"/>
      <c r="B40" s="11" t="str">
        <f>CONCATENATE("          ", "6307", " - ", "POSTAGE")</f>
        <v xml:space="preserve">          6307 - POSTAGE</v>
      </c>
      <c r="C40" s="11"/>
      <c r="D40" s="6">
        <v>5.7</v>
      </c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5.7</v>
      </c>
      <c r="M40" s="2"/>
      <c r="N40" s="7">
        <f t="shared" si="19"/>
        <v>0</v>
      </c>
      <c r="O40" s="11"/>
      <c r="P40" s="6">
        <v>5.7</v>
      </c>
      <c r="Q40" s="2"/>
      <c r="R40" s="7">
        <f t="shared" si="20"/>
        <v>0</v>
      </c>
      <c r="S40" s="2"/>
      <c r="T40" s="6"/>
      <c r="U40" s="2"/>
      <c r="V40" s="7">
        <f t="shared" si="21"/>
        <v>0</v>
      </c>
      <c r="W40" s="2"/>
      <c r="X40" s="6">
        <f t="shared" si="22"/>
        <v>5.7</v>
      </c>
      <c r="Y40" s="2"/>
      <c r="Z40" s="7">
        <f t="shared" si="23"/>
        <v>0</v>
      </c>
    </row>
    <row r="41" spans="1:26" s="26" customFormat="1" outlineLevel="1" collapsed="1" x14ac:dyDescent="0.25">
      <c r="A41" s="27"/>
      <c r="B41" s="13" t="str">
        <f>CONCATENATE("     ","Insurance                                         ")</f>
        <v xml:space="preserve">     Insurance                                         </v>
      </c>
      <c r="C41" s="13"/>
      <c r="D41" s="1">
        <f>SUM(OSRRefD22_5x_0)</f>
        <v>56.34</v>
      </c>
      <c r="E41" s="1"/>
      <c r="F41" s="5">
        <f t="shared" si="16"/>
        <v>0</v>
      </c>
      <c r="G41" s="1"/>
      <c r="H41" s="1">
        <f>SUM(OSRRefH22_5x_0)</f>
        <v>56.34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3"/>
      <c r="P41" s="1">
        <f>SUM(OSRRefP22_5x_0)</f>
        <v>281.7</v>
      </c>
      <c r="Q41" s="1"/>
      <c r="R41" s="5">
        <f t="shared" si="20"/>
        <v>0</v>
      </c>
      <c r="S41" s="1"/>
      <c r="T41" s="1">
        <f>SUM(OSRRefT22_5x_0)</f>
        <v>281.7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5"/>
      <c r="B42" s="11" t="str">
        <f>CONCATENATE("          ", "6314", " - ", "LIABILITY INSURANCE")</f>
        <v xml:space="preserve">          6314 - LIABILITY INSURANCE</v>
      </c>
      <c r="C42" s="11"/>
      <c r="D42" s="6">
        <v>56.34</v>
      </c>
      <c r="E42" s="2"/>
      <c r="F42" s="7">
        <f t="shared" si="16"/>
        <v>0</v>
      </c>
      <c r="G42" s="2"/>
      <c r="H42" s="6">
        <v>56.34</v>
      </c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281.7</v>
      </c>
      <c r="Q42" s="2"/>
      <c r="R42" s="7">
        <f t="shared" si="20"/>
        <v>0</v>
      </c>
      <c r="S42" s="2"/>
      <c r="T42" s="6">
        <v>281.7</v>
      </c>
      <c r="U42" s="2"/>
      <c r="V42" s="7">
        <f t="shared" si="21"/>
        <v>0</v>
      </c>
      <c r="W42" s="2"/>
      <c r="X42" s="6">
        <f t="shared" si="22"/>
        <v>0</v>
      </c>
      <c r="Y42" s="2"/>
      <c r="Z42" s="7">
        <f t="shared" si="23"/>
        <v>0</v>
      </c>
    </row>
    <row r="43" spans="1:26" s="26" customFormat="1" outlineLevel="1" collapsed="1" x14ac:dyDescent="0.25">
      <c r="A43" s="27"/>
      <c r="B43" s="13" t="str">
        <f>CONCATENATE("     ","Repair and Maintenance                            ")</f>
        <v xml:space="preserve">     Repair and Maintenance                            </v>
      </c>
      <c r="C43" s="13"/>
      <c r="D43" s="1">
        <f>SUM(OSRRefD22_6x_0)</f>
        <v>11992</v>
      </c>
      <c r="E43" s="1"/>
      <c r="F43" s="5">
        <f t="shared" si="16"/>
        <v>0</v>
      </c>
      <c r="G43" s="1"/>
      <c r="H43" s="1">
        <f>SUM(OSRRefH22_6x_0)</f>
        <v>9497.9500000000007</v>
      </c>
      <c r="I43" s="1"/>
      <c r="J43" s="5">
        <f t="shared" si="17"/>
        <v>0</v>
      </c>
      <c r="K43" s="1"/>
      <c r="L43" s="1">
        <f t="shared" si="18"/>
        <v>2494.0499999999993</v>
      </c>
      <c r="M43" s="1"/>
      <c r="N43" s="5">
        <f t="shared" si="19"/>
        <v>0.26258824272606185</v>
      </c>
      <c r="O43" s="13"/>
      <c r="P43" s="1">
        <f>SUM(OSRRefP22_6x_0)</f>
        <v>60596.160000000003</v>
      </c>
      <c r="Q43" s="1"/>
      <c r="R43" s="5">
        <f t="shared" si="20"/>
        <v>0</v>
      </c>
      <c r="S43" s="1"/>
      <c r="T43" s="1">
        <f>SUM(OSRRefT22_6x_0)</f>
        <v>47662.26</v>
      </c>
      <c r="U43" s="1"/>
      <c r="V43" s="5">
        <f t="shared" si="21"/>
        <v>0</v>
      </c>
      <c r="W43" s="1"/>
      <c r="X43" s="1">
        <f t="shared" si="22"/>
        <v>12933.900000000001</v>
      </c>
      <c r="Y43" s="1"/>
      <c r="Z43" s="5">
        <f t="shared" si="23"/>
        <v>0.27136564653039952</v>
      </c>
    </row>
    <row r="44" spans="1:26" s="24" customFormat="1" hidden="1" outlineLevel="2" x14ac:dyDescent="0.25">
      <c r="A44" s="25"/>
      <c r="B44" s="11" t="str">
        <f>CONCATENATE("          ", "6371", " - ", "COMPUTER SOFTWARE MAINTENANCE")</f>
        <v xml:space="preserve">          6371 - COMPUTER SOFTWARE MAINTENANCE</v>
      </c>
      <c r="C44" s="11"/>
      <c r="D44" s="6"/>
      <c r="E44" s="2"/>
      <c r="F44" s="7">
        <f t="shared" si="16"/>
        <v>0</v>
      </c>
      <c r="G44" s="2"/>
      <c r="H44" s="6">
        <v>90.95</v>
      </c>
      <c r="I44" s="2"/>
      <c r="J44" s="7">
        <f t="shared" si="17"/>
        <v>0</v>
      </c>
      <c r="K44" s="2"/>
      <c r="L44" s="6">
        <f t="shared" si="18"/>
        <v>-90.95</v>
      </c>
      <c r="M44" s="2"/>
      <c r="N44" s="7">
        <f t="shared" si="19"/>
        <v>-1</v>
      </c>
      <c r="O44" s="11"/>
      <c r="P44" s="6">
        <v>2436.16</v>
      </c>
      <c r="Q44" s="2"/>
      <c r="R44" s="7">
        <f t="shared" si="20"/>
        <v>0</v>
      </c>
      <c r="S44" s="2"/>
      <c r="T44" s="6">
        <v>454.75</v>
      </c>
      <c r="U44" s="2"/>
      <c r="V44" s="7">
        <f t="shared" si="21"/>
        <v>0</v>
      </c>
      <c r="W44" s="2"/>
      <c r="X44" s="6">
        <f t="shared" si="22"/>
        <v>1981.4099999999999</v>
      </c>
      <c r="Y44" s="2"/>
      <c r="Z44" s="7">
        <f t="shared" si="23"/>
        <v>4.3571412864211103</v>
      </c>
    </row>
    <row r="45" spans="1:26" s="24" customFormat="1" hidden="1" outlineLevel="2" x14ac:dyDescent="0.25">
      <c r="A45" s="25"/>
      <c r="B45" s="11" t="str">
        <f>CONCATENATE("          ", "6373", " - ", "MAINTENANCE CONTRACTS")</f>
        <v xml:space="preserve">          6373 - MAINTENANCE CONTRACTS</v>
      </c>
      <c r="C45" s="11"/>
      <c r="D45" s="6">
        <v>11992</v>
      </c>
      <c r="E45" s="2"/>
      <c r="F45" s="7">
        <f t="shared" si="16"/>
        <v>0</v>
      </c>
      <c r="G45" s="2"/>
      <c r="H45" s="6">
        <v>9407</v>
      </c>
      <c r="I45" s="2"/>
      <c r="J45" s="7">
        <f t="shared" si="17"/>
        <v>0</v>
      </c>
      <c r="K45" s="2"/>
      <c r="L45" s="6">
        <f t="shared" si="18"/>
        <v>2585</v>
      </c>
      <c r="M45" s="2"/>
      <c r="N45" s="7">
        <f t="shared" si="19"/>
        <v>0.27479536515360903</v>
      </c>
      <c r="O45" s="11"/>
      <c r="P45" s="6">
        <v>58160</v>
      </c>
      <c r="Q45" s="2"/>
      <c r="R45" s="7">
        <f t="shared" si="20"/>
        <v>0</v>
      </c>
      <c r="S45" s="2"/>
      <c r="T45" s="6">
        <v>47144.15</v>
      </c>
      <c r="U45" s="2"/>
      <c r="V45" s="7">
        <f t="shared" si="21"/>
        <v>0</v>
      </c>
      <c r="W45" s="2"/>
      <c r="X45" s="6">
        <f t="shared" si="22"/>
        <v>11015.849999999999</v>
      </c>
      <c r="Y45" s="2"/>
      <c r="Z45" s="7">
        <f t="shared" si="23"/>
        <v>0.23366313742001921</v>
      </c>
    </row>
    <row r="46" spans="1:26" s="24" customFormat="1" hidden="1" outlineLevel="2" x14ac:dyDescent="0.25">
      <c r="A46" s="25"/>
      <c r="B46" s="11" t="str">
        <f>CONCATENATE("          ", "6375", " - ", "OUTSIDE REPAIRS &amp; MAINTENANCE")</f>
        <v xml:space="preserve">          6375 - OUTSIDE REPAIRS &amp; MAINTENANCE</v>
      </c>
      <c r="C46" s="11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1"/>
      <c r="P46" s="6"/>
      <c r="Q46" s="2"/>
      <c r="R46" s="7">
        <f t="shared" si="20"/>
        <v>0</v>
      </c>
      <c r="S46" s="2"/>
      <c r="T46" s="6">
        <v>63.36</v>
      </c>
      <c r="U46" s="2"/>
      <c r="V46" s="7">
        <f t="shared" si="21"/>
        <v>0</v>
      </c>
      <c r="W46" s="2"/>
      <c r="X46" s="6">
        <f t="shared" si="22"/>
        <v>-63.36</v>
      </c>
      <c r="Y46" s="2"/>
      <c r="Z46" s="7">
        <f t="shared" si="23"/>
        <v>-1</v>
      </c>
    </row>
    <row r="47" spans="1:26" s="26" customFormat="1" outlineLevel="1" collapsed="1" x14ac:dyDescent="0.25">
      <c r="A47" s="27"/>
      <c r="B47" s="13" t="str">
        <f>CONCATENATE("     ","Supplies                                          ")</f>
        <v xml:space="preserve">     Supplies                                          </v>
      </c>
      <c r="C47" s="13"/>
      <c r="D47" s="1">
        <f>SUM(OSRRefD22_7x_0)</f>
        <v>1437.24</v>
      </c>
      <c r="E47" s="1"/>
      <c r="F47" s="5">
        <f t="shared" ref="F47:F51" si="24">IF(D$12=0,0,D47/D$12)</f>
        <v>0</v>
      </c>
      <c r="G47" s="1"/>
      <c r="H47" s="1">
        <f>SUM(OSRRefH22_7x_0)</f>
        <v>397.73</v>
      </c>
      <c r="I47" s="1"/>
      <c r="J47" s="5">
        <f t="shared" ref="J47:J51" si="25">IF(H$12=0,0,H47/H$12)</f>
        <v>0</v>
      </c>
      <c r="K47" s="1"/>
      <c r="L47" s="1">
        <f t="shared" ref="L47:L51" si="26">+D47-H47</f>
        <v>1039.51</v>
      </c>
      <c r="M47" s="1"/>
      <c r="N47" s="5">
        <f t="shared" ref="N47:N51" si="27">IF(H47=0,0,L47/H47)</f>
        <v>2.613607220979056</v>
      </c>
      <c r="O47" s="13"/>
      <c r="P47" s="1">
        <f>SUM(OSRRefP22_7x_0)</f>
        <v>-3004.18</v>
      </c>
      <c r="Q47" s="1"/>
      <c r="R47" s="5">
        <f t="shared" ref="R47:R51" si="28">IF(P$12=0,0,P47/P$12)</f>
        <v>0</v>
      </c>
      <c r="S47" s="1"/>
      <c r="T47" s="1">
        <f>SUM(OSRRefT22_7x_0)</f>
        <v>18752.670000000002</v>
      </c>
      <c r="U47" s="1"/>
      <c r="V47" s="5">
        <f t="shared" ref="V47:V51" si="29">IF(T$12=0,0,T47/T$12)</f>
        <v>0</v>
      </c>
      <c r="W47" s="1"/>
      <c r="X47" s="1">
        <f t="shared" ref="X47:X51" si="30">+P47-T47</f>
        <v>-21756.850000000002</v>
      </c>
      <c r="Y47" s="1"/>
      <c r="Z47" s="5">
        <f t="shared" ref="Z47:Z51" si="31">IF(T47=0,0,X47/T47)</f>
        <v>-1.1602001208361263</v>
      </c>
    </row>
    <row r="48" spans="1:26" s="24" customFormat="1" hidden="1" outlineLevel="2" x14ac:dyDescent="0.25">
      <c r="A48" s="25"/>
      <c r="B48" s="11" t="str">
        <f>CONCATENATE("          ", "6241", " - ", "OFFICE EXPENSE")</f>
        <v xml:space="preserve">          6241 - OFFICE EXPENSE</v>
      </c>
      <c r="C48" s="11"/>
      <c r="D48" s="6">
        <v>1437.24</v>
      </c>
      <c r="E48" s="2"/>
      <c r="F48" s="7">
        <f t="shared" si="24"/>
        <v>0</v>
      </c>
      <c r="G48" s="2"/>
      <c r="H48" s="6">
        <v>397.73</v>
      </c>
      <c r="I48" s="2"/>
      <c r="J48" s="7">
        <f t="shared" si="25"/>
        <v>0</v>
      </c>
      <c r="K48" s="2"/>
      <c r="L48" s="6">
        <f t="shared" si="26"/>
        <v>1039.51</v>
      </c>
      <c r="M48" s="2"/>
      <c r="N48" s="7">
        <f t="shared" si="27"/>
        <v>2.613607220979056</v>
      </c>
      <c r="O48" s="11"/>
      <c r="P48" s="6">
        <v>-3004.18</v>
      </c>
      <c r="Q48" s="2"/>
      <c r="R48" s="7">
        <f t="shared" si="28"/>
        <v>0</v>
      </c>
      <c r="S48" s="2"/>
      <c r="T48" s="6">
        <v>18752.670000000002</v>
      </c>
      <c r="U48" s="2"/>
      <c r="V48" s="7">
        <f t="shared" si="29"/>
        <v>0</v>
      </c>
      <c r="W48" s="2"/>
      <c r="X48" s="6">
        <f t="shared" si="30"/>
        <v>-21756.850000000002</v>
      </c>
      <c r="Y48" s="2"/>
      <c r="Z48" s="7">
        <f t="shared" si="31"/>
        <v>-1.1602001208361263</v>
      </c>
    </row>
    <row r="49" spans="1:26" s="26" customFormat="1" outlineLevel="1" collapsed="1" x14ac:dyDescent="0.25">
      <c r="A49" s="27"/>
      <c r="B49" s="13" t="str">
        <f>CONCATENATE("     ","Telephone/Data Lines                              ")</f>
        <v xml:space="preserve">     Telephone/Data Lines                              </v>
      </c>
      <c r="C49" s="13"/>
      <c r="D49" s="1">
        <f>SUM(OSRRefD22_8x_0)</f>
        <v>783.93000000000006</v>
      </c>
      <c r="E49" s="1"/>
      <c r="F49" s="5">
        <f t="shared" si="24"/>
        <v>0</v>
      </c>
      <c r="G49" s="1"/>
      <c r="H49" s="1">
        <f>SUM(OSRRefH22_8x_0)</f>
        <v>826.54</v>
      </c>
      <c r="I49" s="1"/>
      <c r="J49" s="5">
        <f t="shared" si="25"/>
        <v>0</v>
      </c>
      <c r="K49" s="1"/>
      <c r="L49" s="1">
        <f t="shared" si="26"/>
        <v>-42.6099999999999</v>
      </c>
      <c r="M49" s="1"/>
      <c r="N49" s="5">
        <f t="shared" si="27"/>
        <v>-5.1552253974399186E-2</v>
      </c>
      <c r="O49" s="13"/>
      <c r="P49" s="1">
        <f>SUM(OSRRefP22_8x_0)</f>
        <v>4150.41</v>
      </c>
      <c r="Q49" s="1"/>
      <c r="R49" s="5">
        <f t="shared" si="28"/>
        <v>0</v>
      </c>
      <c r="S49" s="1"/>
      <c r="T49" s="1">
        <f>SUM(OSRRefT22_8x_0)</f>
        <v>7787.2300000000005</v>
      </c>
      <c r="U49" s="1"/>
      <c r="V49" s="5">
        <f t="shared" si="29"/>
        <v>0</v>
      </c>
      <c r="W49" s="1"/>
      <c r="X49" s="1">
        <f t="shared" si="30"/>
        <v>-3636.8200000000006</v>
      </c>
      <c r="Y49" s="1"/>
      <c r="Z49" s="5">
        <f t="shared" si="31"/>
        <v>-0.46702357577726616</v>
      </c>
    </row>
    <row r="50" spans="1:26" s="24" customFormat="1" hidden="1" outlineLevel="2" x14ac:dyDescent="0.25">
      <c r="A50" s="25"/>
      <c r="B50" s="11" t="str">
        <f>CONCATENATE("          ", "6303", " - ", "DATA PHONE LINES")</f>
        <v xml:space="preserve">          6303 - DATA PHONE LINES</v>
      </c>
      <c r="C50" s="11"/>
      <c r="D50" s="6">
        <v>144.97999999999999</v>
      </c>
      <c r="E50" s="2"/>
      <c r="F50" s="7">
        <f t="shared" si="24"/>
        <v>0</v>
      </c>
      <c r="G50" s="2"/>
      <c r="H50" s="6">
        <v>141.68</v>
      </c>
      <c r="I50" s="2"/>
      <c r="J50" s="7">
        <f t="shared" si="25"/>
        <v>0</v>
      </c>
      <c r="K50" s="2"/>
      <c r="L50" s="6">
        <f t="shared" si="26"/>
        <v>3.2999999999999829</v>
      </c>
      <c r="M50" s="2"/>
      <c r="N50" s="7">
        <f t="shared" si="27"/>
        <v>2.3291925465838387E-2</v>
      </c>
      <c r="O50" s="11"/>
      <c r="P50" s="6">
        <v>525.92999999999995</v>
      </c>
      <c r="Q50" s="2"/>
      <c r="R50" s="7">
        <f t="shared" si="28"/>
        <v>0</v>
      </c>
      <c r="S50" s="2"/>
      <c r="T50" s="6">
        <v>882.09</v>
      </c>
      <c r="U50" s="2"/>
      <c r="V50" s="7">
        <f t="shared" si="29"/>
        <v>0</v>
      </c>
      <c r="W50" s="2"/>
      <c r="X50" s="6">
        <f t="shared" si="30"/>
        <v>-356.16000000000008</v>
      </c>
      <c r="Y50" s="2"/>
      <c r="Z50" s="7">
        <f t="shared" si="31"/>
        <v>-0.40376832296024223</v>
      </c>
    </row>
    <row r="51" spans="1:26" s="24" customFormat="1" hidden="1" outlineLevel="2" x14ac:dyDescent="0.25">
      <c r="A51" s="25"/>
      <c r="B51" s="11" t="str">
        <f>CONCATENATE("          ", "6309", " - ", "TELEPHONE")</f>
        <v xml:space="preserve">          6309 - TELEPHONE</v>
      </c>
      <c r="C51" s="11"/>
      <c r="D51" s="6">
        <v>638.95000000000005</v>
      </c>
      <c r="E51" s="2"/>
      <c r="F51" s="7">
        <f t="shared" si="24"/>
        <v>0</v>
      </c>
      <c r="G51" s="2"/>
      <c r="H51" s="6">
        <v>684.86</v>
      </c>
      <c r="I51" s="2"/>
      <c r="J51" s="7">
        <f t="shared" si="25"/>
        <v>0</v>
      </c>
      <c r="K51" s="2"/>
      <c r="L51" s="6">
        <f t="shared" si="26"/>
        <v>-45.909999999999968</v>
      </c>
      <c r="M51" s="2"/>
      <c r="N51" s="7">
        <f t="shared" si="27"/>
        <v>-6.7035598516485079E-2</v>
      </c>
      <c r="O51" s="11"/>
      <c r="P51" s="6">
        <v>3624.48</v>
      </c>
      <c r="Q51" s="2"/>
      <c r="R51" s="7">
        <f t="shared" si="28"/>
        <v>0</v>
      </c>
      <c r="S51" s="2"/>
      <c r="T51" s="6">
        <v>6905.14</v>
      </c>
      <c r="U51" s="2"/>
      <c r="V51" s="7">
        <f t="shared" si="29"/>
        <v>0</v>
      </c>
      <c r="W51" s="2"/>
      <c r="X51" s="6">
        <f t="shared" si="30"/>
        <v>-3280.6600000000003</v>
      </c>
      <c r="Y51" s="2"/>
      <c r="Z51" s="7">
        <f t="shared" si="31"/>
        <v>-0.47510405292289515</v>
      </c>
    </row>
    <row r="52" spans="1:26" s="26" customFormat="1" outlineLevel="1" collapsed="1" x14ac:dyDescent="0.25">
      <c r="A52" s="27"/>
      <c r="B52" s="13" t="str">
        <f>CONCATENATE("     ","Training                                          ")</f>
        <v xml:space="preserve">     Training                                          </v>
      </c>
      <c r="C52" s="13"/>
      <c r="D52" s="1">
        <f>SUM(OSRRefD22_9x_0)</f>
        <v>0</v>
      </c>
      <c r="E52" s="1"/>
      <c r="F52" s="5">
        <f t="shared" ref="F52:F56" si="32">IF(D$12=0,0,D52/D$12)</f>
        <v>0</v>
      </c>
      <c r="G52" s="1"/>
      <c r="H52" s="1">
        <f>SUM(OSRRefH22_9x_0)</f>
        <v>134.84</v>
      </c>
      <c r="I52" s="1"/>
      <c r="J52" s="5">
        <f t="shared" ref="J52:J56" si="33">IF(H$12=0,0,H52/H$12)</f>
        <v>0</v>
      </c>
      <c r="K52" s="1"/>
      <c r="L52" s="1">
        <f t="shared" ref="L52:L56" si="34">+D52-H52</f>
        <v>-134.84</v>
      </c>
      <c r="M52" s="1"/>
      <c r="N52" s="5">
        <f t="shared" ref="N52:N56" si="35">IF(H52=0,0,L52/H52)</f>
        <v>-1</v>
      </c>
      <c r="O52" s="13"/>
      <c r="P52" s="1">
        <f>SUM(OSRRefP22_9x_0)</f>
        <v>0</v>
      </c>
      <c r="Q52" s="1"/>
      <c r="R52" s="5">
        <f t="shared" ref="R52:R56" si="36">IF(P$12=0,0,P52/P$12)</f>
        <v>0</v>
      </c>
      <c r="S52" s="1"/>
      <c r="T52" s="1">
        <f>SUM(OSRRefT22_9x_0)</f>
        <v>434.06</v>
      </c>
      <c r="U52" s="1"/>
      <c r="V52" s="5">
        <f t="shared" ref="V52:V56" si="37">IF(T$12=0,0,T52/T$12)</f>
        <v>0</v>
      </c>
      <c r="W52" s="1"/>
      <c r="X52" s="1">
        <f t="shared" ref="X52:X56" si="38">+P52-T52</f>
        <v>-434.06</v>
      </c>
      <c r="Y52" s="1"/>
      <c r="Z52" s="5">
        <f t="shared" ref="Z52:Z56" si="39">IF(T52=0,0,X52/T52)</f>
        <v>-1</v>
      </c>
    </row>
    <row r="53" spans="1:26" s="24" customFormat="1" hidden="1" outlineLevel="2" x14ac:dyDescent="0.25">
      <c r="A53" s="25"/>
      <c r="B53" s="11" t="str">
        <f>CONCATENATE("          ", "6376", " - ", "TRAINING")</f>
        <v xml:space="preserve">          6376 - TRAINING</v>
      </c>
      <c r="C53" s="11"/>
      <c r="D53" s="6"/>
      <c r="E53" s="2"/>
      <c r="F53" s="7">
        <f t="shared" si="32"/>
        <v>0</v>
      </c>
      <c r="G53" s="2"/>
      <c r="H53" s="6">
        <v>134.84</v>
      </c>
      <c r="I53" s="2"/>
      <c r="J53" s="7">
        <f t="shared" si="33"/>
        <v>0</v>
      </c>
      <c r="K53" s="2"/>
      <c r="L53" s="6">
        <f t="shared" si="34"/>
        <v>-134.84</v>
      </c>
      <c r="M53" s="2"/>
      <c r="N53" s="7">
        <f t="shared" si="35"/>
        <v>-1</v>
      </c>
      <c r="O53" s="11"/>
      <c r="P53" s="6"/>
      <c r="Q53" s="2"/>
      <c r="R53" s="7">
        <f t="shared" si="36"/>
        <v>0</v>
      </c>
      <c r="S53" s="2"/>
      <c r="T53" s="6">
        <v>434.06</v>
      </c>
      <c r="U53" s="2"/>
      <c r="V53" s="7">
        <f t="shared" si="37"/>
        <v>0</v>
      </c>
      <c r="W53" s="2"/>
      <c r="X53" s="6">
        <f t="shared" si="38"/>
        <v>-434.06</v>
      </c>
      <c r="Y53" s="2"/>
      <c r="Z53" s="7">
        <f t="shared" si="39"/>
        <v>-1</v>
      </c>
    </row>
    <row r="54" spans="1:26" s="26" customFormat="1" outlineLevel="1" collapsed="1" x14ac:dyDescent="0.25">
      <c r="A54" s="27"/>
      <c r="B54" s="13" t="str">
        <f>CONCATENATE("     ","Travel                                            ")</f>
        <v xml:space="preserve">     Travel                                            </v>
      </c>
      <c r="C54" s="13"/>
      <c r="D54" s="1">
        <f>SUM(OSRRefD22_10x_0)</f>
        <v>0</v>
      </c>
      <c r="E54" s="1"/>
      <c r="F54" s="5">
        <f t="shared" si="32"/>
        <v>0</v>
      </c>
      <c r="G54" s="1"/>
      <c r="H54" s="1">
        <f>SUM(OSRRefH22_10x_0)</f>
        <v>764.31</v>
      </c>
      <c r="I54" s="1"/>
      <c r="J54" s="5">
        <f t="shared" si="33"/>
        <v>0</v>
      </c>
      <c r="K54" s="1"/>
      <c r="L54" s="1">
        <f t="shared" si="34"/>
        <v>-764.31</v>
      </c>
      <c r="M54" s="1"/>
      <c r="N54" s="5">
        <f t="shared" si="35"/>
        <v>-1</v>
      </c>
      <c r="O54" s="13"/>
      <c r="P54" s="1">
        <f>SUM(OSRRefP22_10x_0)</f>
        <v>0</v>
      </c>
      <c r="Q54" s="1"/>
      <c r="R54" s="5">
        <f t="shared" si="36"/>
        <v>0</v>
      </c>
      <c r="S54" s="1"/>
      <c r="T54" s="1">
        <f>SUM(OSRRefT22_10x_0)</f>
        <v>1383.21</v>
      </c>
      <c r="U54" s="1"/>
      <c r="V54" s="5">
        <f t="shared" si="37"/>
        <v>0</v>
      </c>
      <c r="W54" s="1"/>
      <c r="X54" s="1">
        <f t="shared" si="38"/>
        <v>-1383.21</v>
      </c>
      <c r="Y54" s="1"/>
      <c r="Z54" s="5">
        <f t="shared" si="39"/>
        <v>-1</v>
      </c>
    </row>
    <row r="55" spans="1:26" s="24" customFormat="1" hidden="1" outlineLevel="2" x14ac:dyDescent="0.25">
      <c r="A55" s="25"/>
      <c r="B55" s="11" t="str">
        <f>CONCATENATE("          ", "6292", " - ", "TRAVEL/CONFERENCE")</f>
        <v xml:space="preserve">          6292 - TRAVEL/CONFERENCE</v>
      </c>
      <c r="C55" s="11"/>
      <c r="D55" s="6"/>
      <c r="E55" s="2"/>
      <c r="F55" s="7">
        <f t="shared" si="32"/>
        <v>0</v>
      </c>
      <c r="G55" s="2"/>
      <c r="H55" s="6">
        <v>764.31</v>
      </c>
      <c r="I55" s="2"/>
      <c r="J55" s="7">
        <f t="shared" si="33"/>
        <v>0</v>
      </c>
      <c r="K55" s="2"/>
      <c r="L55" s="6">
        <f t="shared" si="34"/>
        <v>-764.31</v>
      </c>
      <c r="M55" s="2"/>
      <c r="N55" s="7">
        <f t="shared" si="35"/>
        <v>-1</v>
      </c>
      <c r="O55" s="11"/>
      <c r="P55" s="6"/>
      <c r="Q55" s="2"/>
      <c r="R55" s="7">
        <f t="shared" si="36"/>
        <v>0</v>
      </c>
      <c r="S55" s="2"/>
      <c r="T55" s="6">
        <v>1359.31</v>
      </c>
      <c r="U55" s="2"/>
      <c r="V55" s="7">
        <f t="shared" si="37"/>
        <v>0</v>
      </c>
      <c r="W55" s="2"/>
      <c r="X55" s="6">
        <f t="shared" si="38"/>
        <v>-1359.31</v>
      </c>
      <c r="Y55" s="2"/>
      <c r="Z55" s="7">
        <f t="shared" si="39"/>
        <v>-1</v>
      </c>
    </row>
    <row r="56" spans="1:26" s="24" customFormat="1" hidden="1" outlineLevel="2" x14ac:dyDescent="0.25">
      <c r="A56" s="25"/>
      <c r="B56" s="11" t="str">
        <f>CONCATENATE("          ", "6294", " - ", "TRAVEL OPERATIONAL")</f>
        <v xml:space="preserve">          6294 - TRAVEL OPERATIONAL</v>
      </c>
      <c r="C56" s="11"/>
      <c r="D56" s="6"/>
      <c r="E56" s="2"/>
      <c r="F56" s="7">
        <f t="shared" si="32"/>
        <v>0</v>
      </c>
      <c r="G56" s="2"/>
      <c r="H56" s="6"/>
      <c r="I56" s="2"/>
      <c r="J56" s="7">
        <f t="shared" si="33"/>
        <v>0</v>
      </c>
      <c r="K56" s="2"/>
      <c r="L56" s="6">
        <f t="shared" si="34"/>
        <v>0</v>
      </c>
      <c r="M56" s="2"/>
      <c r="N56" s="7">
        <f t="shared" si="35"/>
        <v>0</v>
      </c>
      <c r="O56" s="11"/>
      <c r="P56" s="6"/>
      <c r="Q56" s="2"/>
      <c r="R56" s="7">
        <f t="shared" si="36"/>
        <v>0</v>
      </c>
      <c r="S56" s="2"/>
      <c r="T56" s="6">
        <v>23.9</v>
      </c>
      <c r="U56" s="2"/>
      <c r="V56" s="7">
        <f t="shared" si="37"/>
        <v>0</v>
      </c>
      <c r="W56" s="2"/>
      <c r="X56" s="6">
        <f t="shared" si="38"/>
        <v>-23.9</v>
      </c>
      <c r="Y56" s="2"/>
      <c r="Z56" s="7">
        <f t="shared" si="39"/>
        <v>-1</v>
      </c>
    </row>
    <row r="57" spans="1:26" s="53" customFormat="1" x14ac:dyDescent="0.25">
      <c r="A57" s="37"/>
      <c r="B57" s="37"/>
      <c r="C57" s="37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7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9" t="s">
        <v>0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8" t="s">
        <v>3</v>
      </c>
      <c r="C60" s="28"/>
      <c r="D60" s="20">
        <f>+D16-D18+D58</f>
        <v>-50583.669999999991</v>
      </c>
      <c r="E60" s="14"/>
      <c r="F60" s="22">
        <f>IF(D$12=0,0,D60/D$12)</f>
        <v>0</v>
      </c>
      <c r="G60" s="14"/>
      <c r="H60" s="20">
        <f>+H16-H18+H58</f>
        <v>-53277.119999999995</v>
      </c>
      <c r="I60" s="14"/>
      <c r="J60" s="22">
        <f>IF(H$12=0,0,H60/H$12)</f>
        <v>0</v>
      </c>
      <c r="K60" s="15"/>
      <c r="L60" s="20">
        <f>+D60-H60</f>
        <v>2693.4500000000044</v>
      </c>
      <c r="M60" s="15"/>
      <c r="N60" s="22">
        <f>IF(H60=0,0,L60/H60)</f>
        <v>-5.0555472968508895E-2</v>
      </c>
      <c r="O60" s="29"/>
      <c r="P60" s="20">
        <f>+P16-P18+P58</f>
        <v>-261691.25000000003</v>
      </c>
      <c r="Q60" s="14"/>
      <c r="R60" s="22">
        <f>IF(P$12=0,0,P60/P$12)</f>
        <v>0</v>
      </c>
      <c r="S60" s="14"/>
      <c r="T60" s="20">
        <f>+T16-T18+T58</f>
        <v>-306106.23000000004</v>
      </c>
      <c r="U60" s="14"/>
      <c r="V60" s="22">
        <f>IF(T$12=0,0,T60/T$12)</f>
        <v>0</v>
      </c>
      <c r="W60" s="15"/>
      <c r="X60" s="20">
        <f>+P60-T60</f>
        <v>44414.98000000001</v>
      </c>
      <c r="Y60" s="15"/>
      <c r="Z60" s="22">
        <f>IF(T60=0,0,X60/T60)</f>
        <v>-0.1450966221759028</v>
      </c>
    </row>
    <row r="61" spans="1:26" x14ac:dyDescent="0.25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51"/>
      <c r="B62" s="10" t="s">
        <v>13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/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8" t="s">
        <v>4</v>
      </c>
      <c r="C64" s="28"/>
      <c r="D64" s="31">
        <f>+D60-D62</f>
        <v>-50583.669999999991</v>
      </c>
      <c r="E64" s="14"/>
      <c r="F64" s="34">
        <f>IF(D$12=0,0,D64/D$12)</f>
        <v>0</v>
      </c>
      <c r="G64" s="14"/>
      <c r="H64" s="31">
        <f>+H60-H62</f>
        <v>-53277.119999999995</v>
      </c>
      <c r="I64" s="14"/>
      <c r="J64" s="34">
        <f>IF(H$12=0,0,H64/H$12)</f>
        <v>0</v>
      </c>
      <c r="K64" s="15"/>
      <c r="L64" s="31">
        <f>D64-H64</f>
        <v>2693.4500000000044</v>
      </c>
      <c r="M64" s="15"/>
      <c r="N64" s="34">
        <f>IF(H64=0,0,L64/H64)</f>
        <v>-5.0555472968508895E-2</v>
      </c>
      <c r="O64" s="29"/>
      <c r="P64" s="31">
        <f>+P60-P62</f>
        <v>-261691.25000000003</v>
      </c>
      <c r="Q64" s="14"/>
      <c r="R64" s="34">
        <f>IF(P$12=0,0,P64/P$12)</f>
        <v>0</v>
      </c>
      <c r="S64" s="14"/>
      <c r="T64" s="31">
        <f>+T60-T62</f>
        <v>-306106.23000000004</v>
      </c>
      <c r="U64" s="14"/>
      <c r="V64" s="34">
        <f>IF(T$12=0,0,T64/T$12)</f>
        <v>0</v>
      </c>
      <c r="W64" s="15"/>
      <c r="X64" s="31">
        <f>P64-T64</f>
        <v>44414.98000000001</v>
      </c>
      <c r="Y64" s="15"/>
      <c r="Z64" s="34">
        <f>IF(T64=0,0,X64/T64)</f>
        <v>-0.1450966221759028</v>
      </c>
    </row>
    <row r="65" spans="1:26" ht="15.75" thickTop="1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8" t="s">
        <v>5</v>
      </c>
      <c r="C67" s="28"/>
      <c r="D67" s="32">
        <f>SUM(D64:D66)</f>
        <v>-50583.669999999991</v>
      </c>
      <c r="E67" s="14"/>
      <c r="F67" s="30">
        <f>IF(D$12=0,0,D67/D$12)</f>
        <v>0</v>
      </c>
      <c r="G67" s="14"/>
      <c r="H67" s="32">
        <f>SUM(H64:H66)</f>
        <v>-53277.119999999995</v>
      </c>
      <c r="I67" s="14"/>
      <c r="J67" s="30">
        <f>IF(H$12=0,0,H67/H$12)</f>
        <v>0</v>
      </c>
      <c r="K67" s="15"/>
      <c r="L67" s="32">
        <f>+D67-H67</f>
        <v>2693.4500000000044</v>
      </c>
      <c r="M67" s="15"/>
      <c r="N67" s="30">
        <f>IF(H67=0,0,L67/H67)</f>
        <v>-5.0555472968508895E-2</v>
      </c>
      <c r="O67" s="29"/>
      <c r="P67" s="32">
        <f>SUM(P64:P66)</f>
        <v>-261691.25000000003</v>
      </c>
      <c r="Q67" s="14"/>
      <c r="R67" s="30">
        <f>IF(P$12=0,0,P67/P$12)</f>
        <v>0</v>
      </c>
      <c r="S67" s="14"/>
      <c r="T67" s="32">
        <f>SUM(T64:T66)</f>
        <v>-306106.23000000004</v>
      </c>
      <c r="U67" s="14"/>
      <c r="V67" s="30">
        <f>IF(T$12=0,0,T67/T$12)</f>
        <v>0</v>
      </c>
      <c r="W67" s="15"/>
      <c r="X67" s="32">
        <f>+P67-T67</f>
        <v>44414.98000000001</v>
      </c>
      <c r="Y67" s="15"/>
      <c r="Z67" s="30">
        <f>IF(T67=0,0,X67/T67)</f>
        <v>-0.1450966221759028</v>
      </c>
    </row>
    <row r="68" spans="1:26" ht="15.75" thickTop="1" x14ac:dyDescent="0.25">
      <c r="A68" s="9"/>
      <c r="C68" s="9"/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6" x14ac:dyDescent="0.25">
      <c r="A69" s="9"/>
      <c r="B69" s="54">
        <v>44174.685402164352</v>
      </c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25">
      <c r="A70" s="9"/>
      <c r="B70" s="56" t="s">
        <v>313</v>
      </c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61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","205", " - ", "Maintenance")</f>
        <v>Department 205 - Maintenance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6414.7800000000007</v>
      </c>
      <c r="E18" s="21"/>
      <c r="F18" s="35">
        <f t="shared" ref="F18:F27" si="0">IF(D$12=0,0,D18/D$12)</f>
        <v>0</v>
      </c>
      <c r="G18" s="21"/>
      <c r="H18" s="21">
        <f>SUM(OSRRefH22x_0)</f>
        <v>8179.55</v>
      </c>
      <c r="I18" s="21"/>
      <c r="J18" s="35">
        <f t="shared" ref="J18:J27" si="1">IF(H$12=0,0,H18/H$12)</f>
        <v>0</v>
      </c>
      <c r="K18" s="4"/>
      <c r="L18" s="21">
        <f t="shared" ref="L18:L27" si="2">+D18-H18</f>
        <v>-1764.7699999999995</v>
      </c>
      <c r="M18" s="4"/>
      <c r="N18" s="35">
        <f t="shared" ref="N18:N27" si="3">IF(H18=0,0,L18/H18)</f>
        <v>-0.21575392289306863</v>
      </c>
      <c r="O18" s="10"/>
      <c r="P18" s="21">
        <f>SUM(OSRRefP22x_0)</f>
        <v>39867.550000000003</v>
      </c>
      <c r="Q18" s="21"/>
      <c r="R18" s="35">
        <f t="shared" ref="R18:R27" si="4">IF(P$12=0,0,P18/P$12)</f>
        <v>0</v>
      </c>
      <c r="S18" s="21"/>
      <c r="T18" s="21">
        <f>SUM(OSRRefT22x_0)</f>
        <v>42592.570000000007</v>
      </c>
      <c r="U18" s="21"/>
      <c r="V18" s="35">
        <f t="shared" ref="V18:V27" si="5">IF(T$12=0,0,T18/T$12)</f>
        <v>0</v>
      </c>
      <c r="W18" s="4"/>
      <c r="X18" s="21">
        <f t="shared" ref="X18:X27" si="6">+P18-T18</f>
        <v>-2725.0200000000041</v>
      </c>
      <c r="Y18" s="4"/>
      <c r="Z18" s="35">
        <f t="shared" ref="Z18:Z27" si="7">IF(T18=0,0,X18/T18)</f>
        <v>-6.3978764371344671E-2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2616.1999999999998</v>
      </c>
      <c r="E19" s="1"/>
      <c r="F19" s="5">
        <f t="shared" si="0"/>
        <v>0</v>
      </c>
      <c r="G19" s="1"/>
      <c r="H19" s="1">
        <f>SUM(OSRRefH22_0x_0)</f>
        <v>2495.6999999999998</v>
      </c>
      <c r="I19" s="1"/>
      <c r="J19" s="5">
        <f t="shared" si="1"/>
        <v>0</v>
      </c>
      <c r="K19" s="1"/>
      <c r="L19" s="1">
        <f t="shared" si="2"/>
        <v>120.5</v>
      </c>
      <c r="M19" s="1"/>
      <c r="N19" s="5">
        <f t="shared" si="3"/>
        <v>4.828304684056578E-2</v>
      </c>
      <c r="O19" s="13"/>
      <c r="P19" s="1">
        <f>SUM(OSRRefP22_0x_0)</f>
        <v>12265.76</v>
      </c>
      <c r="Q19" s="1"/>
      <c r="R19" s="5">
        <f t="shared" si="4"/>
        <v>0</v>
      </c>
      <c r="S19" s="1"/>
      <c r="T19" s="1">
        <f>SUM(OSRRefT22_0x_0)</f>
        <v>13706.720000000001</v>
      </c>
      <c r="U19" s="1"/>
      <c r="V19" s="5">
        <f t="shared" si="5"/>
        <v>0</v>
      </c>
      <c r="W19" s="1"/>
      <c r="X19" s="1">
        <f t="shared" si="6"/>
        <v>-1440.9600000000009</v>
      </c>
      <c r="Y19" s="1"/>
      <c r="Z19" s="5">
        <f t="shared" si="7"/>
        <v>-0.10512799561091209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316.89999999999998</v>
      </c>
      <c r="E20" s="2"/>
      <c r="F20" s="7">
        <f t="shared" si="0"/>
        <v>0</v>
      </c>
      <c r="G20" s="2"/>
      <c r="H20" s="6">
        <v>320.27999999999997</v>
      </c>
      <c r="I20" s="2"/>
      <c r="J20" s="7">
        <f t="shared" si="1"/>
        <v>0</v>
      </c>
      <c r="K20" s="2"/>
      <c r="L20" s="6">
        <f t="shared" si="2"/>
        <v>-3.3799999999999955</v>
      </c>
      <c r="M20" s="2"/>
      <c r="N20" s="7">
        <f t="shared" si="3"/>
        <v>-1.0553265892344186E-2</v>
      </c>
      <c r="O20" s="11"/>
      <c r="P20" s="6">
        <v>1740.9</v>
      </c>
      <c r="Q20" s="2"/>
      <c r="R20" s="7">
        <f t="shared" si="4"/>
        <v>0</v>
      </c>
      <c r="S20" s="2"/>
      <c r="T20" s="6">
        <v>1800.67</v>
      </c>
      <c r="U20" s="2"/>
      <c r="V20" s="7">
        <f t="shared" si="5"/>
        <v>0</v>
      </c>
      <c r="W20" s="2"/>
      <c r="X20" s="6">
        <f t="shared" si="6"/>
        <v>-59.769999999999982</v>
      </c>
      <c r="Y20" s="2"/>
      <c r="Z20" s="7">
        <f t="shared" si="7"/>
        <v>-3.3193200308773943E-2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429.19</v>
      </c>
      <c r="E21" s="2"/>
      <c r="F21" s="7">
        <f t="shared" si="0"/>
        <v>0</v>
      </c>
      <c r="G21" s="2"/>
      <c r="H21" s="6">
        <v>283.45</v>
      </c>
      <c r="I21" s="2"/>
      <c r="J21" s="7">
        <f t="shared" si="1"/>
        <v>0</v>
      </c>
      <c r="K21" s="2"/>
      <c r="L21" s="6">
        <f t="shared" si="2"/>
        <v>145.74</v>
      </c>
      <c r="M21" s="2"/>
      <c r="N21" s="7">
        <f t="shared" si="3"/>
        <v>0.51416475568883402</v>
      </c>
      <c r="O21" s="11"/>
      <c r="P21" s="6">
        <v>1576.17</v>
      </c>
      <c r="Q21" s="2"/>
      <c r="R21" s="7">
        <f t="shared" si="4"/>
        <v>0</v>
      </c>
      <c r="S21" s="2"/>
      <c r="T21" s="6">
        <v>1094.06</v>
      </c>
      <c r="U21" s="2"/>
      <c r="V21" s="7">
        <f t="shared" si="5"/>
        <v>0</v>
      </c>
      <c r="W21" s="2"/>
      <c r="X21" s="6">
        <f t="shared" si="6"/>
        <v>482.11000000000013</v>
      </c>
      <c r="Y21" s="2"/>
      <c r="Z21" s="7">
        <f t="shared" si="7"/>
        <v>0.44066138968612339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696.16</v>
      </c>
      <c r="E22" s="2"/>
      <c r="F22" s="7">
        <f t="shared" si="0"/>
        <v>0</v>
      </c>
      <c r="G22" s="2"/>
      <c r="H22" s="6">
        <v>695.14</v>
      </c>
      <c r="I22" s="2"/>
      <c r="J22" s="7">
        <f t="shared" si="1"/>
        <v>0</v>
      </c>
      <c r="K22" s="2"/>
      <c r="L22" s="6">
        <f t="shared" si="2"/>
        <v>1.0199999999999818</v>
      </c>
      <c r="M22" s="2"/>
      <c r="N22" s="7">
        <f t="shared" si="3"/>
        <v>1.4673303219495091E-3</v>
      </c>
      <c r="O22" s="11"/>
      <c r="P22" s="6">
        <v>3480.8</v>
      </c>
      <c r="Q22" s="2"/>
      <c r="R22" s="7">
        <f t="shared" si="4"/>
        <v>0</v>
      </c>
      <c r="S22" s="2"/>
      <c r="T22" s="6">
        <v>3475.7</v>
      </c>
      <c r="U22" s="2"/>
      <c r="V22" s="7">
        <f t="shared" si="5"/>
        <v>0</v>
      </c>
      <c r="W22" s="2"/>
      <c r="X22" s="6">
        <f t="shared" si="6"/>
        <v>5.1000000000003638</v>
      </c>
      <c r="Y22" s="2"/>
      <c r="Z22" s="7">
        <f t="shared" si="7"/>
        <v>1.4673303219496401E-3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16.100000000000001</v>
      </c>
      <c r="E23" s="2"/>
      <c r="F23" s="7">
        <f t="shared" si="0"/>
        <v>0</v>
      </c>
      <c r="G23" s="2"/>
      <c r="H23" s="6">
        <v>10.89</v>
      </c>
      <c r="I23" s="2"/>
      <c r="J23" s="7">
        <f t="shared" si="1"/>
        <v>0</v>
      </c>
      <c r="K23" s="2"/>
      <c r="L23" s="6">
        <f t="shared" si="2"/>
        <v>5.2100000000000009</v>
      </c>
      <c r="M23" s="2"/>
      <c r="N23" s="7">
        <f t="shared" si="3"/>
        <v>0.47842056932966032</v>
      </c>
      <c r="O23" s="11"/>
      <c r="P23" s="6">
        <v>59.15</v>
      </c>
      <c r="Q23" s="2"/>
      <c r="R23" s="7">
        <f t="shared" si="4"/>
        <v>0</v>
      </c>
      <c r="S23" s="2"/>
      <c r="T23" s="6">
        <v>55.05</v>
      </c>
      <c r="U23" s="2"/>
      <c r="V23" s="7">
        <f t="shared" si="5"/>
        <v>0</v>
      </c>
      <c r="W23" s="2"/>
      <c r="X23" s="6">
        <f t="shared" si="6"/>
        <v>4.1000000000000014</v>
      </c>
      <c r="Y23" s="2"/>
      <c r="Z23" s="7">
        <f t="shared" si="7"/>
        <v>7.4477747502270694E-2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463.27</v>
      </c>
      <c r="E24" s="2"/>
      <c r="F24" s="7">
        <f t="shared" si="0"/>
        <v>0</v>
      </c>
      <c r="G24" s="2"/>
      <c r="H24" s="6">
        <v>429.26</v>
      </c>
      <c r="I24" s="2"/>
      <c r="J24" s="7">
        <f t="shared" si="1"/>
        <v>0</v>
      </c>
      <c r="K24" s="2"/>
      <c r="L24" s="6">
        <f t="shared" si="2"/>
        <v>34.009999999999991</v>
      </c>
      <c r="M24" s="2"/>
      <c r="N24" s="7">
        <f t="shared" si="3"/>
        <v>7.9229371476494406E-2</v>
      </c>
      <c r="O24" s="11"/>
      <c r="P24" s="6">
        <v>2547.9899999999998</v>
      </c>
      <c r="Q24" s="2"/>
      <c r="R24" s="7">
        <f t="shared" si="4"/>
        <v>0</v>
      </c>
      <c r="S24" s="2"/>
      <c r="T24" s="6">
        <v>2146.3000000000002</v>
      </c>
      <c r="U24" s="2"/>
      <c r="V24" s="7">
        <f t="shared" si="5"/>
        <v>0</v>
      </c>
      <c r="W24" s="2"/>
      <c r="X24" s="6">
        <f t="shared" si="6"/>
        <v>401.6899999999996</v>
      </c>
      <c r="Y24" s="2"/>
      <c r="Z24" s="7">
        <f t="shared" si="7"/>
        <v>0.18715463821460168</v>
      </c>
    </row>
    <row r="25" spans="1:26" s="24" customFormat="1" hidden="1" outlineLevel="2" x14ac:dyDescent="0.25">
      <c r="A25" s="25"/>
      <c r="B25" s="11" t="str">
        <f>CONCATENATE("          ", "6118", " - ", "VACATION")</f>
        <v xml:space="preserve">          6118 - VACATION</v>
      </c>
      <c r="C25" s="11"/>
      <c r="D25" s="6">
        <v>387.96</v>
      </c>
      <c r="E25" s="2"/>
      <c r="F25" s="7">
        <f t="shared" si="0"/>
        <v>0</v>
      </c>
      <c r="G25" s="2"/>
      <c r="H25" s="6">
        <v>387.96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1033.94</v>
      </c>
      <c r="Q25" s="2"/>
      <c r="R25" s="7">
        <f t="shared" si="4"/>
        <v>0</v>
      </c>
      <c r="S25" s="2"/>
      <c r="T25" s="6">
        <v>2449.0100000000002</v>
      </c>
      <c r="U25" s="2"/>
      <c r="V25" s="7">
        <f t="shared" si="5"/>
        <v>0</v>
      </c>
      <c r="W25" s="2"/>
      <c r="X25" s="6">
        <f t="shared" si="6"/>
        <v>-1415.0700000000002</v>
      </c>
      <c r="Y25" s="2"/>
      <c r="Z25" s="7">
        <f t="shared" si="7"/>
        <v>-0.57781307548764604</v>
      </c>
    </row>
    <row r="26" spans="1:26" s="24" customFormat="1" hidden="1" outlineLevel="2" x14ac:dyDescent="0.25">
      <c r="A26" s="25"/>
      <c r="B26" s="11" t="str">
        <f>CONCATENATE("          ", "6119", " - ", "SICK LEAVE")</f>
        <v xml:space="preserve">          6119 - SICK LEAVE</v>
      </c>
      <c r="C26" s="11"/>
      <c r="D26" s="6">
        <v>193.72</v>
      </c>
      <c r="E26" s="2"/>
      <c r="F26" s="7">
        <f t="shared" si="0"/>
        <v>0</v>
      </c>
      <c r="G26" s="2"/>
      <c r="H26" s="6">
        <v>193.72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1065.46</v>
      </c>
      <c r="Q26" s="2"/>
      <c r="R26" s="7">
        <f t="shared" si="4"/>
        <v>0</v>
      </c>
      <c r="S26" s="2"/>
      <c r="T26" s="6">
        <v>1910.5</v>
      </c>
      <c r="U26" s="2"/>
      <c r="V26" s="7">
        <f t="shared" si="5"/>
        <v>0</v>
      </c>
      <c r="W26" s="2"/>
      <c r="X26" s="6">
        <f t="shared" si="6"/>
        <v>-845.04</v>
      </c>
      <c r="Y26" s="2"/>
      <c r="Z26" s="7">
        <f t="shared" si="7"/>
        <v>-0.44231353048940064</v>
      </c>
    </row>
    <row r="27" spans="1:26" s="24" customFormat="1" hidden="1" outlineLevel="2" x14ac:dyDescent="0.25">
      <c r="A27" s="25"/>
      <c r="B27" s="11" t="str">
        <f>CONCATENATE("          ", "6156", " - ", "EMPLOYEE MEALS")</f>
        <v xml:space="preserve">          6156 - EMPLOYEE MEALS</v>
      </c>
      <c r="C27" s="11"/>
      <c r="D27" s="6">
        <v>112.9</v>
      </c>
      <c r="E27" s="2"/>
      <c r="F27" s="7">
        <f t="shared" si="0"/>
        <v>0</v>
      </c>
      <c r="G27" s="2"/>
      <c r="H27" s="6">
        <v>175</v>
      </c>
      <c r="I27" s="2"/>
      <c r="J27" s="7">
        <f t="shared" si="1"/>
        <v>0</v>
      </c>
      <c r="K27" s="2"/>
      <c r="L27" s="6">
        <f t="shared" si="2"/>
        <v>-62.099999999999994</v>
      </c>
      <c r="M27" s="2"/>
      <c r="N27" s="7">
        <f t="shared" si="3"/>
        <v>-0.35485714285714282</v>
      </c>
      <c r="O27" s="11"/>
      <c r="P27" s="6">
        <v>761.35</v>
      </c>
      <c r="Q27" s="2"/>
      <c r="R27" s="7">
        <f t="shared" si="4"/>
        <v>0</v>
      </c>
      <c r="S27" s="2"/>
      <c r="T27" s="6">
        <v>775.43</v>
      </c>
      <c r="U27" s="2"/>
      <c r="V27" s="7">
        <f t="shared" si="5"/>
        <v>0</v>
      </c>
      <c r="W27" s="2"/>
      <c r="X27" s="6">
        <f t="shared" si="6"/>
        <v>-14.079999999999927</v>
      </c>
      <c r="Y27" s="2"/>
      <c r="Z27" s="7">
        <f t="shared" si="7"/>
        <v>-1.8157667358755694E-2</v>
      </c>
    </row>
    <row r="28" spans="1:26" s="26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3149.8</v>
      </c>
      <c r="E28" s="1"/>
      <c r="F28" s="5">
        <f t="shared" ref="F28:F36" si="8">IF(D$12=0,0,D28/D$12)</f>
        <v>0</v>
      </c>
      <c r="G28" s="1"/>
      <c r="H28" s="1">
        <f>SUM(OSRRefH22_1x_0)</f>
        <v>4252.24</v>
      </c>
      <c r="I28" s="1"/>
      <c r="J28" s="5">
        <f t="shared" ref="J28:J36" si="9">IF(H$12=0,0,H28/H$12)</f>
        <v>0</v>
      </c>
      <c r="K28" s="1"/>
      <c r="L28" s="1">
        <f t="shared" ref="L28:L36" si="10">+D28-H28</f>
        <v>-1102.4399999999996</v>
      </c>
      <c r="M28" s="1"/>
      <c r="N28" s="5">
        <f t="shared" ref="N28:N36" si="11">IF(H28=0,0,L28/H28)</f>
        <v>-0.25926100126051205</v>
      </c>
      <c r="O28" s="13"/>
      <c r="P28" s="1">
        <f>SUM(OSRRefP22_1x_0)</f>
        <v>21418.66</v>
      </c>
      <c r="Q28" s="1"/>
      <c r="R28" s="5">
        <f t="shared" ref="R28:R36" si="12">IF(P$12=0,0,P28/P$12)</f>
        <v>0</v>
      </c>
      <c r="S28" s="1"/>
      <c r="T28" s="1">
        <f>SUM(OSRRefT22_1x_0)</f>
        <v>21799.329999999998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-380.66999999999825</v>
      </c>
      <c r="Y28" s="1"/>
      <c r="Z28" s="5">
        <f t="shared" ref="Z28:Z36" si="15">IF(T28=0,0,X28/T28)</f>
        <v>-1.7462463295890209E-2</v>
      </c>
    </row>
    <row r="29" spans="1:26" s="24" customFormat="1" hidden="1" outlineLevel="2" x14ac:dyDescent="0.25">
      <c r="A29" s="25"/>
      <c r="B29" s="11" t="str">
        <f>CONCATENATE("          ", "6002", " - ", "STAFF SALARIES")</f>
        <v xml:space="preserve">          6002 - STAFF SALARIES</v>
      </c>
      <c r="C29" s="11"/>
      <c r="D29" s="6">
        <v>3149.8</v>
      </c>
      <c r="E29" s="2"/>
      <c r="F29" s="7">
        <f t="shared" si="8"/>
        <v>0</v>
      </c>
      <c r="G29" s="2"/>
      <c r="H29" s="6">
        <v>4252.24</v>
      </c>
      <c r="I29" s="2"/>
      <c r="J29" s="7">
        <f t="shared" si="9"/>
        <v>0</v>
      </c>
      <c r="K29" s="2"/>
      <c r="L29" s="6">
        <f t="shared" si="10"/>
        <v>-1102.4399999999996</v>
      </c>
      <c r="M29" s="2"/>
      <c r="N29" s="7">
        <f t="shared" si="11"/>
        <v>-0.25926100126051205</v>
      </c>
      <c r="O29" s="11"/>
      <c r="P29" s="6">
        <v>21418.66</v>
      </c>
      <c r="Q29" s="2"/>
      <c r="R29" s="7">
        <f t="shared" si="12"/>
        <v>0</v>
      </c>
      <c r="S29" s="2"/>
      <c r="T29" s="6">
        <v>21799.329999999998</v>
      </c>
      <c r="U29" s="2"/>
      <c r="V29" s="7">
        <f t="shared" si="13"/>
        <v>0</v>
      </c>
      <c r="W29" s="2"/>
      <c r="X29" s="6">
        <f t="shared" si="14"/>
        <v>-380.66999999999825</v>
      </c>
      <c r="Y29" s="2"/>
      <c r="Z29" s="7">
        <f t="shared" si="15"/>
        <v>-1.7462463295890209E-2</v>
      </c>
    </row>
    <row r="30" spans="1:26" s="26" customFormat="1" outlineLevel="1" collapsed="1" x14ac:dyDescent="0.25">
      <c r="A30" s="27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-182</v>
      </c>
      <c r="I30" s="1"/>
      <c r="J30" s="5">
        <f t="shared" si="9"/>
        <v>0</v>
      </c>
      <c r="K30" s="1"/>
      <c r="L30" s="1">
        <f t="shared" si="10"/>
        <v>182</v>
      </c>
      <c r="M30" s="1"/>
      <c r="N30" s="5">
        <f t="shared" si="11"/>
        <v>-1</v>
      </c>
      <c r="O30" s="13"/>
      <c r="P30" s="1">
        <f>SUM(OSRRefP22_2x_0)</f>
        <v>0</v>
      </c>
      <c r="Q30" s="1"/>
      <c r="R30" s="5">
        <f t="shared" si="12"/>
        <v>0</v>
      </c>
      <c r="S30" s="1"/>
      <c r="T30" s="1">
        <f>SUM(OSRRefT22_2x_0)</f>
        <v>-509.65</v>
      </c>
      <c r="U30" s="1"/>
      <c r="V30" s="5">
        <f t="shared" si="13"/>
        <v>0</v>
      </c>
      <c r="W30" s="1"/>
      <c r="X30" s="1">
        <f t="shared" si="14"/>
        <v>509.65</v>
      </c>
      <c r="Y30" s="1"/>
      <c r="Z30" s="5">
        <f t="shared" si="15"/>
        <v>-1</v>
      </c>
    </row>
    <row r="31" spans="1:26" s="24" customFormat="1" hidden="1" outlineLevel="2" x14ac:dyDescent="0.25">
      <c r="A31" s="25"/>
      <c r="B31" s="11" t="str">
        <f>CONCATENATE("          ", "6279", " - ", "GENERAL EXPENSE")</f>
        <v xml:space="preserve">          6279 - GENERAL EXPENSE</v>
      </c>
      <c r="C31" s="11"/>
      <c r="D31" s="6"/>
      <c r="E31" s="2"/>
      <c r="F31" s="7">
        <f t="shared" si="8"/>
        <v>0</v>
      </c>
      <c r="G31" s="2"/>
      <c r="H31" s="6">
        <v>-182</v>
      </c>
      <c r="I31" s="2"/>
      <c r="J31" s="7">
        <f t="shared" si="9"/>
        <v>0</v>
      </c>
      <c r="K31" s="2"/>
      <c r="L31" s="6">
        <f t="shared" si="10"/>
        <v>182</v>
      </c>
      <c r="M31" s="2"/>
      <c r="N31" s="7">
        <f t="shared" si="11"/>
        <v>-1</v>
      </c>
      <c r="O31" s="11"/>
      <c r="P31" s="6"/>
      <c r="Q31" s="2"/>
      <c r="R31" s="7">
        <f t="shared" si="12"/>
        <v>0</v>
      </c>
      <c r="S31" s="2"/>
      <c r="T31" s="6">
        <v>-509.65</v>
      </c>
      <c r="U31" s="2"/>
      <c r="V31" s="7">
        <f t="shared" si="13"/>
        <v>0</v>
      </c>
      <c r="W31" s="2"/>
      <c r="X31" s="6">
        <f t="shared" si="14"/>
        <v>509.65</v>
      </c>
      <c r="Y31" s="2"/>
      <c r="Z31" s="7">
        <f t="shared" si="15"/>
        <v>-1</v>
      </c>
    </row>
    <row r="32" spans="1:26" s="26" customFormat="1" outlineLevel="1" collapsed="1" x14ac:dyDescent="0.25">
      <c r="A32" s="27"/>
      <c r="B32" s="13" t="str">
        <f>CONCATENATE("     ","Insurance                                         ")</f>
        <v xml:space="preserve">     Insurance                                         </v>
      </c>
      <c r="C32" s="13"/>
      <c r="D32" s="1">
        <f>SUM(OSRRefD22_3x_0)</f>
        <v>24.56</v>
      </c>
      <c r="E32" s="1"/>
      <c r="F32" s="5">
        <f t="shared" si="8"/>
        <v>0</v>
      </c>
      <c r="G32" s="1"/>
      <c r="H32" s="1">
        <f>SUM(OSRRefH22_3x_0)</f>
        <v>24.56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3"/>
      <c r="P32" s="1">
        <f>SUM(OSRRefP22_3x_0)</f>
        <v>122.8</v>
      </c>
      <c r="Q32" s="1"/>
      <c r="R32" s="5">
        <f t="shared" si="12"/>
        <v>0</v>
      </c>
      <c r="S32" s="1"/>
      <c r="T32" s="1">
        <f>SUM(OSRRefT22_3x_0)</f>
        <v>122.8</v>
      </c>
      <c r="U32" s="1"/>
      <c r="V32" s="5">
        <f t="shared" si="13"/>
        <v>0</v>
      </c>
      <c r="W32" s="1"/>
      <c r="X32" s="1">
        <f t="shared" si="14"/>
        <v>0</v>
      </c>
      <c r="Y32" s="1"/>
      <c r="Z32" s="5">
        <f t="shared" si="15"/>
        <v>0</v>
      </c>
    </row>
    <row r="33" spans="1:26" s="24" customFormat="1" hidden="1" outlineLevel="2" x14ac:dyDescent="0.25">
      <c r="A33" s="25"/>
      <c r="B33" s="11" t="str">
        <f>CONCATENATE("          ", "6314", " - ", "LIABILITY INSURANCE")</f>
        <v xml:space="preserve">          6314 - LIABILITY INSURANCE</v>
      </c>
      <c r="C33" s="11"/>
      <c r="D33" s="6">
        <v>24.56</v>
      </c>
      <c r="E33" s="2"/>
      <c r="F33" s="7">
        <f t="shared" si="8"/>
        <v>0</v>
      </c>
      <c r="G33" s="2"/>
      <c r="H33" s="6">
        <v>24.56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>
        <v>122.8</v>
      </c>
      <c r="Q33" s="2"/>
      <c r="R33" s="7">
        <f t="shared" si="12"/>
        <v>0</v>
      </c>
      <c r="S33" s="2"/>
      <c r="T33" s="6">
        <v>122.8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6" customFormat="1" outlineLevel="1" collapsed="1" x14ac:dyDescent="0.25">
      <c r="A34" s="27"/>
      <c r="B34" s="13" t="str">
        <f>CONCATENATE("     ","Repair and Maintenance                            ")</f>
        <v xml:space="preserve">     Repair and Maintenance                            </v>
      </c>
      <c r="C34" s="13"/>
      <c r="D34" s="1">
        <f>SUM(OSRRefD22_4x_0)</f>
        <v>485.1</v>
      </c>
      <c r="E34" s="1"/>
      <c r="F34" s="5">
        <f t="shared" si="8"/>
        <v>0</v>
      </c>
      <c r="G34" s="1"/>
      <c r="H34" s="1">
        <f>SUM(OSRRefH22_4x_0)</f>
        <v>1664.35</v>
      </c>
      <c r="I34" s="1"/>
      <c r="J34" s="5">
        <f t="shared" si="9"/>
        <v>0</v>
      </c>
      <c r="K34" s="1"/>
      <c r="L34" s="1">
        <f t="shared" si="10"/>
        <v>-1179.25</v>
      </c>
      <c r="M34" s="1"/>
      <c r="N34" s="5">
        <f t="shared" si="11"/>
        <v>-0.70853486346020977</v>
      </c>
      <c r="O34" s="13"/>
      <c r="P34" s="1">
        <f>SUM(OSRRefP22_4x_0)</f>
        <v>5634.29</v>
      </c>
      <c r="Q34" s="1"/>
      <c r="R34" s="5">
        <f t="shared" si="12"/>
        <v>0</v>
      </c>
      <c r="S34" s="1"/>
      <c r="T34" s="1">
        <f>SUM(OSRRefT22_4x_0)</f>
        <v>6118.91</v>
      </c>
      <c r="U34" s="1"/>
      <c r="V34" s="5">
        <f t="shared" si="13"/>
        <v>0</v>
      </c>
      <c r="W34" s="1"/>
      <c r="X34" s="1">
        <f t="shared" si="14"/>
        <v>-484.61999999999989</v>
      </c>
      <c r="Y34" s="1"/>
      <c r="Z34" s="5">
        <f t="shared" si="15"/>
        <v>-7.9200380459918493E-2</v>
      </c>
    </row>
    <row r="35" spans="1:26" s="24" customFormat="1" hidden="1" outlineLevel="2" x14ac:dyDescent="0.25">
      <c r="A35" s="25"/>
      <c r="B35" s="11" t="str">
        <f>CONCATENATE("          ", "6373", " - ", "MAINTENANCE CONTRACTS")</f>
        <v xml:space="preserve">          6373 - MAINTENANCE CONTRACTS</v>
      </c>
      <c r="C35" s="11"/>
      <c r="D35" s="6"/>
      <c r="E35" s="2"/>
      <c r="F35" s="7">
        <f t="shared" si="8"/>
        <v>0</v>
      </c>
      <c r="G35" s="2"/>
      <c r="H35" s="6">
        <v>1405.95</v>
      </c>
      <c r="I35" s="2"/>
      <c r="J35" s="7">
        <f t="shared" si="9"/>
        <v>0</v>
      </c>
      <c r="K35" s="2"/>
      <c r="L35" s="6">
        <f t="shared" si="10"/>
        <v>-1405.95</v>
      </c>
      <c r="M35" s="2"/>
      <c r="N35" s="7">
        <f t="shared" si="11"/>
        <v>-1</v>
      </c>
      <c r="O35" s="11"/>
      <c r="P35" s="6">
        <v>3464</v>
      </c>
      <c r="Q35" s="2"/>
      <c r="R35" s="7">
        <f t="shared" si="12"/>
        <v>0</v>
      </c>
      <c r="S35" s="2"/>
      <c r="T35" s="6">
        <v>5623.8</v>
      </c>
      <c r="U35" s="2"/>
      <c r="V35" s="7">
        <f t="shared" si="13"/>
        <v>0</v>
      </c>
      <c r="W35" s="2"/>
      <c r="X35" s="6">
        <f t="shared" si="14"/>
        <v>-2159.8000000000002</v>
      </c>
      <c r="Y35" s="2"/>
      <c r="Z35" s="7">
        <f t="shared" si="15"/>
        <v>-0.3840463743376365</v>
      </c>
    </row>
    <row r="36" spans="1:26" s="24" customFormat="1" hidden="1" outlineLevel="2" x14ac:dyDescent="0.25">
      <c r="A36" s="25"/>
      <c r="B36" s="11" t="str">
        <f>CONCATENATE("          ", "6375", " - ", "OUTSIDE REPAIRS &amp; MAINTENANCE")</f>
        <v xml:space="preserve">          6375 - OUTSIDE REPAIRS &amp; MAINTENANCE</v>
      </c>
      <c r="C36" s="11"/>
      <c r="D36" s="6">
        <v>485.1</v>
      </c>
      <c r="E36" s="2"/>
      <c r="F36" s="7">
        <f t="shared" si="8"/>
        <v>0</v>
      </c>
      <c r="G36" s="2"/>
      <c r="H36" s="6">
        <v>258.39999999999998</v>
      </c>
      <c r="I36" s="2"/>
      <c r="J36" s="7">
        <f t="shared" si="9"/>
        <v>0</v>
      </c>
      <c r="K36" s="2"/>
      <c r="L36" s="6">
        <f t="shared" si="10"/>
        <v>226.70000000000005</v>
      </c>
      <c r="M36" s="2"/>
      <c r="N36" s="7">
        <f t="shared" si="11"/>
        <v>0.87732198142414886</v>
      </c>
      <c r="O36" s="11"/>
      <c r="P36" s="6">
        <v>2170.29</v>
      </c>
      <c r="Q36" s="2"/>
      <c r="R36" s="7">
        <f t="shared" si="12"/>
        <v>0</v>
      </c>
      <c r="S36" s="2"/>
      <c r="T36" s="6">
        <v>495.11</v>
      </c>
      <c r="U36" s="2"/>
      <c r="V36" s="7">
        <f t="shared" si="13"/>
        <v>0</v>
      </c>
      <c r="W36" s="2"/>
      <c r="X36" s="6">
        <f t="shared" si="14"/>
        <v>1675.1799999999998</v>
      </c>
      <c r="Y36" s="2"/>
      <c r="Z36" s="7">
        <f t="shared" si="15"/>
        <v>3.3834501423925993</v>
      </c>
    </row>
    <row r="37" spans="1:26" s="26" customFormat="1" outlineLevel="1" collapsed="1" x14ac:dyDescent="0.25">
      <c r="A37" s="27"/>
      <c r="B37" s="13" t="str">
        <f>CONCATENATE("     ","Services                                          ")</f>
        <v xml:space="preserve">     Services                                          </v>
      </c>
      <c r="C37" s="13"/>
      <c r="D37" s="1">
        <f>SUM(OSRRefD22_5x_0)</f>
        <v>0</v>
      </c>
      <c r="E37" s="1"/>
      <c r="F37" s="5">
        <f t="shared" ref="F37:F42" si="16">IF(D$12=0,0,D37/D$12)</f>
        <v>0</v>
      </c>
      <c r="G37" s="1"/>
      <c r="H37" s="1">
        <f>SUM(OSRRefH22_5x_0)</f>
        <v>0</v>
      </c>
      <c r="I37" s="1"/>
      <c r="J37" s="5">
        <f t="shared" ref="J37:J42" si="17">IF(H$12=0,0,H37/H$12)</f>
        <v>0</v>
      </c>
      <c r="K37" s="1"/>
      <c r="L37" s="1">
        <f t="shared" ref="L37:L42" si="18">+D37-H37</f>
        <v>0</v>
      </c>
      <c r="M37" s="1"/>
      <c r="N37" s="5">
        <f t="shared" ref="N37:N42" si="19">IF(H37=0,0,L37/H37)</f>
        <v>0</v>
      </c>
      <c r="O37" s="13"/>
      <c r="P37" s="1">
        <f>SUM(OSRRefP22_5x_0)</f>
        <v>0</v>
      </c>
      <c r="Q37" s="1"/>
      <c r="R37" s="5">
        <f t="shared" ref="R37:R42" si="20">IF(P$12=0,0,P37/P$12)</f>
        <v>0</v>
      </c>
      <c r="S37" s="1"/>
      <c r="T37" s="1">
        <f>SUM(OSRRefT22_5x_0)</f>
        <v>39.78</v>
      </c>
      <c r="U37" s="1"/>
      <c r="V37" s="5">
        <f t="shared" ref="V37:V42" si="21">IF(T$12=0,0,T37/T$12)</f>
        <v>0</v>
      </c>
      <c r="W37" s="1"/>
      <c r="X37" s="1">
        <f t="shared" ref="X37:X42" si="22">+P37-T37</f>
        <v>-39.78</v>
      </c>
      <c r="Y37" s="1"/>
      <c r="Z37" s="5">
        <f t="shared" ref="Z37:Z42" si="23">IF(T37=0,0,X37/T37)</f>
        <v>-1</v>
      </c>
    </row>
    <row r="38" spans="1:26" s="24" customFormat="1" hidden="1" outlineLevel="2" x14ac:dyDescent="0.25">
      <c r="A38" s="25"/>
      <c r="B38" s="11" t="str">
        <f>CONCATENATE("          ", "6286", " - ", "LAUNDRY EXPENSE")</f>
        <v xml:space="preserve">          6286 - LAUNDRY EXPENSE</v>
      </c>
      <c r="C38" s="11"/>
      <c r="D38" s="6"/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/>
      <c r="Q38" s="2"/>
      <c r="R38" s="7">
        <f t="shared" si="20"/>
        <v>0</v>
      </c>
      <c r="S38" s="2"/>
      <c r="T38" s="6">
        <v>39.78</v>
      </c>
      <c r="U38" s="2"/>
      <c r="V38" s="7">
        <f t="shared" si="21"/>
        <v>0</v>
      </c>
      <c r="W38" s="2"/>
      <c r="X38" s="6">
        <f t="shared" si="22"/>
        <v>-39.78</v>
      </c>
      <c r="Y38" s="2"/>
      <c r="Z38" s="7">
        <f t="shared" si="23"/>
        <v>-1</v>
      </c>
    </row>
    <row r="39" spans="1:26" s="26" customFormat="1" outlineLevel="1" collapsed="1" x14ac:dyDescent="0.25">
      <c r="A39" s="27"/>
      <c r="B39" s="13" t="str">
        <f>CONCATENATE("     ","Supplies                                          ")</f>
        <v xml:space="preserve">     Supplies                                          </v>
      </c>
      <c r="C39" s="13"/>
      <c r="D39" s="1">
        <f>SUM(OSRRefD22_6x_0)</f>
        <v>66.12</v>
      </c>
      <c r="E39" s="1"/>
      <c r="F39" s="5">
        <f t="shared" si="16"/>
        <v>0</v>
      </c>
      <c r="G39" s="1"/>
      <c r="H39" s="1">
        <f>SUM(OSRRefH22_6x_0)</f>
        <v>0</v>
      </c>
      <c r="I39" s="1"/>
      <c r="J39" s="5">
        <f t="shared" si="17"/>
        <v>0</v>
      </c>
      <c r="K39" s="1"/>
      <c r="L39" s="1">
        <f t="shared" si="18"/>
        <v>66.12</v>
      </c>
      <c r="M39" s="1"/>
      <c r="N39" s="5">
        <f t="shared" si="19"/>
        <v>0</v>
      </c>
      <c r="O39" s="13"/>
      <c r="P39" s="1">
        <f>SUM(OSRRefP22_6x_0)</f>
        <v>82.04</v>
      </c>
      <c r="Q39" s="1"/>
      <c r="R39" s="5">
        <f t="shared" si="20"/>
        <v>0</v>
      </c>
      <c r="S39" s="1"/>
      <c r="T39" s="1">
        <f>SUM(OSRRefT22_6x_0)</f>
        <v>744.92</v>
      </c>
      <c r="U39" s="1"/>
      <c r="V39" s="5">
        <f t="shared" si="21"/>
        <v>0</v>
      </c>
      <c r="W39" s="1"/>
      <c r="X39" s="1">
        <f t="shared" si="22"/>
        <v>-662.88</v>
      </c>
      <c r="Y39" s="1"/>
      <c r="Z39" s="5">
        <f t="shared" si="23"/>
        <v>-0.88986736830800628</v>
      </c>
    </row>
    <row r="40" spans="1:26" s="24" customFormat="1" hidden="1" outlineLevel="2" x14ac:dyDescent="0.25">
      <c r="A40" s="25"/>
      <c r="B40" s="11" t="str">
        <f>CONCATENATE("          ", "6234", " - ", "EXPENDABLE SUPPLIES &amp; EQUIPMEN")</f>
        <v xml:space="preserve">          6234 - EXPENDABLE SUPPLIES &amp; EQUIPMEN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693.5</v>
      </c>
      <c r="U40" s="2"/>
      <c r="V40" s="7">
        <f t="shared" si="21"/>
        <v>0</v>
      </c>
      <c r="W40" s="2"/>
      <c r="X40" s="6">
        <f t="shared" si="22"/>
        <v>-693.5</v>
      </c>
      <c r="Y40" s="2"/>
      <c r="Z40" s="7">
        <f t="shared" si="23"/>
        <v>-1</v>
      </c>
    </row>
    <row r="41" spans="1:26" s="24" customFormat="1" hidden="1" outlineLevel="2" x14ac:dyDescent="0.25">
      <c r="A41" s="25"/>
      <c r="B41" s="11" t="str">
        <f>CONCATENATE("          ", "6235", " - ", "COVID-19 EXPENSES")</f>
        <v xml:space="preserve">          6235 - COVID-19 EXPENSES</v>
      </c>
      <c r="C41" s="11"/>
      <c r="D41" s="6">
        <v>66.12</v>
      </c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66.12</v>
      </c>
      <c r="M41" s="2"/>
      <c r="N41" s="7">
        <f t="shared" si="19"/>
        <v>0</v>
      </c>
      <c r="O41" s="11"/>
      <c r="P41" s="6">
        <v>66.12</v>
      </c>
      <c r="Q41" s="2"/>
      <c r="R41" s="7">
        <f t="shared" si="20"/>
        <v>0</v>
      </c>
      <c r="S41" s="2"/>
      <c r="T41" s="6"/>
      <c r="U41" s="2"/>
      <c r="V41" s="7">
        <f t="shared" si="21"/>
        <v>0</v>
      </c>
      <c r="W41" s="2"/>
      <c r="X41" s="6">
        <f t="shared" si="22"/>
        <v>66.12</v>
      </c>
      <c r="Y41" s="2"/>
      <c r="Z41" s="7">
        <f t="shared" si="23"/>
        <v>0</v>
      </c>
    </row>
    <row r="42" spans="1:26" s="24" customFormat="1" hidden="1" outlineLevel="2" x14ac:dyDescent="0.25">
      <c r="A42" s="25"/>
      <c r="B42" s="11" t="str">
        <f>CONCATENATE("          ", "6241", " - ", "OFFICE EXPENSE")</f>
        <v xml:space="preserve">          6241 - OFFICE EXPENSE</v>
      </c>
      <c r="C42" s="11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15.92</v>
      </c>
      <c r="Q42" s="2"/>
      <c r="R42" s="7">
        <f t="shared" si="20"/>
        <v>0</v>
      </c>
      <c r="S42" s="2"/>
      <c r="T42" s="6">
        <v>51.42</v>
      </c>
      <c r="U42" s="2"/>
      <c r="V42" s="7">
        <f t="shared" si="21"/>
        <v>0</v>
      </c>
      <c r="W42" s="2"/>
      <c r="X42" s="6">
        <f t="shared" si="22"/>
        <v>-35.5</v>
      </c>
      <c r="Y42" s="2"/>
      <c r="Z42" s="7">
        <f t="shared" si="23"/>
        <v>-0.69039284325165307</v>
      </c>
    </row>
    <row r="43" spans="1:26" s="26" customFormat="1" outlineLevel="1" collapsed="1" x14ac:dyDescent="0.25">
      <c r="A43" s="27"/>
      <c r="B43" s="13" t="str">
        <f>CONCATENATE("     ","Telephone/Data Lines                              ")</f>
        <v xml:space="preserve">     Telephone/Data Lines                              </v>
      </c>
      <c r="C43" s="13"/>
      <c r="D43" s="1">
        <f>SUM(OSRRefD22_7x_0)</f>
        <v>73</v>
      </c>
      <c r="E43" s="1"/>
      <c r="F43" s="5">
        <f t="shared" ref="F43:F46" si="24">IF(D$12=0,0,D43/D$12)</f>
        <v>0</v>
      </c>
      <c r="G43" s="1"/>
      <c r="H43" s="1">
        <f>SUM(OSRRefH22_7x_0)</f>
        <v>-75.3</v>
      </c>
      <c r="I43" s="1"/>
      <c r="J43" s="5">
        <f t="shared" ref="J43:J46" si="25">IF(H$12=0,0,H43/H$12)</f>
        <v>0</v>
      </c>
      <c r="K43" s="1"/>
      <c r="L43" s="1">
        <f t="shared" ref="L43:L46" si="26">+D43-H43</f>
        <v>148.30000000000001</v>
      </c>
      <c r="M43" s="1"/>
      <c r="N43" s="5">
        <f t="shared" ref="N43:N46" si="27">IF(H43=0,0,L43/H43)</f>
        <v>-1.9694555112881809</v>
      </c>
      <c r="O43" s="13"/>
      <c r="P43" s="1">
        <f>SUM(OSRRefP22_7x_0)</f>
        <v>344</v>
      </c>
      <c r="Q43" s="1"/>
      <c r="R43" s="5">
        <f t="shared" ref="R43:R46" si="28">IF(P$12=0,0,P43/P$12)</f>
        <v>0</v>
      </c>
      <c r="S43" s="1"/>
      <c r="T43" s="1">
        <f>SUM(OSRRefT22_7x_0)</f>
        <v>312.89999999999998</v>
      </c>
      <c r="U43" s="1"/>
      <c r="V43" s="5">
        <f t="shared" ref="V43:V46" si="29">IF(T$12=0,0,T43/T$12)</f>
        <v>0</v>
      </c>
      <c r="W43" s="1"/>
      <c r="X43" s="1">
        <f t="shared" ref="X43:X46" si="30">+P43-T43</f>
        <v>31.100000000000023</v>
      </c>
      <c r="Y43" s="1"/>
      <c r="Z43" s="5">
        <f t="shared" ref="Z43:Z46" si="31">IF(T43=0,0,X43/T43)</f>
        <v>9.9392777245126324E-2</v>
      </c>
    </row>
    <row r="44" spans="1:26" s="24" customFormat="1" hidden="1" outlineLevel="2" x14ac:dyDescent="0.25">
      <c r="A44" s="25"/>
      <c r="B44" s="11" t="str">
        <f>CONCATENATE("          ", "6309", " - ", "TELEPHONE")</f>
        <v xml:space="preserve">          6309 - TELEPHONE</v>
      </c>
      <c r="C44" s="11"/>
      <c r="D44" s="6">
        <v>73</v>
      </c>
      <c r="E44" s="2"/>
      <c r="F44" s="7">
        <f t="shared" si="24"/>
        <v>0</v>
      </c>
      <c r="G44" s="2"/>
      <c r="H44" s="6">
        <v>-75.3</v>
      </c>
      <c r="I44" s="2"/>
      <c r="J44" s="7">
        <f t="shared" si="25"/>
        <v>0</v>
      </c>
      <c r="K44" s="2"/>
      <c r="L44" s="6">
        <f t="shared" si="26"/>
        <v>148.30000000000001</v>
      </c>
      <c r="M44" s="2"/>
      <c r="N44" s="7">
        <f t="shared" si="27"/>
        <v>-1.9694555112881809</v>
      </c>
      <c r="O44" s="11"/>
      <c r="P44" s="6">
        <v>344</v>
      </c>
      <c r="Q44" s="2"/>
      <c r="R44" s="7">
        <f t="shared" si="28"/>
        <v>0</v>
      </c>
      <c r="S44" s="2"/>
      <c r="T44" s="6">
        <v>312.89999999999998</v>
      </c>
      <c r="U44" s="2"/>
      <c r="V44" s="7">
        <f t="shared" si="29"/>
        <v>0</v>
      </c>
      <c r="W44" s="2"/>
      <c r="X44" s="6">
        <f t="shared" si="30"/>
        <v>31.100000000000023</v>
      </c>
      <c r="Y44" s="2"/>
      <c r="Z44" s="7">
        <f t="shared" si="31"/>
        <v>9.9392777245126324E-2</v>
      </c>
    </row>
    <row r="45" spans="1:26" s="26" customFormat="1" outlineLevel="1" collapsed="1" x14ac:dyDescent="0.25">
      <c r="A45" s="27"/>
      <c r="B45" s="13" t="str">
        <f>CONCATENATE("     ","Travel                                            ")</f>
        <v xml:space="preserve">     Travel                                            </v>
      </c>
      <c r="C45" s="13"/>
      <c r="D45" s="1">
        <f>SUM(OSRRefD22_8x_0)</f>
        <v>0</v>
      </c>
      <c r="E45" s="1"/>
      <c r="F45" s="5">
        <f t="shared" si="24"/>
        <v>0</v>
      </c>
      <c r="G45" s="1"/>
      <c r="H45" s="1">
        <f>SUM(OSRRefH22_8x_0)</f>
        <v>0</v>
      </c>
      <c r="I45" s="1"/>
      <c r="J45" s="5">
        <f t="shared" si="25"/>
        <v>0</v>
      </c>
      <c r="K45" s="1"/>
      <c r="L45" s="1">
        <f t="shared" si="26"/>
        <v>0</v>
      </c>
      <c r="M45" s="1"/>
      <c r="N45" s="5">
        <f t="shared" si="27"/>
        <v>0</v>
      </c>
      <c r="O45" s="13"/>
      <c r="P45" s="1">
        <f>SUM(OSRRefP22_8x_0)</f>
        <v>0</v>
      </c>
      <c r="Q45" s="1"/>
      <c r="R45" s="5">
        <f t="shared" si="28"/>
        <v>0</v>
      </c>
      <c r="S45" s="1"/>
      <c r="T45" s="1">
        <f>SUM(OSRRefT22_8x_0)</f>
        <v>256.86</v>
      </c>
      <c r="U45" s="1"/>
      <c r="V45" s="5">
        <f t="shared" si="29"/>
        <v>0</v>
      </c>
      <c r="W45" s="1"/>
      <c r="X45" s="1">
        <f t="shared" si="30"/>
        <v>-256.86</v>
      </c>
      <c r="Y45" s="1"/>
      <c r="Z45" s="5">
        <f t="shared" si="31"/>
        <v>-1</v>
      </c>
    </row>
    <row r="46" spans="1:26" s="24" customFormat="1" hidden="1" outlineLevel="2" x14ac:dyDescent="0.25">
      <c r="A46" s="25"/>
      <c r="B46" s="11" t="str">
        <f>CONCATENATE("          ", "6292", " - ", "TRAVEL/CONFERENCE")</f>
        <v xml:space="preserve">          6292 - TRAVEL/CONFERENCE</v>
      </c>
      <c r="C46" s="11"/>
      <c r="D46" s="6"/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0</v>
      </c>
      <c r="M46" s="2"/>
      <c r="N46" s="7">
        <f t="shared" si="27"/>
        <v>0</v>
      </c>
      <c r="O46" s="11"/>
      <c r="P46" s="6"/>
      <c r="Q46" s="2"/>
      <c r="R46" s="7">
        <f t="shared" si="28"/>
        <v>0</v>
      </c>
      <c r="S46" s="2"/>
      <c r="T46" s="6">
        <v>256.86</v>
      </c>
      <c r="U46" s="2"/>
      <c r="V46" s="7">
        <f t="shared" si="29"/>
        <v>0</v>
      </c>
      <c r="W46" s="2"/>
      <c r="X46" s="6">
        <f t="shared" si="30"/>
        <v>-256.86</v>
      </c>
      <c r="Y46" s="2"/>
      <c r="Z46" s="7">
        <f t="shared" si="31"/>
        <v>-1</v>
      </c>
    </row>
    <row r="47" spans="1:26" s="53" customFormat="1" x14ac:dyDescent="0.25">
      <c r="A47" s="37"/>
      <c r="B47" s="37"/>
      <c r="C47" s="37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9" t="s">
        <v>0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8" t="s">
        <v>3</v>
      </c>
      <c r="C50" s="28"/>
      <c r="D50" s="20">
        <f>+D16-D18+D48</f>
        <v>-6414.7800000000007</v>
      </c>
      <c r="E50" s="14"/>
      <c r="F50" s="22">
        <f>IF(D$12=0,0,D50/D$12)</f>
        <v>0</v>
      </c>
      <c r="G50" s="14"/>
      <c r="H50" s="20">
        <f>+H16-H18+H48</f>
        <v>-8179.55</v>
      </c>
      <c r="I50" s="14"/>
      <c r="J50" s="22">
        <f>IF(H$12=0,0,H50/H$12)</f>
        <v>0</v>
      </c>
      <c r="K50" s="15"/>
      <c r="L50" s="20">
        <f>+D50-H50</f>
        <v>1764.7699999999995</v>
      </c>
      <c r="M50" s="15"/>
      <c r="N50" s="22">
        <f>IF(H50=0,0,L50/H50)</f>
        <v>-0.21575392289306863</v>
      </c>
      <c r="O50" s="29"/>
      <c r="P50" s="20">
        <f>+P16-P18+P48</f>
        <v>-39867.550000000003</v>
      </c>
      <c r="Q50" s="14"/>
      <c r="R50" s="22">
        <f>IF(P$12=0,0,P50/P$12)</f>
        <v>0</v>
      </c>
      <c r="S50" s="14"/>
      <c r="T50" s="20">
        <f>+T16-T18+T48</f>
        <v>-42592.570000000007</v>
      </c>
      <c r="U50" s="14"/>
      <c r="V50" s="22">
        <f>IF(T$12=0,0,T50/T$12)</f>
        <v>0</v>
      </c>
      <c r="W50" s="15"/>
      <c r="X50" s="20">
        <f>+P50-T50</f>
        <v>2725.0200000000041</v>
      </c>
      <c r="Y50" s="15"/>
      <c r="Z50" s="22">
        <f>IF(T50=0,0,X50/T50)</f>
        <v>-6.3978764371344671E-2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51"/>
      <c r="B52" s="10" t="s">
        <v>13</v>
      </c>
      <c r="C52" s="10"/>
      <c r="D52" s="4"/>
      <c r="E52" s="4"/>
      <c r="F52" s="12">
        <f>IF(D$12=0,0,D52/D$12)</f>
        <v>0</v>
      </c>
      <c r="G52" s="4"/>
      <c r="H52" s="4"/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/>
      <c r="Q52" s="4"/>
      <c r="R52" s="12">
        <f>IF(P$12=0,0,P52/P$12)</f>
        <v>0</v>
      </c>
      <c r="S52" s="4"/>
      <c r="T52" s="4"/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8" t="s">
        <v>4</v>
      </c>
      <c r="C54" s="28"/>
      <c r="D54" s="31">
        <f>+D50-D52</f>
        <v>-6414.7800000000007</v>
      </c>
      <c r="E54" s="14"/>
      <c r="F54" s="34">
        <f>IF(D$12=0,0,D54/D$12)</f>
        <v>0</v>
      </c>
      <c r="G54" s="14"/>
      <c r="H54" s="31">
        <f>+H50-H52</f>
        <v>-8179.55</v>
      </c>
      <c r="I54" s="14"/>
      <c r="J54" s="34">
        <f>IF(H$12=0,0,H54/H$12)</f>
        <v>0</v>
      </c>
      <c r="K54" s="15"/>
      <c r="L54" s="31">
        <f>D54-H54</f>
        <v>1764.7699999999995</v>
      </c>
      <c r="M54" s="15"/>
      <c r="N54" s="34">
        <f>IF(H54=0,0,L54/H54)</f>
        <v>-0.21575392289306863</v>
      </c>
      <c r="O54" s="29"/>
      <c r="P54" s="31">
        <f>+P50-P52</f>
        <v>-39867.550000000003</v>
      </c>
      <c r="Q54" s="14"/>
      <c r="R54" s="34">
        <f>IF(P$12=0,0,P54/P$12)</f>
        <v>0</v>
      </c>
      <c r="S54" s="14"/>
      <c r="T54" s="31">
        <f>+T50-T52</f>
        <v>-42592.570000000007</v>
      </c>
      <c r="U54" s="14"/>
      <c r="V54" s="34">
        <f>IF(T$12=0,0,T54/T$12)</f>
        <v>0</v>
      </c>
      <c r="W54" s="15"/>
      <c r="X54" s="31">
        <f>P54-T54</f>
        <v>2725.0200000000041</v>
      </c>
      <c r="Y54" s="15"/>
      <c r="Z54" s="34">
        <f>IF(T54=0,0,X54/T54)</f>
        <v>-6.3978764371344671E-2</v>
      </c>
    </row>
    <row r="55" spans="1:26" ht="15.75" thickTop="1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8" t="s">
        <v>5</v>
      </c>
      <c r="C57" s="28"/>
      <c r="D57" s="32">
        <f>SUM(D54:D56)</f>
        <v>-6414.7800000000007</v>
      </c>
      <c r="E57" s="14"/>
      <c r="F57" s="30">
        <f>IF(D$12=0,0,D57/D$12)</f>
        <v>0</v>
      </c>
      <c r="G57" s="14"/>
      <c r="H57" s="32">
        <f>SUM(H54:H56)</f>
        <v>-8179.55</v>
      </c>
      <c r="I57" s="14"/>
      <c r="J57" s="30">
        <f>IF(H$12=0,0,H57/H$12)</f>
        <v>0</v>
      </c>
      <c r="K57" s="15"/>
      <c r="L57" s="32">
        <f>+D57-H57</f>
        <v>1764.7699999999995</v>
      </c>
      <c r="M57" s="15"/>
      <c r="N57" s="30">
        <f>IF(H57=0,0,L57/H57)</f>
        <v>-0.21575392289306863</v>
      </c>
      <c r="O57" s="29"/>
      <c r="P57" s="32">
        <f>SUM(P54:P56)</f>
        <v>-39867.550000000003</v>
      </c>
      <c r="Q57" s="14"/>
      <c r="R57" s="30">
        <f>IF(P$12=0,0,P57/P$12)</f>
        <v>0</v>
      </c>
      <c r="S57" s="14"/>
      <c r="T57" s="32">
        <f>SUM(T54:T56)</f>
        <v>-42592.570000000007</v>
      </c>
      <c r="U57" s="14"/>
      <c r="V57" s="30">
        <f>IF(T$12=0,0,T57/T$12)</f>
        <v>0</v>
      </c>
      <c r="W57" s="15"/>
      <c r="X57" s="32">
        <f>+P57-T57</f>
        <v>2725.0200000000041</v>
      </c>
      <c r="Y57" s="15"/>
      <c r="Z57" s="30">
        <f>IF(T57=0,0,X57/T57)</f>
        <v>-6.3978764371344671E-2</v>
      </c>
    </row>
    <row r="58" spans="1:26" ht="15.75" thickTop="1" x14ac:dyDescent="0.25">
      <c r="A58" s="9"/>
      <c r="C58" s="9"/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  <row r="59" spans="1:26" x14ac:dyDescent="0.25">
      <c r="A59" s="9"/>
      <c r="B59" s="54">
        <v>44174.685418634261</v>
      </c>
      <c r="D59" s="17"/>
      <c r="E59" s="17"/>
      <c r="G59" s="17"/>
      <c r="H59" s="17"/>
      <c r="I59" s="17"/>
      <c r="J59" s="43"/>
      <c r="K59" s="17"/>
      <c r="L59" s="17"/>
      <c r="M59" s="17"/>
      <c r="P59" s="17"/>
      <c r="Q59" s="17"/>
      <c r="R59" s="43"/>
      <c r="S59" s="17"/>
      <c r="T59" s="17"/>
      <c r="U59" s="17"/>
      <c r="V59" s="43"/>
      <c r="W59" s="17"/>
      <c r="X59" s="17"/>
    </row>
    <row r="60" spans="1:26" x14ac:dyDescent="0.25">
      <c r="A60" s="9"/>
      <c r="B60" s="56" t="s">
        <v>313</v>
      </c>
      <c r="D60" s="17"/>
      <c r="E60" s="17"/>
      <c r="G60" s="17"/>
      <c r="H60" s="17"/>
      <c r="I60" s="17"/>
      <c r="J60" s="43"/>
      <c r="K60" s="17"/>
      <c r="L60" s="17"/>
      <c r="M60" s="17"/>
      <c r="P60" s="17"/>
      <c r="Q60" s="17"/>
      <c r="R60" s="43"/>
      <c r="S60" s="17"/>
      <c r="T60" s="17"/>
      <c r="U60" s="17"/>
      <c r="V60" s="43"/>
      <c r="W60" s="17"/>
      <c r="X60" s="17"/>
    </row>
    <row r="61" spans="1:26" x14ac:dyDescent="0.25">
      <c r="A61" s="9"/>
      <c r="B61" s="61"/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  <row r="62" spans="1:26" x14ac:dyDescent="0.25"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","206", " - ", "Graphics")</f>
        <v>Department 206 - Graphics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7104.2199999999993</v>
      </c>
      <c r="E18" s="21"/>
      <c r="F18" s="35">
        <f t="shared" ref="F18:F26" si="0">IF(D$12=0,0,D18/D$12)</f>
        <v>0</v>
      </c>
      <c r="G18" s="21"/>
      <c r="H18" s="21">
        <f>SUM(OSRRefH22x_0)</f>
        <v>6521.0400000000009</v>
      </c>
      <c r="I18" s="21"/>
      <c r="J18" s="35">
        <f t="shared" ref="J18:J26" si="1">IF(H$12=0,0,H18/H$12)</f>
        <v>0</v>
      </c>
      <c r="K18" s="4"/>
      <c r="L18" s="21">
        <f t="shared" ref="L18:L26" si="2">+D18-H18</f>
        <v>583.17999999999847</v>
      </c>
      <c r="M18" s="4"/>
      <c r="N18" s="35">
        <f t="shared" ref="N18:N26" si="3">IF(H18=0,0,L18/H18)</f>
        <v>8.9430520285107645E-2</v>
      </c>
      <c r="O18" s="10"/>
      <c r="P18" s="21">
        <f>SUM(OSRRefP22x_0)</f>
        <v>43759.709999999992</v>
      </c>
      <c r="Q18" s="21"/>
      <c r="R18" s="35">
        <f t="shared" ref="R18:R26" si="4">IF(P$12=0,0,P18/P$12)</f>
        <v>0</v>
      </c>
      <c r="S18" s="21"/>
      <c r="T18" s="21">
        <f>SUM(OSRRefT22x_0)</f>
        <v>36604.44999999999</v>
      </c>
      <c r="U18" s="21"/>
      <c r="V18" s="35">
        <f t="shared" ref="V18:V26" si="5">IF(T$12=0,0,T18/T$12)</f>
        <v>0</v>
      </c>
      <c r="W18" s="4"/>
      <c r="X18" s="21">
        <f t="shared" ref="X18:X26" si="6">+P18-T18</f>
        <v>7155.260000000002</v>
      </c>
      <c r="Y18" s="4"/>
      <c r="Z18" s="35">
        <f t="shared" ref="Z18:Z26" si="7">IF(T18=0,0,X18/T18)</f>
        <v>0.19547514031763907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1496.02</v>
      </c>
      <c r="E19" s="1"/>
      <c r="F19" s="5">
        <f t="shared" si="0"/>
        <v>0</v>
      </c>
      <c r="G19" s="1"/>
      <c r="H19" s="1">
        <f>SUM(OSRRefH22_0x_0)</f>
        <v>1723.3100000000002</v>
      </c>
      <c r="I19" s="1"/>
      <c r="J19" s="5">
        <f t="shared" si="1"/>
        <v>0</v>
      </c>
      <c r="K19" s="1"/>
      <c r="L19" s="1">
        <f t="shared" si="2"/>
        <v>-227.29000000000019</v>
      </c>
      <c r="M19" s="1"/>
      <c r="N19" s="5">
        <f t="shared" si="3"/>
        <v>-0.13189153431477804</v>
      </c>
      <c r="O19" s="13"/>
      <c r="P19" s="1">
        <f>SUM(OSRRefP22_0x_0)</f>
        <v>7955.3399999999992</v>
      </c>
      <c r="Q19" s="1"/>
      <c r="R19" s="5">
        <f t="shared" si="4"/>
        <v>0</v>
      </c>
      <c r="S19" s="1"/>
      <c r="T19" s="1">
        <f>SUM(OSRRefT22_0x_0)</f>
        <v>9532.8799999999992</v>
      </c>
      <c r="U19" s="1"/>
      <c r="V19" s="5">
        <f t="shared" si="5"/>
        <v>0</v>
      </c>
      <c r="W19" s="1"/>
      <c r="X19" s="1">
        <f t="shared" si="6"/>
        <v>-1577.54</v>
      </c>
      <c r="Y19" s="1"/>
      <c r="Z19" s="5">
        <f t="shared" si="7"/>
        <v>-0.16548409294987454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338.48</v>
      </c>
      <c r="E20" s="2"/>
      <c r="F20" s="7">
        <f t="shared" si="0"/>
        <v>0</v>
      </c>
      <c r="G20" s="2"/>
      <c r="H20" s="6">
        <v>385.04</v>
      </c>
      <c r="I20" s="2"/>
      <c r="J20" s="7">
        <f t="shared" si="1"/>
        <v>0</v>
      </c>
      <c r="K20" s="2"/>
      <c r="L20" s="6">
        <f t="shared" si="2"/>
        <v>-46.56</v>
      </c>
      <c r="M20" s="2"/>
      <c r="N20" s="7">
        <f t="shared" si="3"/>
        <v>-0.12092250155827966</v>
      </c>
      <c r="O20" s="11"/>
      <c r="P20" s="6">
        <v>2023.65</v>
      </c>
      <c r="Q20" s="2"/>
      <c r="R20" s="7">
        <f t="shared" si="4"/>
        <v>0</v>
      </c>
      <c r="S20" s="2"/>
      <c r="T20" s="6">
        <v>2798.21</v>
      </c>
      <c r="U20" s="2"/>
      <c r="V20" s="7">
        <f t="shared" si="5"/>
        <v>0</v>
      </c>
      <c r="W20" s="2"/>
      <c r="X20" s="6">
        <f t="shared" si="6"/>
        <v>-774.56</v>
      </c>
      <c r="Y20" s="2"/>
      <c r="Z20" s="7">
        <f t="shared" si="7"/>
        <v>-0.2768055292490556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28.23</v>
      </c>
      <c r="E21" s="2"/>
      <c r="F21" s="7">
        <f t="shared" si="0"/>
        <v>0</v>
      </c>
      <c r="G21" s="2"/>
      <c r="H21" s="6">
        <v>32.57</v>
      </c>
      <c r="I21" s="2"/>
      <c r="J21" s="7">
        <f t="shared" si="1"/>
        <v>0</v>
      </c>
      <c r="K21" s="2"/>
      <c r="L21" s="6">
        <f t="shared" si="2"/>
        <v>-4.34</v>
      </c>
      <c r="M21" s="2"/>
      <c r="N21" s="7">
        <f t="shared" si="3"/>
        <v>-0.13325145839729813</v>
      </c>
      <c r="O21" s="11"/>
      <c r="P21" s="6">
        <v>108.08</v>
      </c>
      <c r="Q21" s="2"/>
      <c r="R21" s="7">
        <f t="shared" si="4"/>
        <v>0</v>
      </c>
      <c r="S21" s="2"/>
      <c r="T21" s="6">
        <v>62.87</v>
      </c>
      <c r="U21" s="2"/>
      <c r="V21" s="7">
        <f t="shared" si="5"/>
        <v>0</v>
      </c>
      <c r="W21" s="2"/>
      <c r="X21" s="6">
        <f t="shared" si="6"/>
        <v>45.21</v>
      </c>
      <c r="Y21" s="2"/>
      <c r="Z21" s="7">
        <f t="shared" si="7"/>
        <v>0.71910291076825195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700.87</v>
      </c>
      <c r="E22" s="2"/>
      <c r="F22" s="7">
        <f t="shared" si="0"/>
        <v>0</v>
      </c>
      <c r="G22" s="2"/>
      <c r="H22" s="6">
        <v>700.91</v>
      </c>
      <c r="I22" s="2"/>
      <c r="J22" s="7">
        <f t="shared" si="1"/>
        <v>0</v>
      </c>
      <c r="K22" s="2"/>
      <c r="L22" s="6">
        <f t="shared" si="2"/>
        <v>-3.999999999996362E-2</v>
      </c>
      <c r="M22" s="2"/>
      <c r="N22" s="7">
        <f t="shared" si="3"/>
        <v>-5.7068667874568234E-5</v>
      </c>
      <c r="O22" s="11"/>
      <c r="P22" s="6">
        <v>3504.35</v>
      </c>
      <c r="Q22" s="2"/>
      <c r="R22" s="7">
        <f t="shared" si="4"/>
        <v>0</v>
      </c>
      <c r="S22" s="2"/>
      <c r="T22" s="6">
        <v>3504.55</v>
      </c>
      <c r="U22" s="2"/>
      <c r="V22" s="7">
        <f t="shared" si="5"/>
        <v>0</v>
      </c>
      <c r="W22" s="2"/>
      <c r="X22" s="6">
        <f t="shared" si="6"/>
        <v>-0.20000000000027285</v>
      </c>
      <c r="Y22" s="2"/>
      <c r="Z22" s="7">
        <f t="shared" si="7"/>
        <v>-5.7068667874697986E-5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22.24</v>
      </c>
      <c r="E23" s="2"/>
      <c r="F23" s="7">
        <f t="shared" si="0"/>
        <v>0</v>
      </c>
      <c r="G23" s="2"/>
      <c r="H23" s="6">
        <v>24.91</v>
      </c>
      <c r="I23" s="2"/>
      <c r="J23" s="7">
        <f t="shared" si="1"/>
        <v>0</v>
      </c>
      <c r="K23" s="2"/>
      <c r="L23" s="6">
        <f t="shared" si="2"/>
        <v>-2.6700000000000017</v>
      </c>
      <c r="M23" s="2"/>
      <c r="N23" s="7">
        <f t="shared" si="3"/>
        <v>-0.10718586912886398</v>
      </c>
      <c r="O23" s="11"/>
      <c r="P23" s="6">
        <v>85.16</v>
      </c>
      <c r="Q23" s="2"/>
      <c r="R23" s="7">
        <f t="shared" si="4"/>
        <v>0</v>
      </c>
      <c r="S23" s="2"/>
      <c r="T23" s="6">
        <v>124.24</v>
      </c>
      <c r="U23" s="2"/>
      <c r="V23" s="7">
        <f t="shared" si="5"/>
        <v>0</v>
      </c>
      <c r="W23" s="2"/>
      <c r="X23" s="6">
        <f t="shared" si="6"/>
        <v>-39.08</v>
      </c>
      <c r="Y23" s="2"/>
      <c r="Z23" s="7">
        <f t="shared" si="7"/>
        <v>-0.3145524790727624</v>
      </c>
    </row>
    <row r="24" spans="1:26" s="24" customFormat="1" hidden="1" outlineLevel="2" x14ac:dyDescent="0.25">
      <c r="A24" s="25"/>
      <c r="B24" s="11" t="str">
        <f>CONCATENATE("          ", "6118", " - ", "VACATION")</f>
        <v xml:space="preserve">          6118 - VACATION</v>
      </c>
      <c r="C24" s="11"/>
      <c r="D24" s="6">
        <v>184.8</v>
      </c>
      <c r="E24" s="2"/>
      <c r="F24" s="7">
        <f t="shared" si="0"/>
        <v>0</v>
      </c>
      <c r="G24" s="2"/>
      <c r="H24" s="6">
        <v>184.8</v>
      </c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>
        <v>1016.4</v>
      </c>
      <c r="Q24" s="2"/>
      <c r="R24" s="7">
        <f t="shared" si="4"/>
        <v>0</v>
      </c>
      <c r="S24" s="2"/>
      <c r="T24" s="6">
        <v>1016.4</v>
      </c>
      <c r="U24" s="2"/>
      <c r="V24" s="7">
        <f t="shared" si="5"/>
        <v>0</v>
      </c>
      <c r="W24" s="2"/>
      <c r="X24" s="6">
        <f t="shared" si="6"/>
        <v>0</v>
      </c>
      <c r="Y24" s="2"/>
      <c r="Z24" s="7">
        <f t="shared" si="7"/>
        <v>0</v>
      </c>
    </row>
    <row r="25" spans="1:26" s="24" customFormat="1" hidden="1" outlineLevel="2" x14ac:dyDescent="0.25">
      <c r="A25" s="25"/>
      <c r="B25" s="11" t="str">
        <f>CONCATENATE("          ", "6119", " - ", "SICK LEAVE")</f>
        <v xml:space="preserve">          6119 - SICK LEAVE</v>
      </c>
      <c r="C25" s="11"/>
      <c r="D25" s="6">
        <v>221.4</v>
      </c>
      <c r="E25" s="2"/>
      <c r="F25" s="7">
        <f t="shared" si="0"/>
        <v>0</v>
      </c>
      <c r="G25" s="2"/>
      <c r="H25" s="6">
        <v>221.4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1217.7</v>
      </c>
      <c r="Q25" s="2"/>
      <c r="R25" s="7">
        <f t="shared" si="4"/>
        <v>0</v>
      </c>
      <c r="S25" s="2"/>
      <c r="T25" s="6">
        <v>1217.7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"6156", " - ", "EMPLOYEE MEALS")</f>
        <v xml:space="preserve">          6156 - EMPLOYEE MEALS</v>
      </c>
      <c r="C26" s="11"/>
      <c r="D26" s="6"/>
      <c r="E26" s="2"/>
      <c r="F26" s="7">
        <f t="shared" si="0"/>
        <v>0</v>
      </c>
      <c r="G26" s="2"/>
      <c r="H26" s="6">
        <v>173.68</v>
      </c>
      <c r="I26" s="2"/>
      <c r="J26" s="7">
        <f t="shared" si="1"/>
        <v>0</v>
      </c>
      <c r="K26" s="2"/>
      <c r="L26" s="6">
        <f t="shared" si="2"/>
        <v>-173.68</v>
      </c>
      <c r="M26" s="2"/>
      <c r="N26" s="7">
        <f t="shared" si="3"/>
        <v>-1</v>
      </c>
      <c r="O26" s="11"/>
      <c r="P26" s="6"/>
      <c r="Q26" s="2"/>
      <c r="R26" s="7">
        <f t="shared" si="4"/>
        <v>0</v>
      </c>
      <c r="S26" s="2"/>
      <c r="T26" s="6">
        <v>808.91</v>
      </c>
      <c r="U26" s="2"/>
      <c r="V26" s="7">
        <f t="shared" si="5"/>
        <v>0</v>
      </c>
      <c r="W26" s="2"/>
      <c r="X26" s="6">
        <f t="shared" si="6"/>
        <v>-808.91</v>
      </c>
      <c r="Y26" s="2"/>
      <c r="Z26" s="7">
        <f t="shared" si="7"/>
        <v>-1</v>
      </c>
    </row>
    <row r="27" spans="1:26" s="26" customFormat="1" outlineLevel="1" collapsed="1" x14ac:dyDescent="0.25">
      <c r="A27" s="27"/>
      <c r="B27" s="13" t="str">
        <f>CONCATENATE("     ","*Payroll                                          ")</f>
        <v xml:space="preserve">     *Payroll                                          </v>
      </c>
      <c r="C27" s="13"/>
      <c r="D27" s="1">
        <f>SUM(OSRRefD22_1x_0)</f>
        <v>5127.7199999999993</v>
      </c>
      <c r="E27" s="1"/>
      <c r="F27" s="5">
        <f t="shared" ref="F27:F31" si="8">IF(D$12=0,0,D27/D$12)</f>
        <v>0</v>
      </c>
      <c r="G27" s="1"/>
      <c r="H27" s="1">
        <f>SUM(OSRRefH22_1x_0)</f>
        <v>10056.89</v>
      </c>
      <c r="I27" s="1"/>
      <c r="J27" s="5">
        <f t="shared" ref="J27:J31" si="9">IF(H$12=0,0,H27/H$12)</f>
        <v>0</v>
      </c>
      <c r="K27" s="1"/>
      <c r="L27" s="1">
        <f t="shared" ref="L27:L31" si="10">+D27-H27</f>
        <v>-4929.17</v>
      </c>
      <c r="M27" s="1"/>
      <c r="N27" s="5">
        <f t="shared" ref="N27:N31" si="11">IF(H27=0,0,L27/H27)</f>
        <v>-0.49012865806427242</v>
      </c>
      <c r="O27" s="13"/>
      <c r="P27" s="1">
        <f>SUM(OSRRefP22_1x_0)</f>
        <v>33611.18</v>
      </c>
      <c r="Q27" s="1"/>
      <c r="R27" s="5">
        <f t="shared" ref="R27:R31" si="12">IF(P$12=0,0,P27/P$12)</f>
        <v>0</v>
      </c>
      <c r="S27" s="1"/>
      <c r="T27" s="1">
        <f>SUM(OSRRefT22_1x_0)</f>
        <v>54220.86</v>
      </c>
      <c r="U27" s="1"/>
      <c r="V27" s="5">
        <f t="shared" ref="V27:V31" si="13">IF(T$12=0,0,T27/T$12)</f>
        <v>0</v>
      </c>
      <c r="W27" s="1"/>
      <c r="X27" s="1">
        <f t="shared" ref="X27:X31" si="14">+P27-T27</f>
        <v>-20609.68</v>
      </c>
      <c r="Y27" s="1"/>
      <c r="Z27" s="5">
        <f t="shared" ref="Z27:Z31" si="15">IF(T27=0,0,X27/T27)</f>
        <v>-0.38010610676407569</v>
      </c>
    </row>
    <row r="28" spans="1:26" s="24" customFormat="1" hidden="1" outlineLevel="2" x14ac:dyDescent="0.25">
      <c r="A28" s="25"/>
      <c r="B28" s="11" t="str">
        <f>CONCATENATE("          ", "6004", " - ", "STAFF HOURLY")</f>
        <v xml:space="preserve">          6004 - STAFF HOURLY</v>
      </c>
      <c r="C28" s="11"/>
      <c r="D28" s="6">
        <v>3965.1</v>
      </c>
      <c r="E28" s="2"/>
      <c r="F28" s="7">
        <f t="shared" si="8"/>
        <v>0</v>
      </c>
      <c r="G28" s="2"/>
      <c r="H28" s="6">
        <v>5283.75</v>
      </c>
      <c r="I28" s="2"/>
      <c r="J28" s="7">
        <f t="shared" si="9"/>
        <v>0</v>
      </c>
      <c r="K28" s="2"/>
      <c r="L28" s="6">
        <f t="shared" si="10"/>
        <v>-1318.65</v>
      </c>
      <c r="M28" s="2"/>
      <c r="N28" s="7">
        <f t="shared" si="11"/>
        <v>-0.24956706884315119</v>
      </c>
      <c r="O28" s="11"/>
      <c r="P28" s="6">
        <v>26487.599999999999</v>
      </c>
      <c r="Q28" s="2"/>
      <c r="R28" s="7">
        <f t="shared" si="12"/>
        <v>0</v>
      </c>
      <c r="S28" s="2"/>
      <c r="T28" s="6">
        <v>27131.25</v>
      </c>
      <c r="U28" s="2"/>
      <c r="V28" s="7">
        <f t="shared" si="13"/>
        <v>0</v>
      </c>
      <c r="W28" s="2"/>
      <c r="X28" s="6">
        <f t="shared" si="14"/>
        <v>-643.65000000000146</v>
      </c>
      <c r="Y28" s="2"/>
      <c r="Z28" s="7">
        <f t="shared" si="15"/>
        <v>-2.3723565998617885E-2</v>
      </c>
    </row>
    <row r="29" spans="1:26" s="24" customFormat="1" hidden="1" outlineLevel="2" x14ac:dyDescent="0.25">
      <c r="A29" s="25"/>
      <c r="B29" s="11" t="str">
        <f>CONCATENATE("          ", "6006", " - ", "TEMPORARY PART TIME")</f>
        <v xml:space="preserve">          6006 - TEMPORARY PART TIME</v>
      </c>
      <c r="C29" s="11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/>
      <c r="Q29" s="2"/>
      <c r="R29" s="7">
        <f t="shared" si="12"/>
        <v>0</v>
      </c>
      <c r="S29" s="2"/>
      <c r="T29" s="6">
        <v>2361.4299999999998</v>
      </c>
      <c r="U29" s="2"/>
      <c r="V29" s="7">
        <f t="shared" si="13"/>
        <v>0</v>
      </c>
      <c r="W29" s="2"/>
      <c r="X29" s="6">
        <f t="shared" si="14"/>
        <v>-2361.4299999999998</v>
      </c>
      <c r="Y29" s="2"/>
      <c r="Z29" s="7">
        <f t="shared" si="15"/>
        <v>-1</v>
      </c>
    </row>
    <row r="30" spans="1:26" s="24" customFormat="1" hidden="1" outlineLevel="2" x14ac:dyDescent="0.25">
      <c r="A30" s="25"/>
      <c r="B30" s="11" t="str">
        <f>CONCATENATE("          ", "6007", " - ", "STUDENT HOURLY")</f>
        <v xml:space="preserve">          6007 - STUDENT HOURLY</v>
      </c>
      <c r="C30" s="11"/>
      <c r="D30" s="6"/>
      <c r="E30" s="2"/>
      <c r="F30" s="7">
        <f t="shared" si="8"/>
        <v>0</v>
      </c>
      <c r="G30" s="2"/>
      <c r="H30" s="6">
        <v>3726.89</v>
      </c>
      <c r="I30" s="2"/>
      <c r="J30" s="7">
        <f t="shared" si="9"/>
        <v>0</v>
      </c>
      <c r="K30" s="2"/>
      <c r="L30" s="6">
        <f t="shared" si="10"/>
        <v>-3726.89</v>
      </c>
      <c r="M30" s="2"/>
      <c r="N30" s="7">
        <f t="shared" si="11"/>
        <v>-1</v>
      </c>
      <c r="O30" s="11"/>
      <c r="P30" s="6">
        <v>0</v>
      </c>
      <c r="Q30" s="2"/>
      <c r="R30" s="7">
        <f t="shared" si="12"/>
        <v>0</v>
      </c>
      <c r="S30" s="2"/>
      <c r="T30" s="6">
        <v>20868.48</v>
      </c>
      <c r="U30" s="2"/>
      <c r="V30" s="7">
        <f t="shared" si="13"/>
        <v>0</v>
      </c>
      <c r="W30" s="2"/>
      <c r="X30" s="6">
        <f t="shared" si="14"/>
        <v>-20868.48</v>
      </c>
      <c r="Y30" s="2"/>
      <c r="Z30" s="7">
        <f t="shared" si="15"/>
        <v>-1</v>
      </c>
    </row>
    <row r="31" spans="1:26" s="24" customFormat="1" hidden="1" outlineLevel="2" x14ac:dyDescent="0.25">
      <c r="A31" s="25"/>
      <c r="B31" s="11" t="str">
        <f>CONCATENATE("          ", "6008", " - ", "STUDENT HOURLY-FICA EXEMPT")</f>
        <v xml:space="preserve">          6008 - STUDENT HOURLY-FICA EXEMPT</v>
      </c>
      <c r="C31" s="11"/>
      <c r="D31" s="6">
        <v>1162.6199999999999</v>
      </c>
      <c r="E31" s="2"/>
      <c r="F31" s="7">
        <f t="shared" si="8"/>
        <v>0</v>
      </c>
      <c r="G31" s="2"/>
      <c r="H31" s="6">
        <v>1046.25</v>
      </c>
      <c r="I31" s="2"/>
      <c r="J31" s="7">
        <f t="shared" si="9"/>
        <v>0</v>
      </c>
      <c r="K31" s="2"/>
      <c r="L31" s="6">
        <f t="shared" si="10"/>
        <v>116.36999999999989</v>
      </c>
      <c r="M31" s="2"/>
      <c r="N31" s="7">
        <f t="shared" si="11"/>
        <v>0.1112258064516128</v>
      </c>
      <c r="O31" s="11"/>
      <c r="P31" s="6">
        <v>7123.58</v>
      </c>
      <c r="Q31" s="2"/>
      <c r="R31" s="7">
        <f t="shared" si="12"/>
        <v>0</v>
      </c>
      <c r="S31" s="2"/>
      <c r="T31" s="6">
        <v>3859.7</v>
      </c>
      <c r="U31" s="2"/>
      <c r="V31" s="7">
        <f t="shared" si="13"/>
        <v>0</v>
      </c>
      <c r="W31" s="2"/>
      <c r="X31" s="6">
        <f t="shared" si="14"/>
        <v>3263.88</v>
      </c>
      <c r="Y31" s="2"/>
      <c r="Z31" s="7">
        <f t="shared" si="15"/>
        <v>0.84563048941627594</v>
      </c>
    </row>
    <row r="32" spans="1:26" s="26" customFormat="1" outlineLevel="1" collapsed="1" x14ac:dyDescent="0.25">
      <c r="A32" s="27"/>
      <c r="B32" s="13" t="str">
        <f>CONCATENATE("     ","Advertising/Promo                                 ")</f>
        <v xml:space="preserve">     Advertising/Promo                                 </v>
      </c>
      <c r="C32" s="13"/>
      <c r="D32" s="1">
        <f>SUM(OSRRefD22_2x_0)</f>
        <v>173.21</v>
      </c>
      <c r="E32" s="1"/>
      <c r="F32" s="5">
        <f t="shared" ref="F32:F40" si="16">IF(D$12=0,0,D32/D$12)</f>
        <v>0</v>
      </c>
      <c r="G32" s="1"/>
      <c r="H32" s="1">
        <f>SUM(OSRRefH22_2x_0)</f>
        <v>-5900.04</v>
      </c>
      <c r="I32" s="1"/>
      <c r="J32" s="5">
        <f t="shared" ref="J32:J40" si="17">IF(H$12=0,0,H32/H$12)</f>
        <v>0</v>
      </c>
      <c r="K32" s="1"/>
      <c r="L32" s="1">
        <f t="shared" ref="L32:L40" si="18">+D32-H32</f>
        <v>6073.25</v>
      </c>
      <c r="M32" s="1"/>
      <c r="N32" s="5">
        <f t="shared" ref="N32:N40" si="19">IF(H32=0,0,L32/H32)</f>
        <v>-1.0293574280852333</v>
      </c>
      <c r="O32" s="13"/>
      <c r="P32" s="1">
        <f>SUM(OSRRefP22_2x_0)</f>
        <v>692.84</v>
      </c>
      <c r="Q32" s="1"/>
      <c r="R32" s="5">
        <f t="shared" ref="R32:R40" si="20">IF(P$12=0,0,P32/P$12)</f>
        <v>0</v>
      </c>
      <c r="S32" s="1"/>
      <c r="T32" s="1">
        <f>SUM(OSRRefT22_2x_0)</f>
        <v>-30621.929999999997</v>
      </c>
      <c r="U32" s="1"/>
      <c r="V32" s="5">
        <f t="shared" ref="V32:V40" si="21">IF(T$12=0,0,T32/T$12)</f>
        <v>0</v>
      </c>
      <c r="W32" s="1"/>
      <c r="X32" s="1">
        <f t="shared" ref="X32:X40" si="22">+P32-T32</f>
        <v>31314.769999999997</v>
      </c>
      <c r="Y32" s="1"/>
      <c r="Z32" s="5">
        <f t="shared" ref="Z32:Z40" si="23">IF(T32=0,0,X32/T32)</f>
        <v>-1.0226256150412465</v>
      </c>
    </row>
    <row r="33" spans="1:26" s="24" customFormat="1" hidden="1" outlineLevel="2" x14ac:dyDescent="0.25">
      <c r="A33" s="25"/>
      <c r="B33" s="11" t="str">
        <f>CONCATENATE("          ", "6362", " - ", "ADVERTISING EXPENSE")</f>
        <v xml:space="preserve">          6362 - ADVERTISING EXPENSE</v>
      </c>
      <c r="C33" s="11"/>
      <c r="D33" s="6">
        <v>173.21</v>
      </c>
      <c r="E33" s="2"/>
      <c r="F33" s="7">
        <f t="shared" si="16"/>
        <v>0</v>
      </c>
      <c r="G33" s="2"/>
      <c r="H33" s="6">
        <v>-5900.04</v>
      </c>
      <c r="I33" s="2"/>
      <c r="J33" s="7">
        <f t="shared" si="17"/>
        <v>0</v>
      </c>
      <c r="K33" s="2"/>
      <c r="L33" s="6">
        <f t="shared" si="18"/>
        <v>6073.25</v>
      </c>
      <c r="M33" s="2"/>
      <c r="N33" s="7">
        <f t="shared" si="19"/>
        <v>-1.0293574280852333</v>
      </c>
      <c r="O33" s="11"/>
      <c r="P33" s="6">
        <v>692.84</v>
      </c>
      <c r="Q33" s="2"/>
      <c r="R33" s="7">
        <f t="shared" si="20"/>
        <v>0</v>
      </c>
      <c r="S33" s="2"/>
      <c r="T33" s="6">
        <v>-30621.929999999997</v>
      </c>
      <c r="U33" s="2"/>
      <c r="V33" s="7">
        <f t="shared" si="21"/>
        <v>0</v>
      </c>
      <c r="W33" s="2"/>
      <c r="X33" s="6">
        <f t="shared" si="22"/>
        <v>31314.769999999997</v>
      </c>
      <c r="Y33" s="2"/>
      <c r="Z33" s="7">
        <f t="shared" si="23"/>
        <v>-1.0226256150412465</v>
      </c>
    </row>
    <row r="34" spans="1:26" s="26" customFormat="1" outlineLevel="1" collapsed="1" x14ac:dyDescent="0.25">
      <c r="A34" s="27"/>
      <c r="B34" s="13" t="str">
        <f>CONCATENATE("     ","Depreciation                                      ")</f>
        <v xml:space="preserve">     Depreciation                                      </v>
      </c>
      <c r="C34" s="13"/>
      <c r="D34" s="1">
        <f>SUM(OSRRefD22_3x_0)</f>
        <v>271.27</v>
      </c>
      <c r="E34" s="1"/>
      <c r="F34" s="5">
        <f t="shared" si="16"/>
        <v>0</v>
      </c>
      <c r="G34" s="1"/>
      <c r="H34" s="1">
        <f>SUM(OSRRefH22_3x_0)</f>
        <v>295.67</v>
      </c>
      <c r="I34" s="1"/>
      <c r="J34" s="5">
        <f t="shared" si="17"/>
        <v>0</v>
      </c>
      <c r="K34" s="1"/>
      <c r="L34" s="1">
        <f t="shared" si="18"/>
        <v>-24.400000000000034</v>
      </c>
      <c r="M34" s="1"/>
      <c r="N34" s="5">
        <f t="shared" si="19"/>
        <v>-8.2524436026651452E-2</v>
      </c>
      <c r="O34" s="13"/>
      <c r="P34" s="1">
        <f>SUM(OSRRefP22_3x_0)</f>
        <v>1356.35</v>
      </c>
      <c r="Q34" s="1"/>
      <c r="R34" s="5">
        <f t="shared" si="20"/>
        <v>0</v>
      </c>
      <c r="S34" s="1"/>
      <c r="T34" s="1">
        <f>SUM(OSRRefT22_3x_0)</f>
        <v>1478.35</v>
      </c>
      <c r="U34" s="1"/>
      <c r="V34" s="5">
        <f t="shared" si="21"/>
        <v>0</v>
      </c>
      <c r="W34" s="1"/>
      <c r="X34" s="1">
        <f t="shared" si="22"/>
        <v>-122</v>
      </c>
      <c r="Y34" s="1"/>
      <c r="Z34" s="5">
        <f t="shared" si="23"/>
        <v>-8.252443602665134E-2</v>
      </c>
    </row>
    <row r="35" spans="1:26" s="24" customFormat="1" hidden="1" outlineLevel="2" x14ac:dyDescent="0.25">
      <c r="A35" s="25"/>
      <c r="B35" s="11" t="str">
        <f>CONCATENATE("          ", "6322", " - ", "EQUIPMENT DEPRECIATION EXPENSE")</f>
        <v xml:space="preserve">          6322 - EQUIPMENT DEPRECIATION EXPENSE</v>
      </c>
      <c r="C35" s="11"/>
      <c r="D35" s="6">
        <v>271.27</v>
      </c>
      <c r="E35" s="2"/>
      <c r="F35" s="7">
        <f t="shared" si="16"/>
        <v>0</v>
      </c>
      <c r="G35" s="2"/>
      <c r="H35" s="6">
        <v>295.67</v>
      </c>
      <c r="I35" s="2"/>
      <c r="J35" s="7">
        <f t="shared" si="17"/>
        <v>0</v>
      </c>
      <c r="K35" s="2"/>
      <c r="L35" s="6">
        <f t="shared" si="18"/>
        <v>-24.400000000000034</v>
      </c>
      <c r="M35" s="2"/>
      <c r="N35" s="7">
        <f t="shared" si="19"/>
        <v>-8.2524436026651452E-2</v>
      </c>
      <c r="O35" s="11"/>
      <c r="P35" s="6">
        <v>1356.35</v>
      </c>
      <c r="Q35" s="2"/>
      <c r="R35" s="7">
        <f t="shared" si="20"/>
        <v>0</v>
      </c>
      <c r="S35" s="2"/>
      <c r="T35" s="6">
        <v>1478.35</v>
      </c>
      <c r="U35" s="2"/>
      <c r="V35" s="7">
        <f t="shared" si="21"/>
        <v>0</v>
      </c>
      <c r="W35" s="2"/>
      <c r="X35" s="6">
        <f t="shared" si="22"/>
        <v>-122</v>
      </c>
      <c r="Y35" s="2"/>
      <c r="Z35" s="7">
        <f t="shared" si="23"/>
        <v>-8.252443602665134E-2</v>
      </c>
    </row>
    <row r="36" spans="1:26" s="26" customFormat="1" outlineLevel="1" collapsed="1" x14ac:dyDescent="0.25">
      <c r="A36" s="27"/>
      <c r="B36" s="13" t="str">
        <f>CONCATENATE("     ","General                                           ")</f>
        <v xml:space="preserve">     General                                           </v>
      </c>
      <c r="C36" s="13"/>
      <c r="D36" s="1">
        <f>SUM(OSRRefD22_4x_0)</f>
        <v>0</v>
      </c>
      <c r="E36" s="1"/>
      <c r="F36" s="5">
        <f t="shared" si="16"/>
        <v>0</v>
      </c>
      <c r="G36" s="1"/>
      <c r="H36" s="1">
        <f>SUM(OSRRefH22_4x_0)</f>
        <v>173.21</v>
      </c>
      <c r="I36" s="1"/>
      <c r="J36" s="5">
        <f t="shared" si="17"/>
        <v>0</v>
      </c>
      <c r="K36" s="1"/>
      <c r="L36" s="1">
        <f t="shared" si="18"/>
        <v>-173.21</v>
      </c>
      <c r="M36" s="1"/>
      <c r="N36" s="5">
        <f t="shared" si="19"/>
        <v>-1</v>
      </c>
      <c r="O36" s="13"/>
      <c r="P36" s="1">
        <f>SUM(OSRRefP22_4x_0)</f>
        <v>0</v>
      </c>
      <c r="Q36" s="1"/>
      <c r="R36" s="5">
        <f t="shared" si="20"/>
        <v>0</v>
      </c>
      <c r="S36" s="1"/>
      <c r="T36" s="1">
        <f>SUM(OSRRefT22_4x_0)</f>
        <v>680.38</v>
      </c>
      <c r="U36" s="1"/>
      <c r="V36" s="5">
        <f t="shared" si="21"/>
        <v>0</v>
      </c>
      <c r="W36" s="1"/>
      <c r="X36" s="1">
        <f t="shared" si="22"/>
        <v>-680.38</v>
      </c>
      <c r="Y36" s="1"/>
      <c r="Z36" s="5">
        <f t="shared" si="23"/>
        <v>-1</v>
      </c>
    </row>
    <row r="37" spans="1:26" s="24" customFormat="1" hidden="1" outlineLevel="2" x14ac:dyDescent="0.25">
      <c r="A37" s="25"/>
      <c r="B37" s="11" t="str">
        <f>CONCATENATE("          ", "6279", " - ", "GENERAL EXPENSE")</f>
        <v xml:space="preserve">          6279 - GENERAL EXPENSE</v>
      </c>
      <c r="C37" s="11"/>
      <c r="D37" s="6"/>
      <c r="E37" s="2"/>
      <c r="F37" s="7">
        <f t="shared" si="16"/>
        <v>0</v>
      </c>
      <c r="G37" s="2"/>
      <c r="H37" s="6">
        <v>173.21</v>
      </c>
      <c r="I37" s="2"/>
      <c r="J37" s="7">
        <f t="shared" si="17"/>
        <v>0</v>
      </c>
      <c r="K37" s="2"/>
      <c r="L37" s="6">
        <f t="shared" si="18"/>
        <v>-173.21</v>
      </c>
      <c r="M37" s="2"/>
      <c r="N37" s="7">
        <f t="shared" si="19"/>
        <v>-1</v>
      </c>
      <c r="O37" s="11"/>
      <c r="P37" s="6"/>
      <c r="Q37" s="2"/>
      <c r="R37" s="7">
        <f t="shared" si="20"/>
        <v>0</v>
      </c>
      <c r="S37" s="2"/>
      <c r="T37" s="6">
        <v>680.38</v>
      </c>
      <c r="U37" s="2"/>
      <c r="V37" s="7">
        <f t="shared" si="21"/>
        <v>0</v>
      </c>
      <c r="W37" s="2"/>
      <c r="X37" s="6">
        <f t="shared" si="22"/>
        <v>-680.38</v>
      </c>
      <c r="Y37" s="2"/>
      <c r="Z37" s="7">
        <f t="shared" si="23"/>
        <v>-1</v>
      </c>
    </row>
    <row r="38" spans="1:26" s="26" customFormat="1" outlineLevel="1" collapsed="1" x14ac:dyDescent="0.25">
      <c r="A38" s="27"/>
      <c r="B38" s="13" t="str">
        <f>CONCATENATE("     ","Supplies                                          ")</f>
        <v xml:space="preserve">     Supplies                                          </v>
      </c>
      <c r="C38" s="13"/>
      <c r="D38" s="1">
        <f>SUM(OSRRefD22_5x_0)</f>
        <v>0</v>
      </c>
      <c r="E38" s="1"/>
      <c r="F38" s="5">
        <f t="shared" si="16"/>
        <v>0</v>
      </c>
      <c r="G38" s="1"/>
      <c r="H38" s="1">
        <f>SUM(OSRRefH22_5x_0)</f>
        <v>100</v>
      </c>
      <c r="I38" s="1"/>
      <c r="J38" s="5">
        <f t="shared" si="17"/>
        <v>0</v>
      </c>
      <c r="K38" s="1"/>
      <c r="L38" s="1">
        <f t="shared" si="18"/>
        <v>-100</v>
      </c>
      <c r="M38" s="1"/>
      <c r="N38" s="5">
        <f t="shared" si="19"/>
        <v>-1</v>
      </c>
      <c r="O38" s="13"/>
      <c r="P38" s="1">
        <f>SUM(OSRRefP22_5x_0)</f>
        <v>0</v>
      </c>
      <c r="Q38" s="1"/>
      <c r="R38" s="5">
        <f t="shared" si="20"/>
        <v>0</v>
      </c>
      <c r="S38" s="1"/>
      <c r="T38" s="1">
        <f>SUM(OSRRefT22_5x_0)</f>
        <v>826.1400000000001</v>
      </c>
      <c r="U38" s="1"/>
      <c r="V38" s="5">
        <f t="shared" si="21"/>
        <v>0</v>
      </c>
      <c r="W38" s="1"/>
      <c r="X38" s="1">
        <f t="shared" si="22"/>
        <v>-826.1400000000001</v>
      </c>
      <c r="Y38" s="1"/>
      <c r="Z38" s="5">
        <f t="shared" si="23"/>
        <v>-1</v>
      </c>
    </row>
    <row r="39" spans="1:26" s="24" customFormat="1" hidden="1" outlineLevel="2" x14ac:dyDescent="0.25">
      <c r="A39" s="25"/>
      <c r="B39" s="11" t="str">
        <f>CONCATENATE("          ", "6241", " - ", "OFFICE EXPENSE")</f>
        <v xml:space="preserve">          6241 - OFFICE EXPENSE</v>
      </c>
      <c r="C39" s="11"/>
      <c r="D39" s="6"/>
      <c r="E39" s="2"/>
      <c r="F39" s="7">
        <f t="shared" si="16"/>
        <v>0</v>
      </c>
      <c r="G39" s="2"/>
      <c r="H39" s="6">
        <v>100</v>
      </c>
      <c r="I39" s="2"/>
      <c r="J39" s="7">
        <f t="shared" si="17"/>
        <v>0</v>
      </c>
      <c r="K39" s="2"/>
      <c r="L39" s="6">
        <f t="shared" si="18"/>
        <v>-100</v>
      </c>
      <c r="M39" s="2"/>
      <c r="N39" s="7">
        <f t="shared" si="19"/>
        <v>-1</v>
      </c>
      <c r="O39" s="11"/>
      <c r="P39" s="6"/>
      <c r="Q39" s="2"/>
      <c r="R39" s="7">
        <f t="shared" si="20"/>
        <v>0</v>
      </c>
      <c r="S39" s="2"/>
      <c r="T39" s="6">
        <v>479.72</v>
      </c>
      <c r="U39" s="2"/>
      <c r="V39" s="7">
        <f t="shared" si="21"/>
        <v>0</v>
      </c>
      <c r="W39" s="2"/>
      <c r="X39" s="6">
        <f t="shared" si="22"/>
        <v>-479.72</v>
      </c>
      <c r="Y39" s="2"/>
      <c r="Z39" s="7">
        <f t="shared" si="23"/>
        <v>-1</v>
      </c>
    </row>
    <row r="40" spans="1:26" s="24" customFormat="1" hidden="1" outlineLevel="2" x14ac:dyDescent="0.25">
      <c r="A40" s="25"/>
      <c r="B40" s="11" t="str">
        <f>CONCATENATE("          ", "6245", " - ", "PRINTING")</f>
        <v xml:space="preserve">          6245 - PRINTING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346.42</v>
      </c>
      <c r="U40" s="2"/>
      <c r="V40" s="7">
        <f t="shared" si="21"/>
        <v>0</v>
      </c>
      <c r="W40" s="2"/>
      <c r="X40" s="6">
        <f t="shared" si="22"/>
        <v>-346.42</v>
      </c>
      <c r="Y40" s="2"/>
      <c r="Z40" s="7">
        <f t="shared" si="23"/>
        <v>-1</v>
      </c>
    </row>
    <row r="41" spans="1:26" s="26" customFormat="1" outlineLevel="1" collapsed="1" x14ac:dyDescent="0.25">
      <c r="A41" s="27"/>
      <c r="B41" s="13" t="str">
        <f>CONCATENATE("     ","Telephone/Data Lines                              ")</f>
        <v xml:space="preserve">     Telephone/Data Lines                              </v>
      </c>
      <c r="C41" s="13"/>
      <c r="D41" s="1">
        <f>SUM(OSRRefD22_6x_0)</f>
        <v>36</v>
      </c>
      <c r="E41" s="1"/>
      <c r="F41" s="5">
        <f t="shared" ref="F41:F44" si="24">IF(D$12=0,0,D41/D$12)</f>
        <v>0</v>
      </c>
      <c r="G41" s="1"/>
      <c r="H41" s="1">
        <f>SUM(OSRRefH22_6x_0)</f>
        <v>72</v>
      </c>
      <c r="I41" s="1"/>
      <c r="J41" s="5">
        <f t="shared" ref="J41:J44" si="25">IF(H$12=0,0,H41/H$12)</f>
        <v>0</v>
      </c>
      <c r="K41" s="1"/>
      <c r="L41" s="1">
        <f t="shared" ref="L41:L44" si="26">+D41-H41</f>
        <v>-36</v>
      </c>
      <c r="M41" s="1"/>
      <c r="N41" s="5">
        <f t="shared" ref="N41:N44" si="27">IF(H41=0,0,L41/H41)</f>
        <v>-0.5</v>
      </c>
      <c r="O41" s="13"/>
      <c r="P41" s="1">
        <f>SUM(OSRRefP22_6x_0)</f>
        <v>144</v>
      </c>
      <c r="Q41" s="1"/>
      <c r="R41" s="5">
        <f t="shared" ref="R41:R44" si="28">IF(P$12=0,0,P41/P$12)</f>
        <v>0</v>
      </c>
      <c r="S41" s="1"/>
      <c r="T41" s="1">
        <f>SUM(OSRRefT22_6x_0)</f>
        <v>369.45</v>
      </c>
      <c r="U41" s="1"/>
      <c r="V41" s="5">
        <f t="shared" ref="V41:V44" si="29">IF(T$12=0,0,T41/T$12)</f>
        <v>0</v>
      </c>
      <c r="W41" s="1"/>
      <c r="X41" s="1">
        <f t="shared" ref="X41:X44" si="30">+P41-T41</f>
        <v>-225.45</v>
      </c>
      <c r="Y41" s="1"/>
      <c r="Z41" s="5">
        <f t="shared" ref="Z41:Z44" si="31">IF(T41=0,0,X41/T41)</f>
        <v>-0.61023142509135198</v>
      </c>
    </row>
    <row r="42" spans="1:26" s="24" customFormat="1" hidden="1" outlineLevel="2" x14ac:dyDescent="0.25">
      <c r="A42" s="25"/>
      <c r="B42" s="11" t="str">
        <f>CONCATENATE("          ", "6309", " - ", "TELEPHONE")</f>
        <v xml:space="preserve">          6309 - TELEPHONE</v>
      </c>
      <c r="C42" s="11"/>
      <c r="D42" s="6">
        <v>36</v>
      </c>
      <c r="E42" s="2"/>
      <c r="F42" s="7">
        <f t="shared" si="24"/>
        <v>0</v>
      </c>
      <c r="G42" s="2"/>
      <c r="H42" s="6">
        <v>72</v>
      </c>
      <c r="I42" s="2"/>
      <c r="J42" s="7">
        <f t="shared" si="25"/>
        <v>0</v>
      </c>
      <c r="K42" s="2"/>
      <c r="L42" s="6">
        <f t="shared" si="26"/>
        <v>-36</v>
      </c>
      <c r="M42" s="2"/>
      <c r="N42" s="7">
        <f t="shared" si="27"/>
        <v>-0.5</v>
      </c>
      <c r="O42" s="11"/>
      <c r="P42" s="6">
        <v>144</v>
      </c>
      <c r="Q42" s="2"/>
      <c r="R42" s="7">
        <f t="shared" si="28"/>
        <v>0</v>
      </c>
      <c r="S42" s="2"/>
      <c r="T42" s="6">
        <v>369.45</v>
      </c>
      <c r="U42" s="2"/>
      <c r="V42" s="7">
        <f t="shared" si="29"/>
        <v>0</v>
      </c>
      <c r="W42" s="2"/>
      <c r="X42" s="6">
        <f t="shared" si="30"/>
        <v>-225.45</v>
      </c>
      <c r="Y42" s="2"/>
      <c r="Z42" s="7">
        <f t="shared" si="31"/>
        <v>-0.61023142509135198</v>
      </c>
    </row>
    <row r="43" spans="1:26" s="26" customFormat="1" outlineLevel="1" collapsed="1" x14ac:dyDescent="0.25">
      <c r="A43" s="27"/>
      <c r="B43" s="13" t="str">
        <f>CONCATENATE("     ","Travel                                            ")</f>
        <v xml:space="preserve">     Travel                                            </v>
      </c>
      <c r="C43" s="13"/>
      <c r="D43" s="1">
        <f>SUM(OSRRefD22_7x_0)</f>
        <v>0</v>
      </c>
      <c r="E43" s="1"/>
      <c r="F43" s="5">
        <f t="shared" si="24"/>
        <v>0</v>
      </c>
      <c r="G43" s="1"/>
      <c r="H43" s="1">
        <f>SUM(OSRRefH22_7x_0)</f>
        <v>0</v>
      </c>
      <c r="I43" s="1"/>
      <c r="J43" s="5">
        <f t="shared" si="25"/>
        <v>0</v>
      </c>
      <c r="K43" s="1"/>
      <c r="L43" s="1">
        <f t="shared" si="26"/>
        <v>0</v>
      </c>
      <c r="M43" s="1"/>
      <c r="N43" s="5">
        <f t="shared" si="27"/>
        <v>0</v>
      </c>
      <c r="O43" s="13"/>
      <c r="P43" s="1">
        <f>SUM(OSRRefP22_7x_0)</f>
        <v>0</v>
      </c>
      <c r="Q43" s="1"/>
      <c r="R43" s="5">
        <f t="shared" si="28"/>
        <v>0</v>
      </c>
      <c r="S43" s="1"/>
      <c r="T43" s="1">
        <f>SUM(OSRRefT22_7x_0)</f>
        <v>118.32</v>
      </c>
      <c r="U43" s="1"/>
      <c r="V43" s="5">
        <f t="shared" si="29"/>
        <v>0</v>
      </c>
      <c r="W43" s="1"/>
      <c r="X43" s="1">
        <f t="shared" si="30"/>
        <v>-118.32</v>
      </c>
      <c r="Y43" s="1"/>
      <c r="Z43" s="5">
        <f t="shared" si="31"/>
        <v>-1</v>
      </c>
    </row>
    <row r="44" spans="1:26" s="24" customFormat="1" hidden="1" outlineLevel="2" x14ac:dyDescent="0.25">
      <c r="A44" s="25"/>
      <c r="B44" s="11" t="str">
        <f>CONCATENATE("          ", "6292", " - ", "TRAVEL/CONFERENCE")</f>
        <v xml:space="preserve">          6292 - TRAVEL/CONFERENCE</v>
      </c>
      <c r="C44" s="11"/>
      <c r="D44" s="6"/>
      <c r="E44" s="2"/>
      <c r="F44" s="7">
        <f t="shared" si="24"/>
        <v>0</v>
      </c>
      <c r="G44" s="2"/>
      <c r="H44" s="6"/>
      <c r="I44" s="2"/>
      <c r="J44" s="7">
        <f t="shared" si="25"/>
        <v>0</v>
      </c>
      <c r="K44" s="2"/>
      <c r="L44" s="6">
        <f t="shared" si="26"/>
        <v>0</v>
      </c>
      <c r="M44" s="2"/>
      <c r="N44" s="7">
        <f t="shared" si="27"/>
        <v>0</v>
      </c>
      <c r="O44" s="11"/>
      <c r="P44" s="6"/>
      <c r="Q44" s="2"/>
      <c r="R44" s="7">
        <f t="shared" si="28"/>
        <v>0</v>
      </c>
      <c r="S44" s="2"/>
      <c r="T44" s="6">
        <v>118.32</v>
      </c>
      <c r="U44" s="2"/>
      <c r="V44" s="7">
        <f t="shared" si="29"/>
        <v>0</v>
      </c>
      <c r="W44" s="2"/>
      <c r="X44" s="6">
        <f t="shared" si="30"/>
        <v>-118.32</v>
      </c>
      <c r="Y44" s="2"/>
      <c r="Z44" s="7">
        <f t="shared" si="31"/>
        <v>-1</v>
      </c>
    </row>
    <row r="45" spans="1:26" s="53" customFormat="1" x14ac:dyDescent="0.25">
      <c r="A45" s="37"/>
      <c r="B45" s="37"/>
      <c r="C45" s="37"/>
      <c r="D45" s="1"/>
      <c r="E45" s="1"/>
      <c r="F45" s="5"/>
      <c r="G45" s="1"/>
      <c r="H45" s="1"/>
      <c r="I45" s="1"/>
      <c r="J45" s="5"/>
      <c r="K45" s="1"/>
      <c r="L45" s="1"/>
      <c r="M45" s="1"/>
      <c r="N45" s="5"/>
      <c r="O45" s="37"/>
      <c r="P45" s="1"/>
      <c r="Q45" s="1"/>
      <c r="R45" s="5"/>
      <c r="S45" s="1"/>
      <c r="T45" s="1"/>
      <c r="U45" s="1"/>
      <c r="V45" s="5"/>
      <c r="W45" s="1"/>
      <c r="X45" s="1"/>
      <c r="Y45" s="1"/>
      <c r="Z45" s="5"/>
    </row>
    <row r="46" spans="1:26" s="23" customFormat="1" x14ac:dyDescent="0.25">
      <c r="A46" s="10"/>
      <c r="B46" s="29" t="s">
        <v>0</v>
      </c>
      <c r="C46" s="10"/>
      <c r="D46" s="4">
        <f>SUM(0)</f>
        <v>0</v>
      </c>
      <c r="E46" s="4"/>
      <c r="F46" s="12">
        <f>IF(D$12=0,0,D46/D$12)</f>
        <v>0</v>
      </c>
      <c r="G46" s="4"/>
      <c r="H46" s="4">
        <f>SUM(0)</f>
        <v>0</v>
      </c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>
        <f>SUM(0)</f>
        <v>0</v>
      </c>
      <c r="Q46" s="4"/>
      <c r="R46" s="12">
        <f>IF(P$12=0,0,P46/P$12)</f>
        <v>0</v>
      </c>
      <c r="S46" s="4"/>
      <c r="T46" s="4">
        <f>SUM(0)</f>
        <v>0</v>
      </c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10"/>
      <c r="B48" s="28" t="s">
        <v>3</v>
      </c>
      <c r="C48" s="28"/>
      <c r="D48" s="20">
        <f>+D16-D18+D46</f>
        <v>-7104.2199999999993</v>
      </c>
      <c r="E48" s="14"/>
      <c r="F48" s="22">
        <f>IF(D$12=0,0,D48/D$12)</f>
        <v>0</v>
      </c>
      <c r="G48" s="14"/>
      <c r="H48" s="20">
        <f>+H16-H18+H46</f>
        <v>-6521.0400000000009</v>
      </c>
      <c r="I48" s="14"/>
      <c r="J48" s="22">
        <f>IF(H$12=0,0,H48/H$12)</f>
        <v>0</v>
      </c>
      <c r="K48" s="15"/>
      <c r="L48" s="20">
        <f>+D48-H48</f>
        <v>-583.17999999999847</v>
      </c>
      <c r="M48" s="15"/>
      <c r="N48" s="22">
        <f>IF(H48=0,0,L48/H48)</f>
        <v>8.9430520285107645E-2</v>
      </c>
      <c r="O48" s="29"/>
      <c r="P48" s="20">
        <f>+P16-P18+P46</f>
        <v>-43759.709999999992</v>
      </c>
      <c r="Q48" s="14"/>
      <c r="R48" s="22">
        <f>IF(P$12=0,0,P48/P$12)</f>
        <v>0</v>
      </c>
      <c r="S48" s="14"/>
      <c r="T48" s="20">
        <f>+T16-T18+T46</f>
        <v>-36604.44999999999</v>
      </c>
      <c r="U48" s="14"/>
      <c r="V48" s="22">
        <f>IF(T$12=0,0,T48/T$12)</f>
        <v>0</v>
      </c>
      <c r="W48" s="15"/>
      <c r="X48" s="20">
        <f>+P48-T48</f>
        <v>-7155.260000000002</v>
      </c>
      <c r="Y48" s="15"/>
      <c r="Z48" s="22">
        <f>IF(T48=0,0,X48/T48)</f>
        <v>0.19547514031763907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51"/>
      <c r="B50" s="10" t="s">
        <v>13</v>
      </c>
      <c r="C50" s="10"/>
      <c r="D50" s="4"/>
      <c r="E50" s="4"/>
      <c r="F50" s="12">
        <f>IF(D$12=0,0,D50/D$12)</f>
        <v>0</v>
      </c>
      <c r="G50" s="4"/>
      <c r="H50" s="4"/>
      <c r="I50" s="4"/>
      <c r="J50" s="12">
        <f>IF(H$12=0,0,H50/H$12)</f>
        <v>0</v>
      </c>
      <c r="K50" s="4"/>
      <c r="L50" s="4">
        <f>+D50-H50</f>
        <v>0</v>
      </c>
      <c r="M50" s="4"/>
      <c r="N50" s="12">
        <f>IF(H50=0,0,L50/H50)</f>
        <v>0</v>
      </c>
      <c r="O50" s="10"/>
      <c r="P50" s="4"/>
      <c r="Q50" s="4"/>
      <c r="R50" s="12">
        <f>IF(P$12=0,0,P50/P$12)</f>
        <v>0</v>
      </c>
      <c r="S50" s="4"/>
      <c r="T50" s="4"/>
      <c r="U50" s="4"/>
      <c r="V50" s="12">
        <f>IF(T$12=0,0,T50/T$12)</f>
        <v>0</v>
      </c>
      <c r="W50" s="4"/>
      <c r="X50" s="4">
        <f>+P50-T50</f>
        <v>0</v>
      </c>
      <c r="Y50" s="4"/>
      <c r="Z50" s="12">
        <f>IF(T50=0,0,X50/T50)</f>
        <v>0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ht="15.75" thickBot="1" x14ac:dyDescent="0.3">
      <c r="A52" s="10"/>
      <c r="B52" s="28" t="s">
        <v>4</v>
      </c>
      <c r="C52" s="28"/>
      <c r="D52" s="31">
        <f>+D48-D50</f>
        <v>-7104.2199999999993</v>
      </c>
      <c r="E52" s="14"/>
      <c r="F52" s="34">
        <f>IF(D$12=0,0,D52/D$12)</f>
        <v>0</v>
      </c>
      <c r="G52" s="14"/>
      <c r="H52" s="31">
        <f>+H48-H50</f>
        <v>-6521.0400000000009</v>
      </c>
      <c r="I52" s="14"/>
      <c r="J52" s="34">
        <f>IF(H$12=0,0,H52/H$12)</f>
        <v>0</v>
      </c>
      <c r="K52" s="15"/>
      <c r="L52" s="31">
        <f>D52-H52</f>
        <v>-583.17999999999847</v>
      </c>
      <c r="M52" s="15"/>
      <c r="N52" s="34">
        <f>IF(H52=0,0,L52/H52)</f>
        <v>8.9430520285107645E-2</v>
      </c>
      <c r="O52" s="29"/>
      <c r="P52" s="31">
        <f>+P48-P50</f>
        <v>-43759.709999999992</v>
      </c>
      <c r="Q52" s="14"/>
      <c r="R52" s="34">
        <f>IF(P$12=0,0,P52/P$12)</f>
        <v>0</v>
      </c>
      <c r="S52" s="14"/>
      <c r="T52" s="31">
        <f>+T48-T50</f>
        <v>-36604.44999999999</v>
      </c>
      <c r="U52" s="14"/>
      <c r="V52" s="34">
        <f>IF(T$12=0,0,T52/T$12)</f>
        <v>0</v>
      </c>
      <c r="W52" s="15"/>
      <c r="X52" s="31">
        <f>P52-T52</f>
        <v>-7155.260000000002</v>
      </c>
      <c r="Y52" s="15"/>
      <c r="Z52" s="34">
        <f>IF(T52=0,0,X52/T52)</f>
        <v>0.19547514031763907</v>
      </c>
    </row>
    <row r="53" spans="1:26" ht="15.75" thickTop="1" x14ac:dyDescent="0.25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8" t="s">
        <v>5</v>
      </c>
      <c r="C55" s="28"/>
      <c r="D55" s="32">
        <f>SUM(D52:D54)</f>
        <v>-7104.2199999999993</v>
      </c>
      <c r="E55" s="14"/>
      <c r="F55" s="30">
        <f>IF(D$12=0,0,D55/D$12)</f>
        <v>0</v>
      </c>
      <c r="G55" s="14"/>
      <c r="H55" s="32">
        <f>SUM(H52:H54)</f>
        <v>-6521.0400000000009</v>
      </c>
      <c r="I55" s="14"/>
      <c r="J55" s="30">
        <f>IF(H$12=0,0,H55/H$12)</f>
        <v>0</v>
      </c>
      <c r="K55" s="15"/>
      <c r="L55" s="32">
        <f>+D55-H55</f>
        <v>-583.17999999999847</v>
      </c>
      <c r="M55" s="15"/>
      <c r="N55" s="30">
        <f>IF(H55=0,0,L55/H55)</f>
        <v>8.9430520285107645E-2</v>
      </c>
      <c r="O55" s="29"/>
      <c r="P55" s="32">
        <f>SUM(P52:P54)</f>
        <v>-43759.709999999992</v>
      </c>
      <c r="Q55" s="14"/>
      <c r="R55" s="30">
        <f>IF(P$12=0,0,P55/P$12)</f>
        <v>0</v>
      </c>
      <c r="S55" s="14"/>
      <c r="T55" s="32">
        <f>SUM(T52:T54)</f>
        <v>-36604.44999999999</v>
      </c>
      <c r="U55" s="14"/>
      <c r="V55" s="30">
        <f>IF(T$12=0,0,T55/T$12)</f>
        <v>0</v>
      </c>
      <c r="W55" s="15"/>
      <c r="X55" s="32">
        <f>+P55-T55</f>
        <v>-7155.260000000002</v>
      </c>
      <c r="Y55" s="15"/>
      <c r="Z55" s="30">
        <f>IF(T55=0,0,X55/T55)</f>
        <v>0.19547514031763907</v>
      </c>
    </row>
    <row r="56" spans="1:26" ht="15.75" thickTop="1" x14ac:dyDescent="0.25">
      <c r="A56" s="9"/>
      <c r="C56" s="9"/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  <row r="57" spans="1:26" x14ac:dyDescent="0.25">
      <c r="A57" s="9"/>
      <c r="B57" s="54">
        <v>44174.68543503472</v>
      </c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25">
      <c r="A58" s="9"/>
      <c r="B58" s="56" t="s">
        <v>313</v>
      </c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  <row r="59" spans="1:26" x14ac:dyDescent="0.25">
      <c r="A59" s="9"/>
      <c r="B59" s="61"/>
      <c r="D59" s="17"/>
      <c r="E59" s="17"/>
      <c r="G59" s="17"/>
      <c r="H59" s="17"/>
      <c r="I59" s="17"/>
      <c r="J59" s="43"/>
      <c r="K59" s="17"/>
      <c r="L59" s="17"/>
      <c r="M59" s="17"/>
      <c r="P59" s="17"/>
      <c r="Q59" s="17"/>
      <c r="R59" s="43"/>
      <c r="S59" s="17"/>
      <c r="T59" s="17"/>
      <c r="U59" s="17"/>
      <c r="V59" s="43"/>
      <c r="W59" s="17"/>
      <c r="X59" s="17"/>
    </row>
    <row r="60" spans="1:26" x14ac:dyDescent="0.25">
      <c r="D60" s="17"/>
      <c r="E60" s="17"/>
      <c r="G60" s="17"/>
      <c r="H60" s="17"/>
      <c r="I60" s="17"/>
      <c r="J60" s="43"/>
      <c r="K60" s="17"/>
      <c r="L60" s="17"/>
      <c r="M60" s="17"/>
      <c r="P60" s="17"/>
      <c r="Q60" s="17"/>
      <c r="R60" s="43"/>
      <c r="S60" s="17"/>
      <c r="T60" s="17"/>
      <c r="U60" s="17"/>
      <c r="V60" s="43"/>
      <c r="W60" s="17"/>
      <c r="X60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8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307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110972.66000000003</v>
      </c>
      <c r="E12" s="4"/>
      <c r="F12" s="12"/>
      <c r="G12" s="4"/>
      <c r="H12" s="4">
        <f>SUM(OSRRefH13x_0)</f>
        <v>751115.94000000006</v>
      </c>
      <c r="I12" s="4"/>
      <c r="J12" s="12"/>
      <c r="K12" s="4"/>
      <c r="L12" s="4">
        <f t="shared" ref="L12:L107" si="0">+D12-H12</f>
        <v>-640143.28</v>
      </c>
      <c r="M12" s="4"/>
      <c r="N12" s="12">
        <f t="shared" ref="N12:N107" si="1">IF(H12=0,0,L12/H12)</f>
        <v>-0.85225628416300148</v>
      </c>
      <c r="O12" s="10"/>
      <c r="P12" s="4">
        <f>SUM(OSRRefP13x_0)</f>
        <v>2467569.39</v>
      </c>
      <c r="Q12" s="4"/>
      <c r="R12" s="12"/>
      <c r="S12" s="4"/>
      <c r="T12" s="4">
        <f>SUM(OSRRefT13x_0)</f>
        <v>6490004.4499999974</v>
      </c>
      <c r="U12" s="4"/>
      <c r="V12" s="12"/>
      <c r="W12" s="4"/>
      <c r="X12" s="4">
        <f t="shared" ref="X12:X107" si="2">+P12-T12</f>
        <v>-4022435.0599999973</v>
      </c>
      <c r="Y12" s="4"/>
      <c r="Z12" s="12">
        <f t="shared" ref="Z12:Z107" si="3">IF(T12=0,0,X12/T12)</f>
        <v>-0.61978926069919704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-9538.33</f>
        <v>-9538.33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-9538.33</v>
      </c>
      <c r="M13" s="2"/>
      <c r="N13" s="19">
        <f t="shared" si="1"/>
        <v>0</v>
      </c>
      <c r="O13" s="11"/>
      <c r="P13" s="2">
        <f>-56998.65</f>
        <v>-56998.65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-56998.65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--6816.45</f>
        <v>6816.45</v>
      </c>
      <c r="E14" s="2"/>
      <c r="F14" s="19"/>
      <c r="G14" s="2"/>
      <c r="H14" s="2">
        <f>--8184.69</f>
        <v>8184.69</v>
      </c>
      <c r="I14" s="2"/>
      <c r="J14" s="19"/>
      <c r="K14" s="2"/>
      <c r="L14" s="2">
        <f t="shared" si="0"/>
        <v>-1368.2399999999998</v>
      </c>
      <c r="M14" s="2"/>
      <c r="N14" s="19">
        <f t="shared" si="1"/>
        <v>-0.16717065643292536</v>
      </c>
      <c r="O14" s="11"/>
      <c r="P14" s="2">
        <f>--719144.02</f>
        <v>719144.02</v>
      </c>
      <c r="Q14" s="2"/>
      <c r="R14" s="19"/>
      <c r="S14" s="2"/>
      <c r="T14" s="2">
        <f>--1503344.43</f>
        <v>1503344.43</v>
      </c>
      <c r="U14" s="2"/>
      <c r="V14" s="19"/>
      <c r="W14" s="2"/>
      <c r="X14" s="2">
        <f t="shared" si="2"/>
        <v>-784200.40999999992</v>
      </c>
      <c r="Y14" s="2"/>
      <c r="Z14" s="19">
        <f t="shared" si="3"/>
        <v>-0.52163722055364248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--1492.1</f>
        <v>1492.1</v>
      </c>
      <c r="E15" s="2"/>
      <c r="F15" s="19"/>
      <c r="G15" s="2"/>
      <c r="H15" s="2">
        <f>--4182.93</f>
        <v>4182.93</v>
      </c>
      <c r="I15" s="2"/>
      <c r="J15" s="19"/>
      <c r="K15" s="2"/>
      <c r="L15" s="2">
        <f t="shared" si="0"/>
        <v>-2690.8300000000004</v>
      </c>
      <c r="M15" s="2"/>
      <c r="N15" s="19">
        <f t="shared" si="1"/>
        <v>-0.64328831704092593</v>
      </c>
      <c r="O15" s="11"/>
      <c r="P15" s="2">
        <f>--320631.62</f>
        <v>320631.62</v>
      </c>
      <c r="Q15" s="2"/>
      <c r="R15" s="19"/>
      <c r="S15" s="2"/>
      <c r="T15" s="2">
        <f>--670479.29</f>
        <v>670479.29</v>
      </c>
      <c r="U15" s="2"/>
      <c r="V15" s="19"/>
      <c r="W15" s="2"/>
      <c r="X15" s="2">
        <f t="shared" si="2"/>
        <v>-349847.67000000004</v>
      </c>
      <c r="Y15" s="2"/>
      <c r="Z15" s="19">
        <f t="shared" si="3"/>
        <v>-0.52178743656645987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8" si="4"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--10665.63</f>
        <v>10665.63</v>
      </c>
      <c r="Q16" s="2"/>
      <c r="R16" s="19"/>
      <c r="S16" s="2"/>
      <c r="T16" s="2">
        <f>--15844.66</f>
        <v>15844.66</v>
      </c>
      <c r="U16" s="2"/>
      <c r="V16" s="19"/>
      <c r="W16" s="2"/>
      <c r="X16" s="2">
        <f t="shared" si="2"/>
        <v>-5179.0300000000007</v>
      </c>
      <c r="Y16" s="2"/>
      <c r="Z16" s="19">
        <f t="shared" si="3"/>
        <v>-0.32686280425076969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--119.4</f>
        <v>119.4</v>
      </c>
      <c r="I17" s="2"/>
      <c r="J17" s="19"/>
      <c r="K17" s="2"/>
      <c r="L17" s="2">
        <f t="shared" si="0"/>
        <v>-119.4</v>
      </c>
      <c r="M17" s="2"/>
      <c r="N17" s="19">
        <f t="shared" si="1"/>
        <v>-1</v>
      </c>
      <c r="O17" s="11"/>
      <c r="P17" s="2">
        <f>--2459.56</f>
        <v>2459.56</v>
      </c>
      <c r="Q17" s="2"/>
      <c r="R17" s="19"/>
      <c r="S17" s="2"/>
      <c r="T17" s="2">
        <f>--30279.88</f>
        <v>30279.88</v>
      </c>
      <c r="U17" s="2"/>
      <c r="V17" s="19"/>
      <c r="W17" s="2"/>
      <c r="X17" s="2">
        <f t="shared" si="2"/>
        <v>-27820.32</v>
      </c>
      <c r="Y17" s="2"/>
      <c r="Z17" s="19">
        <f t="shared" si="3"/>
        <v>-0.91877246541267665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--9.6</f>
        <v>9.6</v>
      </c>
      <c r="U18" s="2"/>
      <c r="V18" s="19"/>
      <c r="W18" s="2"/>
      <c r="X18" s="2">
        <f t="shared" si="2"/>
        <v>-9.6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--307.75</f>
        <v>307.75</v>
      </c>
      <c r="E19" s="2"/>
      <c r="F19" s="19"/>
      <c r="G19" s="2"/>
      <c r="H19" s="2">
        <f>--285.33</f>
        <v>285.33</v>
      </c>
      <c r="I19" s="2"/>
      <c r="J19" s="19"/>
      <c r="K19" s="2"/>
      <c r="L19" s="2">
        <f t="shared" si="0"/>
        <v>22.420000000000016</v>
      </c>
      <c r="M19" s="2"/>
      <c r="N19" s="19">
        <f t="shared" si="1"/>
        <v>7.857568429537734E-2</v>
      </c>
      <c r="O19" s="11"/>
      <c r="P19" s="2">
        <f>--505.12</f>
        <v>505.12</v>
      </c>
      <c r="Q19" s="2"/>
      <c r="R19" s="19"/>
      <c r="S19" s="2"/>
      <c r="T19" s="2">
        <f>--1112.72</f>
        <v>1112.72</v>
      </c>
      <c r="U19" s="2"/>
      <c r="V19" s="19"/>
      <c r="W19" s="2"/>
      <c r="X19" s="2">
        <f t="shared" si="2"/>
        <v>-607.6</v>
      </c>
      <c r="Y19" s="2"/>
      <c r="Z19" s="19">
        <f t="shared" si="3"/>
        <v>-0.54604932058379463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 t="shared" ref="D20:D24" si="5">0</f>
        <v>0</v>
      </c>
      <c r="E20" s="2"/>
      <c r="F20" s="19"/>
      <c r="G20" s="2"/>
      <c r="H20" s="2">
        <f>--189.13</f>
        <v>189.13</v>
      </c>
      <c r="I20" s="2"/>
      <c r="J20" s="19"/>
      <c r="K20" s="2"/>
      <c r="L20" s="2">
        <f t="shared" si="0"/>
        <v>-189.13</v>
      </c>
      <c r="M20" s="2"/>
      <c r="N20" s="19">
        <f t="shared" si="1"/>
        <v>-1</v>
      </c>
      <c r="O20" s="11"/>
      <c r="P20" s="2">
        <f>--340.24</f>
        <v>340.24</v>
      </c>
      <c r="Q20" s="2"/>
      <c r="R20" s="19"/>
      <c r="S20" s="2"/>
      <c r="T20" s="2">
        <f>--883.35</f>
        <v>883.35</v>
      </c>
      <c r="U20" s="2"/>
      <c r="V20" s="19"/>
      <c r="W20" s="2"/>
      <c r="X20" s="2">
        <f t="shared" si="2"/>
        <v>-543.11</v>
      </c>
      <c r="Y20" s="2"/>
      <c r="Z20" s="19">
        <f t="shared" si="3"/>
        <v>-0.61482990886964395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 t="shared" si="5"/>
        <v>0</v>
      </c>
      <c r="E21" s="2"/>
      <c r="F21" s="19"/>
      <c r="G21" s="2"/>
      <c r="H21" s="2">
        <f>--5.49</f>
        <v>5.49</v>
      </c>
      <c r="I21" s="2"/>
      <c r="J21" s="19"/>
      <c r="K21" s="2"/>
      <c r="L21" s="2">
        <f t="shared" si="0"/>
        <v>-5.49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--231.16</f>
        <v>231.16</v>
      </c>
      <c r="U21" s="2"/>
      <c r="V21" s="19"/>
      <c r="W21" s="2"/>
      <c r="X21" s="2">
        <f t="shared" si="2"/>
        <v>-231.16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si="5"/>
        <v>0</v>
      </c>
      <c r="E22" s="2"/>
      <c r="F22" s="19"/>
      <c r="G22" s="2"/>
      <c r="H22" s="2">
        <f>--277.82</f>
        <v>277.82</v>
      </c>
      <c r="I22" s="2"/>
      <c r="J22" s="19"/>
      <c r="K22" s="2"/>
      <c r="L22" s="2">
        <f t="shared" si="0"/>
        <v>-277.82</v>
      </c>
      <c r="M22" s="2"/>
      <c r="N22" s="19">
        <f t="shared" si="1"/>
        <v>-1</v>
      </c>
      <c r="O22" s="11"/>
      <c r="P22" s="2">
        <f>--183.89</f>
        <v>183.89</v>
      </c>
      <c r="Q22" s="2"/>
      <c r="R22" s="19"/>
      <c r="S22" s="2"/>
      <c r="T22" s="2">
        <f>--2732.65</f>
        <v>2732.65</v>
      </c>
      <c r="U22" s="2"/>
      <c r="V22" s="19"/>
      <c r="W22" s="2"/>
      <c r="X22" s="2">
        <f t="shared" si="2"/>
        <v>-2548.7600000000002</v>
      </c>
      <c r="Y22" s="2"/>
      <c r="Z22" s="19">
        <f t="shared" si="3"/>
        <v>-0.93270634731853697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5"/>
        <v>0</v>
      </c>
      <c r="E23" s="2"/>
      <c r="F23" s="19"/>
      <c r="G23" s="2"/>
      <c r="H23" s="2">
        <f>--3.98</f>
        <v>3.98</v>
      </c>
      <c r="I23" s="2"/>
      <c r="J23" s="19"/>
      <c r="K23" s="2"/>
      <c r="L23" s="2">
        <f t="shared" si="0"/>
        <v>-3.98</v>
      </c>
      <c r="M23" s="2"/>
      <c r="N23" s="19">
        <f t="shared" si="1"/>
        <v>-1</v>
      </c>
      <c r="O23" s="11"/>
      <c r="P23" s="2">
        <f t="shared" ref="P23:P24" si="6">0</f>
        <v>0</v>
      </c>
      <c r="Q23" s="2"/>
      <c r="R23" s="19"/>
      <c r="S23" s="2"/>
      <c r="T23" s="2">
        <f>--33.88</f>
        <v>33.880000000000003</v>
      </c>
      <c r="U23" s="2"/>
      <c r="V23" s="19"/>
      <c r="W23" s="2"/>
      <c r="X23" s="2">
        <f t="shared" si="2"/>
        <v>-33.880000000000003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5"/>
        <v>0</v>
      </c>
      <c r="E24" s="2"/>
      <c r="F24" s="19"/>
      <c r="G24" s="2"/>
      <c r="H24" s="2">
        <f>--3212.68</f>
        <v>3212.68</v>
      </c>
      <c r="I24" s="2"/>
      <c r="J24" s="19"/>
      <c r="K24" s="2"/>
      <c r="L24" s="2">
        <f t="shared" si="0"/>
        <v>-3212.68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--29544.72</f>
        <v>29544.720000000001</v>
      </c>
      <c r="U24" s="2"/>
      <c r="V24" s="19"/>
      <c r="W24" s="2"/>
      <c r="X24" s="2">
        <f t="shared" si="2"/>
        <v>-29544.720000000001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--18.37</f>
        <v>18.37</v>
      </c>
      <c r="E25" s="2"/>
      <c r="F25" s="19"/>
      <c r="G25" s="2"/>
      <c r="H25" s="2">
        <f>--6609.41</f>
        <v>6609.41</v>
      </c>
      <c r="I25" s="2"/>
      <c r="J25" s="19"/>
      <c r="K25" s="2"/>
      <c r="L25" s="2">
        <f t="shared" si="0"/>
        <v>-6591.04</v>
      </c>
      <c r="M25" s="2"/>
      <c r="N25" s="19">
        <f t="shared" si="1"/>
        <v>-0.99722062937539058</v>
      </c>
      <c r="O25" s="11"/>
      <c r="P25" s="2">
        <f>--297.2</f>
        <v>297.2</v>
      </c>
      <c r="Q25" s="2"/>
      <c r="R25" s="19"/>
      <c r="S25" s="2"/>
      <c r="T25" s="2">
        <f>--43673.95</f>
        <v>43673.95</v>
      </c>
      <c r="U25" s="2"/>
      <c r="V25" s="19"/>
      <c r="W25" s="2"/>
      <c r="X25" s="2">
        <f t="shared" si="2"/>
        <v>-43376.75</v>
      </c>
      <c r="Y25" s="2"/>
      <c r="Z25" s="19">
        <f t="shared" si="3"/>
        <v>-0.99319502815751726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--1716.97</f>
        <v>1716.97</v>
      </c>
      <c r="E26" s="2"/>
      <c r="F26" s="19"/>
      <c r="G26" s="2"/>
      <c r="H26" s="2">
        <f>--10515.54</f>
        <v>10515.54</v>
      </c>
      <c r="I26" s="2"/>
      <c r="J26" s="19"/>
      <c r="K26" s="2"/>
      <c r="L26" s="2">
        <f t="shared" si="0"/>
        <v>-8798.5700000000015</v>
      </c>
      <c r="M26" s="2"/>
      <c r="N26" s="19">
        <f t="shared" si="1"/>
        <v>-0.8367207009815949</v>
      </c>
      <c r="O26" s="11"/>
      <c r="P26" s="2">
        <f>--36720.47</f>
        <v>36720.47</v>
      </c>
      <c r="Q26" s="2"/>
      <c r="R26" s="19"/>
      <c r="S26" s="2"/>
      <c r="T26" s="2">
        <f>--154789.08</f>
        <v>154789.07999999999</v>
      </c>
      <c r="U26" s="2"/>
      <c r="V26" s="19"/>
      <c r="W26" s="2"/>
      <c r="X26" s="2">
        <f t="shared" si="2"/>
        <v>-118068.60999999999</v>
      </c>
      <c r="Y26" s="2"/>
      <c r="Z26" s="19">
        <f t="shared" si="3"/>
        <v>-0.76277092673462488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--1730.73</f>
        <v>1730.73</v>
      </c>
      <c r="E27" s="2"/>
      <c r="F27" s="19"/>
      <c r="G27" s="2"/>
      <c r="H27" s="2">
        <f>--29388.04</f>
        <v>29388.04</v>
      </c>
      <c r="I27" s="2"/>
      <c r="J27" s="19"/>
      <c r="K27" s="2"/>
      <c r="L27" s="2">
        <f t="shared" si="0"/>
        <v>-27657.31</v>
      </c>
      <c r="M27" s="2"/>
      <c r="N27" s="19">
        <f t="shared" si="1"/>
        <v>-0.94110767509503868</v>
      </c>
      <c r="O27" s="11"/>
      <c r="P27" s="2">
        <f>--15999.58</f>
        <v>15999.58</v>
      </c>
      <c r="Q27" s="2"/>
      <c r="R27" s="19"/>
      <c r="S27" s="2"/>
      <c r="T27" s="2">
        <f>--175952.71</f>
        <v>175952.71</v>
      </c>
      <c r="U27" s="2"/>
      <c r="V27" s="19"/>
      <c r="W27" s="2"/>
      <c r="X27" s="2">
        <f t="shared" si="2"/>
        <v>-159953.13</v>
      </c>
      <c r="Y27" s="2"/>
      <c r="Z27" s="19">
        <f t="shared" si="3"/>
        <v>-0.90906886287798583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--194.65</f>
        <v>194.65</v>
      </c>
      <c r="E28" s="2"/>
      <c r="F28" s="19"/>
      <c r="G28" s="2"/>
      <c r="H28" s="2">
        <f>--58.77</f>
        <v>58.77</v>
      </c>
      <c r="I28" s="2"/>
      <c r="J28" s="19"/>
      <c r="K28" s="2"/>
      <c r="L28" s="2">
        <f t="shared" si="0"/>
        <v>135.88</v>
      </c>
      <c r="M28" s="2"/>
      <c r="N28" s="19">
        <f t="shared" si="1"/>
        <v>2.3120639782201802</v>
      </c>
      <c r="O28" s="11"/>
      <c r="P28" s="2">
        <f>--1862.61</f>
        <v>1862.61</v>
      </c>
      <c r="Q28" s="2"/>
      <c r="R28" s="19"/>
      <c r="S28" s="2"/>
      <c r="T28" s="2">
        <f>--280.05</f>
        <v>280.05</v>
      </c>
      <c r="U28" s="2"/>
      <c r="V28" s="19"/>
      <c r="W28" s="2"/>
      <c r="X28" s="2">
        <f t="shared" si="2"/>
        <v>1582.56</v>
      </c>
      <c r="Y28" s="2"/>
      <c r="Z28" s="19">
        <f t="shared" si="3"/>
        <v>5.6509908944831277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ref="D29:D33" si="7">0</f>
        <v>0</v>
      </c>
      <c r="E29" s="2"/>
      <c r="F29" s="19"/>
      <c r="G29" s="2"/>
      <c r="H29" s="2">
        <f>--30308.52</f>
        <v>30308.52</v>
      </c>
      <c r="I29" s="2"/>
      <c r="J29" s="19"/>
      <c r="K29" s="2"/>
      <c r="L29" s="2">
        <f t="shared" si="0"/>
        <v>-30308.52</v>
      </c>
      <c r="M29" s="2"/>
      <c r="N29" s="19">
        <f t="shared" si="1"/>
        <v>-1</v>
      </c>
      <c r="O29" s="11"/>
      <c r="P29" s="2">
        <f>--444.59</f>
        <v>444.59</v>
      </c>
      <c r="Q29" s="2"/>
      <c r="R29" s="19"/>
      <c r="S29" s="2"/>
      <c r="T29" s="2">
        <f>--162176.81</f>
        <v>162176.81</v>
      </c>
      <c r="U29" s="2"/>
      <c r="V29" s="19"/>
      <c r="W29" s="2"/>
      <c r="X29" s="2">
        <f t="shared" si="2"/>
        <v>-161732.22</v>
      </c>
      <c r="Y29" s="2"/>
      <c r="Z29" s="19">
        <f t="shared" si="3"/>
        <v>-0.99725860929192034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7"/>
        <v>0</v>
      </c>
      <c r="E30" s="2"/>
      <c r="F30" s="19"/>
      <c r="G30" s="2"/>
      <c r="H30" s="2">
        <f>--23.21</f>
        <v>23.21</v>
      </c>
      <c r="I30" s="2"/>
      <c r="J30" s="19"/>
      <c r="K30" s="2"/>
      <c r="L30" s="2">
        <f t="shared" si="0"/>
        <v>-23.21</v>
      </c>
      <c r="M30" s="2"/>
      <c r="N30" s="19">
        <f t="shared" si="1"/>
        <v>-1</v>
      </c>
      <c r="O30" s="11"/>
      <c r="P30" s="2">
        <f>0</f>
        <v>0</v>
      </c>
      <c r="Q30" s="2"/>
      <c r="R30" s="19"/>
      <c r="S30" s="2"/>
      <c r="T30" s="2">
        <f>--108.61</f>
        <v>108.61</v>
      </c>
      <c r="U30" s="2"/>
      <c r="V30" s="19"/>
      <c r="W30" s="2"/>
      <c r="X30" s="2">
        <f t="shared" si="2"/>
        <v>-108.61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7"/>
        <v>0</v>
      </c>
      <c r="E31" s="2"/>
      <c r="F31" s="19"/>
      <c r="G31" s="2"/>
      <c r="H31" s="2">
        <f>--1247.1</f>
        <v>1247.0999999999999</v>
      </c>
      <c r="I31" s="2"/>
      <c r="J31" s="19"/>
      <c r="K31" s="2"/>
      <c r="L31" s="2">
        <f t="shared" si="0"/>
        <v>-1247.0999999999999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--6643.42</f>
        <v>6643.42</v>
      </c>
      <c r="U31" s="2"/>
      <c r="V31" s="19"/>
      <c r="W31" s="2"/>
      <c r="X31" s="2">
        <f t="shared" si="2"/>
        <v>-6636.64</v>
      </c>
      <c r="Y31" s="2"/>
      <c r="Z31" s="19">
        <f t="shared" si="3"/>
        <v>-0.99897944131185445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7"/>
        <v>0</v>
      </c>
      <c r="E32" s="2"/>
      <c r="F32" s="19"/>
      <c r="G32" s="2"/>
      <c r="H32" s="2">
        <f>--269.24</f>
        <v>269.24</v>
      </c>
      <c r="I32" s="2"/>
      <c r="J32" s="19"/>
      <c r="K32" s="2"/>
      <c r="L32" s="2">
        <f t="shared" si="0"/>
        <v>-269.24</v>
      </c>
      <c r="M32" s="2"/>
      <c r="N32" s="19">
        <f t="shared" si="1"/>
        <v>-1</v>
      </c>
      <c r="O32" s="11"/>
      <c r="P32" s="2">
        <f t="shared" ref="P32:P33" si="8">0</f>
        <v>0</v>
      </c>
      <c r="Q32" s="2"/>
      <c r="R32" s="19"/>
      <c r="S32" s="2"/>
      <c r="T32" s="2">
        <f>--1133.6</f>
        <v>1133.5999999999999</v>
      </c>
      <c r="U32" s="2"/>
      <c r="V32" s="19"/>
      <c r="W32" s="2"/>
      <c r="X32" s="2">
        <f t="shared" si="2"/>
        <v>-1133.5999999999999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7"/>
        <v>0</v>
      </c>
      <c r="E33" s="2"/>
      <c r="F33" s="19"/>
      <c r="G33" s="2"/>
      <c r="H33" s="2">
        <f>--74.6</f>
        <v>74.599999999999994</v>
      </c>
      <c r="I33" s="2"/>
      <c r="J33" s="19"/>
      <c r="K33" s="2"/>
      <c r="L33" s="2">
        <f t="shared" si="0"/>
        <v>-74.599999999999994</v>
      </c>
      <c r="M33" s="2"/>
      <c r="N33" s="19">
        <f t="shared" si="1"/>
        <v>-1</v>
      </c>
      <c r="O33" s="11"/>
      <c r="P33" s="2">
        <f t="shared" si="8"/>
        <v>0</v>
      </c>
      <c r="Q33" s="2"/>
      <c r="R33" s="19"/>
      <c r="S33" s="2"/>
      <c r="T33" s="2">
        <f>--377.17</f>
        <v>377.17</v>
      </c>
      <c r="U33" s="2"/>
      <c r="V33" s="19"/>
      <c r="W33" s="2"/>
      <c r="X33" s="2">
        <f t="shared" si="2"/>
        <v>-377.17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--40927.79</f>
        <v>40927.79</v>
      </c>
      <c r="E34" s="2"/>
      <c r="F34" s="19"/>
      <c r="G34" s="2"/>
      <c r="H34" s="2">
        <f>--249896.49</f>
        <v>249896.49</v>
      </c>
      <c r="I34" s="2"/>
      <c r="J34" s="19"/>
      <c r="K34" s="2"/>
      <c r="L34" s="2">
        <f t="shared" si="0"/>
        <v>-208968.69999999998</v>
      </c>
      <c r="M34" s="2"/>
      <c r="N34" s="19">
        <f t="shared" si="1"/>
        <v>-0.83622102895482842</v>
      </c>
      <c r="O34" s="11"/>
      <c r="P34" s="2">
        <f>--423732.7</f>
        <v>423732.7</v>
      </c>
      <c r="Q34" s="2"/>
      <c r="R34" s="19"/>
      <c r="S34" s="2"/>
      <c r="T34" s="2">
        <f>--1098136.94</f>
        <v>1098136.94</v>
      </c>
      <c r="U34" s="2"/>
      <c r="V34" s="19"/>
      <c r="W34" s="2"/>
      <c r="X34" s="2">
        <f t="shared" si="2"/>
        <v>-674404.24</v>
      </c>
      <c r="Y34" s="2"/>
      <c r="Z34" s="19">
        <f t="shared" si="3"/>
        <v>-0.61413491836455303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--12313.27</f>
        <v>12313.27</v>
      </c>
      <c r="E35" s="2"/>
      <c r="F35" s="19"/>
      <c r="G35" s="2"/>
      <c r="H35" s="2">
        <f>--29333.75</f>
        <v>29333.75</v>
      </c>
      <c r="I35" s="2"/>
      <c r="J35" s="19"/>
      <c r="K35" s="2"/>
      <c r="L35" s="2">
        <f t="shared" si="0"/>
        <v>-17020.48</v>
      </c>
      <c r="M35" s="2"/>
      <c r="N35" s="19">
        <f t="shared" si="1"/>
        <v>-0.5802353943836025</v>
      </c>
      <c r="O35" s="11"/>
      <c r="P35" s="2">
        <f>--165400.49</f>
        <v>165400.49</v>
      </c>
      <c r="Q35" s="2"/>
      <c r="R35" s="19"/>
      <c r="S35" s="2"/>
      <c r="T35" s="2">
        <f>--258147.65</f>
        <v>258147.65</v>
      </c>
      <c r="U35" s="2"/>
      <c r="V35" s="19"/>
      <c r="W35" s="2"/>
      <c r="X35" s="2">
        <f t="shared" si="2"/>
        <v>-92747.16</v>
      </c>
      <c r="Y35" s="2"/>
      <c r="Z35" s="19">
        <f t="shared" si="3"/>
        <v>-0.35927950535284753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--2095.44</f>
        <v>2095.44</v>
      </c>
      <c r="E36" s="2"/>
      <c r="F36" s="19"/>
      <c r="G36" s="2"/>
      <c r="H36" s="2">
        <f>--30667.82</f>
        <v>30667.82</v>
      </c>
      <c r="I36" s="2"/>
      <c r="J36" s="19"/>
      <c r="K36" s="2"/>
      <c r="L36" s="2">
        <f t="shared" si="0"/>
        <v>-28572.38</v>
      </c>
      <c r="M36" s="2"/>
      <c r="N36" s="19">
        <f t="shared" si="1"/>
        <v>-0.93167300447178836</v>
      </c>
      <c r="O36" s="11"/>
      <c r="P36" s="2">
        <f>--56879.12</f>
        <v>56879.12</v>
      </c>
      <c r="Q36" s="2"/>
      <c r="R36" s="19"/>
      <c r="S36" s="2"/>
      <c r="T36" s="2">
        <f>--154978.19</f>
        <v>154978.19</v>
      </c>
      <c r="U36" s="2"/>
      <c r="V36" s="19"/>
      <c r="W36" s="2"/>
      <c r="X36" s="2">
        <f t="shared" si="2"/>
        <v>-98099.07</v>
      </c>
      <c r="Y36" s="2"/>
      <c r="Z36" s="19">
        <f t="shared" si="3"/>
        <v>-0.63298629310356513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--16932.18</f>
        <v>16932.18</v>
      </c>
      <c r="E37" s="2"/>
      <c r="F37" s="19"/>
      <c r="G37" s="2"/>
      <c r="H37" s="2">
        <f>--4302.17</f>
        <v>4302.17</v>
      </c>
      <c r="I37" s="2"/>
      <c r="J37" s="19"/>
      <c r="K37" s="2"/>
      <c r="L37" s="2">
        <f t="shared" si="0"/>
        <v>12630.01</v>
      </c>
      <c r="M37" s="2"/>
      <c r="N37" s="19">
        <f t="shared" si="1"/>
        <v>2.9357301082941865</v>
      </c>
      <c r="O37" s="11"/>
      <c r="P37" s="2">
        <f>--57178.22</f>
        <v>57178.22</v>
      </c>
      <c r="Q37" s="2"/>
      <c r="R37" s="19"/>
      <c r="S37" s="2"/>
      <c r="T37" s="2">
        <f>--4823.02</f>
        <v>4823.0200000000004</v>
      </c>
      <c r="U37" s="2"/>
      <c r="V37" s="19"/>
      <c r="W37" s="2"/>
      <c r="X37" s="2">
        <f t="shared" si="2"/>
        <v>52355.199999999997</v>
      </c>
      <c r="Y37" s="2"/>
      <c r="Z37" s="19">
        <f t="shared" si="3"/>
        <v>10.855273252028811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--2517.35</f>
        <v>2517.35</v>
      </c>
      <c r="E38" s="2"/>
      <c r="F38" s="19"/>
      <c r="G38" s="2"/>
      <c r="H38" s="2">
        <f>--8230.63</f>
        <v>8230.6299999999992</v>
      </c>
      <c r="I38" s="2"/>
      <c r="J38" s="19"/>
      <c r="K38" s="2"/>
      <c r="L38" s="2">
        <f t="shared" si="0"/>
        <v>-5713.2799999999988</v>
      </c>
      <c r="M38" s="2"/>
      <c r="N38" s="19">
        <f t="shared" si="1"/>
        <v>-0.69414856456917629</v>
      </c>
      <c r="O38" s="11"/>
      <c r="P38" s="2">
        <f>--15006.51</f>
        <v>15006.51</v>
      </c>
      <c r="Q38" s="2"/>
      <c r="R38" s="19"/>
      <c r="S38" s="2"/>
      <c r="T38" s="2">
        <f>--41297.78</f>
        <v>41297.78</v>
      </c>
      <c r="U38" s="2"/>
      <c r="V38" s="19"/>
      <c r="W38" s="2"/>
      <c r="X38" s="2">
        <f t="shared" si="2"/>
        <v>-26291.269999999997</v>
      </c>
      <c r="Y38" s="2"/>
      <c r="Z38" s="19">
        <f t="shared" si="3"/>
        <v>-0.63662671455947506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--11255.56</f>
        <v>11255.56</v>
      </c>
      <c r="E39" s="2"/>
      <c r="F39" s="19"/>
      <c r="G39" s="2"/>
      <c r="H39" s="2">
        <f>--18665.34</f>
        <v>18665.34</v>
      </c>
      <c r="I39" s="2"/>
      <c r="J39" s="19"/>
      <c r="K39" s="2"/>
      <c r="L39" s="2">
        <f t="shared" si="0"/>
        <v>-7409.7800000000007</v>
      </c>
      <c r="M39" s="2"/>
      <c r="N39" s="19">
        <f t="shared" si="1"/>
        <v>-0.39698071398645834</v>
      </c>
      <c r="O39" s="11"/>
      <c r="P39" s="2">
        <f>--108212.17</f>
        <v>108212.17</v>
      </c>
      <c r="Q39" s="2"/>
      <c r="R39" s="19"/>
      <c r="S39" s="2"/>
      <c r="T39" s="2">
        <f>--54518.44</f>
        <v>54518.44</v>
      </c>
      <c r="U39" s="2"/>
      <c r="V39" s="19"/>
      <c r="W39" s="2"/>
      <c r="X39" s="2">
        <f t="shared" si="2"/>
        <v>53693.729999999996</v>
      </c>
      <c r="Y39" s="2"/>
      <c r="Z39" s="19">
        <f t="shared" si="3"/>
        <v>0.98487282468097026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7" si="9">0</f>
        <v>0</v>
      </c>
      <c r="E40" s="2"/>
      <c r="F40" s="19"/>
      <c r="G40" s="2"/>
      <c r="H40" s="2">
        <f>--304.55</f>
        <v>304.55</v>
      </c>
      <c r="I40" s="2"/>
      <c r="J40" s="19"/>
      <c r="K40" s="2"/>
      <c r="L40" s="2">
        <f t="shared" si="0"/>
        <v>-304.55</v>
      </c>
      <c r="M40" s="2"/>
      <c r="N40" s="19">
        <f t="shared" si="1"/>
        <v>-1</v>
      </c>
      <c r="O40" s="11"/>
      <c r="P40" s="2">
        <f t="shared" ref="P40:P41" si="10">0</f>
        <v>0</v>
      </c>
      <c r="Q40" s="2"/>
      <c r="R40" s="19"/>
      <c r="S40" s="2"/>
      <c r="T40" s="2">
        <f>--1678.55</f>
        <v>1678.55</v>
      </c>
      <c r="U40" s="2"/>
      <c r="V40" s="19"/>
      <c r="W40" s="2"/>
      <c r="X40" s="2">
        <f t="shared" si="2"/>
        <v>-1678.55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 t="shared" si="9"/>
        <v>0</v>
      </c>
      <c r="E41" s="2"/>
      <c r="F41" s="19"/>
      <c r="G41" s="2"/>
      <c r="H41" s="2">
        <f>--17577.92</f>
        <v>17577.919999999998</v>
      </c>
      <c r="I41" s="2"/>
      <c r="J41" s="19"/>
      <c r="K41" s="2"/>
      <c r="L41" s="2">
        <f t="shared" si="0"/>
        <v>-17577.919999999998</v>
      </c>
      <c r="M41" s="2"/>
      <c r="N41" s="19">
        <f t="shared" si="1"/>
        <v>-1</v>
      </c>
      <c r="O41" s="11"/>
      <c r="P41" s="2">
        <f t="shared" si="10"/>
        <v>0</v>
      </c>
      <c r="Q41" s="2"/>
      <c r="R41" s="19"/>
      <c r="S41" s="2"/>
      <c r="T41" s="2">
        <f>--91997.19</f>
        <v>91997.19</v>
      </c>
      <c r="U41" s="2"/>
      <c r="V41" s="19"/>
      <c r="W41" s="2"/>
      <c r="X41" s="2">
        <f t="shared" si="2"/>
        <v>-91997.19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"4081", " - ", "TAXABLE SALES-ELECTRONICS")</f>
        <v xml:space="preserve">          4081 - TAXABLE SALES-ELECTRONICS</v>
      </c>
      <c r="C42" s="11"/>
      <c r="D42" s="2">
        <f t="shared" si="9"/>
        <v>0</v>
      </c>
      <c r="E42" s="2"/>
      <c r="F42" s="19"/>
      <c r="G42" s="2"/>
      <c r="H42" s="2">
        <f>--430.76</f>
        <v>430.76</v>
      </c>
      <c r="I42" s="2"/>
      <c r="J42" s="19"/>
      <c r="K42" s="2"/>
      <c r="L42" s="2">
        <f t="shared" si="0"/>
        <v>-430.76</v>
      </c>
      <c r="M42" s="2"/>
      <c r="N42" s="19">
        <f t="shared" si="1"/>
        <v>-1</v>
      </c>
      <c r="O42" s="11"/>
      <c r="P42" s="2">
        <f>--71.95</f>
        <v>71.95</v>
      </c>
      <c r="Q42" s="2"/>
      <c r="R42" s="19"/>
      <c r="S42" s="2"/>
      <c r="T42" s="2">
        <f>--2223.67</f>
        <v>2223.67</v>
      </c>
      <c r="U42" s="2"/>
      <c r="V42" s="19"/>
      <c r="W42" s="2"/>
      <c r="X42" s="2">
        <f t="shared" si="2"/>
        <v>-2151.7200000000003</v>
      </c>
      <c r="Y42" s="2"/>
      <c r="Z42" s="19">
        <f t="shared" si="3"/>
        <v>-0.96764358020749486</v>
      </c>
    </row>
    <row r="43" spans="1:26" s="24" customFormat="1" hidden="1" outlineLevel="1" x14ac:dyDescent="0.25">
      <c r="A43" s="44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 t="shared" si="9"/>
        <v>0</v>
      </c>
      <c r="E43" s="2"/>
      <c r="F43" s="19"/>
      <c r="G43" s="2"/>
      <c r="H43" s="2">
        <f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0</f>
        <v>0</v>
      </c>
      <c r="Q43" s="2"/>
      <c r="R43" s="19"/>
      <c r="S43" s="2"/>
      <c r="T43" s="2">
        <f>--162</f>
        <v>162</v>
      </c>
      <c r="U43" s="2"/>
      <c r="V43" s="19"/>
      <c r="W43" s="2"/>
      <c r="X43" s="2">
        <f t="shared" si="2"/>
        <v>-162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 t="shared" si="9"/>
        <v>0</v>
      </c>
      <c r="E44" s="2"/>
      <c r="F44" s="19"/>
      <c r="G44" s="2"/>
      <c r="H44" s="2">
        <f>--139.91</f>
        <v>139.91</v>
      </c>
      <c r="I44" s="2"/>
      <c r="J44" s="19"/>
      <c r="K44" s="2"/>
      <c r="L44" s="2">
        <f t="shared" si="0"/>
        <v>-139.91</v>
      </c>
      <c r="M44" s="2"/>
      <c r="N44" s="19">
        <f t="shared" si="1"/>
        <v>-1</v>
      </c>
      <c r="O44" s="11"/>
      <c r="P44" s="2">
        <f>--9.99</f>
        <v>9.99</v>
      </c>
      <c r="Q44" s="2"/>
      <c r="R44" s="19"/>
      <c r="S44" s="2"/>
      <c r="T44" s="2">
        <f>--569.6</f>
        <v>569.6</v>
      </c>
      <c r="U44" s="2"/>
      <c r="V44" s="19"/>
      <c r="W44" s="2"/>
      <c r="X44" s="2">
        <f t="shared" si="2"/>
        <v>-559.61</v>
      </c>
      <c r="Y44" s="2"/>
      <c r="Z44" s="19">
        <f t="shared" si="3"/>
        <v>-0.98246137640449438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 t="shared" si="9"/>
        <v>0</v>
      </c>
      <c r="E45" s="2"/>
      <c r="F45" s="19"/>
      <c r="G45" s="2"/>
      <c r="H45" s="2">
        <f>--105</f>
        <v>105</v>
      </c>
      <c r="I45" s="2"/>
      <c r="J45" s="19"/>
      <c r="K45" s="2"/>
      <c r="L45" s="2">
        <f t="shared" si="0"/>
        <v>-105</v>
      </c>
      <c r="M45" s="2"/>
      <c r="N45" s="19">
        <f t="shared" si="1"/>
        <v>-1</v>
      </c>
      <c r="O45" s="11"/>
      <c r="P45" s="2">
        <f t="shared" ref="P45:P47" si="11">0</f>
        <v>0</v>
      </c>
      <c r="Q45" s="2"/>
      <c r="R45" s="19"/>
      <c r="S45" s="2"/>
      <c r="T45" s="2">
        <f>--639.79</f>
        <v>639.79</v>
      </c>
      <c r="U45" s="2"/>
      <c r="V45" s="19"/>
      <c r="W45" s="2"/>
      <c r="X45" s="2">
        <f t="shared" si="2"/>
        <v>-639.79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"4092", " - ", "TAXABLE SALES-GRAD MERCH")</f>
        <v xml:space="preserve">          4092 - TAXABLE SALES-GRAD MERCH</v>
      </c>
      <c r="C46" s="11"/>
      <c r="D46" s="2">
        <f t="shared" si="9"/>
        <v>0</v>
      </c>
      <c r="E46" s="2"/>
      <c r="F46" s="19"/>
      <c r="G46" s="2"/>
      <c r="H46" s="2">
        <f>--2389.54</f>
        <v>2389.54</v>
      </c>
      <c r="I46" s="2"/>
      <c r="J46" s="19"/>
      <c r="K46" s="2"/>
      <c r="L46" s="2">
        <f t="shared" si="0"/>
        <v>-2389.54</v>
      </c>
      <c r="M46" s="2"/>
      <c r="N46" s="19">
        <f t="shared" si="1"/>
        <v>-1</v>
      </c>
      <c r="O46" s="11"/>
      <c r="P46" s="2">
        <f t="shared" si="11"/>
        <v>0</v>
      </c>
      <c r="Q46" s="2"/>
      <c r="R46" s="19"/>
      <c r="S46" s="2"/>
      <c r="T46" s="2">
        <f>--7440.62</f>
        <v>7440.62</v>
      </c>
      <c r="U46" s="2"/>
      <c r="V46" s="19"/>
      <c r="W46" s="2"/>
      <c r="X46" s="2">
        <f t="shared" si="2"/>
        <v>-7440.62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 t="shared" si="9"/>
        <v>0</v>
      </c>
      <c r="E47" s="2"/>
      <c r="F47" s="19"/>
      <c r="G47" s="2"/>
      <c r="H47" s="2">
        <f>--31.83</f>
        <v>31.83</v>
      </c>
      <c r="I47" s="2"/>
      <c r="J47" s="19"/>
      <c r="K47" s="2"/>
      <c r="L47" s="2">
        <f t="shared" si="0"/>
        <v>-31.83</v>
      </c>
      <c r="M47" s="2"/>
      <c r="N47" s="19">
        <f t="shared" si="1"/>
        <v>-1</v>
      </c>
      <c r="O47" s="11"/>
      <c r="P47" s="2">
        <f t="shared" si="11"/>
        <v>0</v>
      </c>
      <c r="Q47" s="2"/>
      <c r="R47" s="19"/>
      <c r="S47" s="2"/>
      <c r="T47" s="2">
        <f>--276.44</f>
        <v>276.44</v>
      </c>
      <c r="U47" s="2"/>
      <c r="V47" s="19"/>
      <c r="W47" s="2"/>
      <c r="X47" s="2">
        <f t="shared" si="2"/>
        <v>-276.44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"4100", " - ", "NON-TAXABLE SALES")</f>
        <v xml:space="preserve">          4100 - NON-TAXABLE SALES</v>
      </c>
      <c r="C48" s="11"/>
      <c r="D48" s="2">
        <f>--1333.61</f>
        <v>1333.61</v>
      </c>
      <c r="E48" s="2"/>
      <c r="F48" s="19"/>
      <c r="G48" s="2"/>
      <c r="H48" s="2">
        <f>--458.89</f>
        <v>458.89</v>
      </c>
      <c r="I48" s="2"/>
      <c r="J48" s="19"/>
      <c r="K48" s="2"/>
      <c r="L48" s="2">
        <f t="shared" si="0"/>
        <v>874.71999999999991</v>
      </c>
      <c r="M48" s="2"/>
      <c r="N48" s="19">
        <f t="shared" si="1"/>
        <v>1.9061648761141012</v>
      </c>
      <c r="O48" s="11"/>
      <c r="P48" s="2">
        <f>--165813.42</f>
        <v>165813.42000000001</v>
      </c>
      <c r="Q48" s="2"/>
      <c r="R48" s="19"/>
      <c r="S48" s="2"/>
      <c r="T48" s="2">
        <f>--335840.56</f>
        <v>335840.56</v>
      </c>
      <c r="U48" s="2"/>
      <c r="V48" s="19"/>
      <c r="W48" s="2"/>
      <c r="X48" s="2">
        <f t="shared" si="2"/>
        <v>-170027.13999999998</v>
      </c>
      <c r="Y48" s="2"/>
      <c r="Z48" s="19">
        <f t="shared" si="3"/>
        <v>-0.50627339354126843</v>
      </c>
    </row>
    <row r="49" spans="1:26" s="24" customFormat="1" hidden="1" outlineLevel="1" x14ac:dyDescent="0.25">
      <c r="A49" s="44"/>
      <c r="B49" s="11" t="str">
        <f>CONCATENATE("          ", "4101", " - ", "NON-TAXABLE SALES-NEW TEXT")</f>
        <v xml:space="preserve">          4101 - NON-TAXABLE SALES-NEW TEXT</v>
      </c>
      <c r="C49" s="11"/>
      <c r="D49" s="2">
        <f>--1270.83</f>
        <v>1270.83</v>
      </c>
      <c r="E49" s="2"/>
      <c r="F49" s="19"/>
      <c r="G49" s="2"/>
      <c r="H49" s="2">
        <f>--349.66</f>
        <v>349.66</v>
      </c>
      <c r="I49" s="2"/>
      <c r="J49" s="19"/>
      <c r="K49" s="2"/>
      <c r="L49" s="2">
        <f t="shared" si="0"/>
        <v>921.16999999999985</v>
      </c>
      <c r="M49" s="2"/>
      <c r="N49" s="19">
        <f t="shared" si="1"/>
        <v>2.6344734885317158</v>
      </c>
      <c r="O49" s="11"/>
      <c r="P49" s="2">
        <f>--78935.72</f>
        <v>78935.72</v>
      </c>
      <c r="Q49" s="2"/>
      <c r="R49" s="19"/>
      <c r="S49" s="2"/>
      <c r="T49" s="2">
        <f>--92680.75</f>
        <v>92680.75</v>
      </c>
      <c r="U49" s="2"/>
      <c r="V49" s="19"/>
      <c r="W49" s="2"/>
      <c r="X49" s="2">
        <f t="shared" si="2"/>
        <v>-13745.029999999999</v>
      </c>
      <c r="Y49" s="2"/>
      <c r="Z49" s="19">
        <f t="shared" si="3"/>
        <v>-0.14830512269268428</v>
      </c>
    </row>
    <row r="50" spans="1:26" s="24" customFormat="1" hidden="1" outlineLevel="1" x14ac:dyDescent="0.25">
      <c r="A50" s="44"/>
      <c r="B50" s="11" t="str">
        <f>CONCATENATE("          ", "4102", " - ", "NON-TAXABLE SALES-USED TEXT")</f>
        <v xml:space="preserve">          4102 - NON-TAXABLE SALES-USED TEXT</v>
      </c>
      <c r="C50" s="11"/>
      <c r="D50" s="2">
        <f>--320.72</f>
        <v>320.72000000000003</v>
      </c>
      <c r="E50" s="2"/>
      <c r="F50" s="19"/>
      <c r="G50" s="2"/>
      <c r="H50" s="2">
        <f>--584.52</f>
        <v>584.52</v>
      </c>
      <c r="I50" s="2"/>
      <c r="J50" s="19"/>
      <c r="K50" s="2"/>
      <c r="L50" s="2">
        <f t="shared" si="0"/>
        <v>-263.79999999999995</v>
      </c>
      <c r="M50" s="2"/>
      <c r="N50" s="19">
        <f t="shared" si="1"/>
        <v>-0.45131047697255861</v>
      </c>
      <c r="O50" s="11"/>
      <c r="P50" s="2">
        <f>--33033.19</f>
        <v>33033.19</v>
      </c>
      <c r="Q50" s="2"/>
      <c r="R50" s="19"/>
      <c r="S50" s="2"/>
      <c r="T50" s="2">
        <f>--37606.84</f>
        <v>37606.839999999997</v>
      </c>
      <c r="U50" s="2"/>
      <c r="V50" s="19"/>
      <c r="W50" s="2"/>
      <c r="X50" s="2">
        <f t="shared" si="2"/>
        <v>-4573.6499999999942</v>
      </c>
      <c r="Y50" s="2"/>
      <c r="Z50" s="19">
        <f t="shared" si="3"/>
        <v>-0.12161750362434054</v>
      </c>
    </row>
    <row r="51" spans="1:26" s="24" customFormat="1" hidden="1" outlineLevel="1" x14ac:dyDescent="0.25">
      <c r="A51" s="44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0</f>
        <v>0</v>
      </c>
      <c r="E51" s="2"/>
      <c r="F51" s="19"/>
      <c r="G51" s="2"/>
      <c r="H51" s="2">
        <f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--284.97</f>
        <v>284.97000000000003</v>
      </c>
      <c r="Q51" s="2"/>
      <c r="R51" s="19"/>
      <c r="S51" s="2"/>
      <c r="T51" s="2">
        <f>--329.98</f>
        <v>329.98</v>
      </c>
      <c r="U51" s="2"/>
      <c r="V51" s="19"/>
      <c r="W51" s="2"/>
      <c r="X51" s="2">
        <f t="shared" si="2"/>
        <v>-45.009999999999991</v>
      </c>
      <c r="Y51" s="2"/>
      <c r="Z51" s="19">
        <f t="shared" si="3"/>
        <v>-0.13640220619431478</v>
      </c>
    </row>
    <row r="52" spans="1:26" s="24" customFormat="1" hidden="1" outlineLevel="1" x14ac:dyDescent="0.25">
      <c r="A52" s="44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--1414.19</f>
        <v>1414.19</v>
      </c>
      <c r="E52" s="2"/>
      <c r="F52" s="19"/>
      <c r="G52" s="2"/>
      <c r="H52" s="2">
        <f>--206.24</f>
        <v>206.24</v>
      </c>
      <c r="I52" s="2"/>
      <c r="J52" s="19"/>
      <c r="K52" s="2"/>
      <c r="L52" s="2">
        <f t="shared" si="0"/>
        <v>1207.95</v>
      </c>
      <c r="M52" s="2"/>
      <c r="N52" s="19">
        <f t="shared" si="1"/>
        <v>5.8570112490302559</v>
      </c>
      <c r="O52" s="11"/>
      <c r="P52" s="2">
        <f>--294889.71</f>
        <v>294889.71000000002</v>
      </c>
      <c r="Q52" s="2"/>
      <c r="R52" s="19"/>
      <c r="S52" s="2"/>
      <c r="T52" s="2">
        <f>--320699.09</f>
        <v>320699.09000000003</v>
      </c>
      <c r="U52" s="2"/>
      <c r="V52" s="19"/>
      <c r="W52" s="2"/>
      <c r="X52" s="2">
        <f t="shared" si="2"/>
        <v>-25809.380000000005</v>
      </c>
      <c r="Y52" s="2"/>
      <c r="Z52" s="19">
        <f t="shared" si="3"/>
        <v>-8.0478494653664287E-2</v>
      </c>
    </row>
    <row r="53" spans="1:26" s="24" customFormat="1" hidden="1" outlineLevel="1" x14ac:dyDescent="0.25">
      <c r="A53" s="44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0</f>
        <v>0</v>
      </c>
      <c r="E53" s="2"/>
      <c r="F53" s="19"/>
      <c r="G53" s="2"/>
      <c r="H53" s="2">
        <f>--492.72</f>
        <v>492.72</v>
      </c>
      <c r="I53" s="2"/>
      <c r="J53" s="19"/>
      <c r="K53" s="2"/>
      <c r="L53" s="2">
        <f t="shared" si="0"/>
        <v>-492.72</v>
      </c>
      <c r="M53" s="2"/>
      <c r="N53" s="19">
        <f t="shared" si="1"/>
        <v>-1</v>
      </c>
      <c r="O53" s="11"/>
      <c r="P53" s="2">
        <f>0</f>
        <v>0</v>
      </c>
      <c r="Q53" s="2"/>
      <c r="R53" s="19"/>
      <c r="S53" s="2"/>
      <c r="T53" s="2">
        <f>--7592.19</f>
        <v>7592.19</v>
      </c>
      <c r="U53" s="2"/>
      <c r="V53" s="19"/>
      <c r="W53" s="2"/>
      <c r="X53" s="2">
        <f t="shared" si="2"/>
        <v>-7592.19</v>
      </c>
      <c r="Y53" s="2"/>
      <c r="Z53" s="19">
        <f t="shared" si="3"/>
        <v>-1</v>
      </c>
    </row>
    <row r="54" spans="1:26" s="24" customFormat="1" hidden="1" outlineLevel="1" x14ac:dyDescent="0.25">
      <c r="A54" s="44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>--630</f>
        <v>630</v>
      </c>
      <c r="E54" s="2"/>
      <c r="F54" s="19"/>
      <c r="G54" s="2"/>
      <c r="H54" s="2">
        <f>0</f>
        <v>0</v>
      </c>
      <c r="I54" s="2"/>
      <c r="J54" s="19"/>
      <c r="K54" s="2"/>
      <c r="L54" s="2">
        <f t="shared" si="0"/>
        <v>630</v>
      </c>
      <c r="M54" s="2"/>
      <c r="N54" s="19">
        <f t="shared" si="1"/>
        <v>0</v>
      </c>
      <c r="O54" s="11"/>
      <c r="P54" s="2">
        <f>--2285.95</f>
        <v>2285.9499999999998</v>
      </c>
      <c r="Q54" s="2"/>
      <c r="R54" s="19"/>
      <c r="S54" s="2"/>
      <c r="T54" s="2">
        <f>--1146.72</f>
        <v>1146.72</v>
      </c>
      <c r="U54" s="2"/>
      <c r="V54" s="19"/>
      <c r="W54" s="2"/>
      <c r="X54" s="2">
        <f t="shared" si="2"/>
        <v>1139.2299999999998</v>
      </c>
      <c r="Y54" s="2"/>
      <c r="Z54" s="19">
        <f t="shared" si="3"/>
        <v>0.99346832705455534</v>
      </c>
    </row>
    <row r="55" spans="1:26" s="24" customFormat="1" hidden="1" outlineLevel="1" x14ac:dyDescent="0.25">
      <c r="A55" s="44"/>
      <c r="B55" s="11" t="str">
        <f>CONCATENATE("          ", "4118", " - ", "NON-TAXABLE SALES-STUDY GUIDES")</f>
        <v xml:space="preserve">          4118 - NON-TAXABLE SALES-STUDY GUIDES</v>
      </c>
      <c r="C55" s="11"/>
      <c r="D55" s="2">
        <f>--27.8</f>
        <v>27.8</v>
      </c>
      <c r="E55" s="2"/>
      <c r="F55" s="19"/>
      <c r="G55" s="2"/>
      <c r="H55" s="2">
        <f>--14.04</f>
        <v>14.04</v>
      </c>
      <c r="I55" s="2"/>
      <c r="J55" s="19"/>
      <c r="K55" s="2"/>
      <c r="L55" s="2">
        <f t="shared" si="0"/>
        <v>13.760000000000002</v>
      </c>
      <c r="M55" s="2"/>
      <c r="N55" s="19">
        <f t="shared" si="1"/>
        <v>0.98005698005698028</v>
      </c>
      <c r="O55" s="11"/>
      <c r="P55" s="2">
        <f>--233.43</f>
        <v>233.43</v>
      </c>
      <c r="Q55" s="2"/>
      <c r="R55" s="19"/>
      <c r="S55" s="2"/>
      <c r="T55" s="2">
        <f>--34.96</f>
        <v>34.96</v>
      </c>
      <c r="U55" s="2"/>
      <c r="V55" s="19"/>
      <c r="W55" s="2"/>
      <c r="X55" s="2">
        <f t="shared" si="2"/>
        <v>198.47</v>
      </c>
      <c r="Y55" s="2"/>
      <c r="Z55" s="19">
        <f t="shared" si="3"/>
        <v>5.6770594965675052</v>
      </c>
    </row>
    <row r="56" spans="1:26" s="24" customFormat="1" hidden="1" outlineLevel="1" x14ac:dyDescent="0.25">
      <c r="A56" s="44"/>
      <c r="B56" s="11" t="str">
        <f>CONCATENATE("          ", "4125", " - ", "NON-TAXABLE SALES-TEST FORMS")</f>
        <v xml:space="preserve">          4125 - NON-TAXABLE SALES-TEST FORMS</v>
      </c>
      <c r="C56" s="11"/>
      <c r="D56" s="2">
        <f t="shared" ref="D56:D57" si="12">0</f>
        <v>0</v>
      </c>
      <c r="E56" s="2"/>
      <c r="F56" s="19"/>
      <c r="G56" s="2"/>
      <c r="H56" s="2">
        <f>0</f>
        <v>0</v>
      </c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0</f>
        <v>0</v>
      </c>
      <c r="Q56" s="2"/>
      <c r="R56" s="19"/>
      <c r="S56" s="2"/>
      <c r="T56" s="2">
        <f>--124.18</f>
        <v>124.18</v>
      </c>
      <c r="U56" s="2"/>
      <c r="V56" s="19"/>
      <c r="W56" s="2"/>
      <c r="X56" s="2">
        <f t="shared" si="2"/>
        <v>-124.18</v>
      </c>
      <c r="Y56" s="2"/>
      <c r="Z56" s="19">
        <f t="shared" si="3"/>
        <v>-1</v>
      </c>
    </row>
    <row r="57" spans="1:26" s="24" customFormat="1" hidden="1" outlineLevel="1" x14ac:dyDescent="0.25">
      <c r="A57" s="44"/>
      <c r="B57" s="11" t="str">
        <f>CONCATENATE("          ", "4126", " - ", "NON-TAXABLE SALES-WRITING INST")</f>
        <v xml:space="preserve">          4126 - NON-TAXABLE SALES-WRITING INST</v>
      </c>
      <c r="C57" s="11"/>
      <c r="D57" s="2">
        <f t="shared" si="12"/>
        <v>0</v>
      </c>
      <c r="E57" s="2"/>
      <c r="F57" s="19"/>
      <c r="G57" s="2"/>
      <c r="H57" s="2">
        <f>--11.85</f>
        <v>11.85</v>
      </c>
      <c r="I57" s="2"/>
      <c r="J57" s="19"/>
      <c r="K57" s="2"/>
      <c r="L57" s="2">
        <f t="shared" si="0"/>
        <v>-11.85</v>
      </c>
      <c r="M57" s="2"/>
      <c r="N57" s="19">
        <f t="shared" si="1"/>
        <v>-1</v>
      </c>
      <c r="O57" s="11"/>
      <c r="P57" s="2">
        <f>--52.68</f>
        <v>52.68</v>
      </c>
      <c r="Q57" s="2"/>
      <c r="R57" s="19"/>
      <c r="S57" s="2"/>
      <c r="T57" s="2">
        <f>--1470.38</f>
        <v>1470.38</v>
      </c>
      <c r="U57" s="2"/>
      <c r="V57" s="19"/>
      <c r="W57" s="2"/>
      <c r="X57" s="2">
        <f t="shared" si="2"/>
        <v>-1417.7</v>
      </c>
      <c r="Y57" s="2"/>
      <c r="Z57" s="19">
        <f t="shared" si="3"/>
        <v>-0.96417252682979904</v>
      </c>
    </row>
    <row r="58" spans="1:26" s="24" customFormat="1" hidden="1" outlineLevel="1" x14ac:dyDescent="0.25">
      <c r="A58" s="44"/>
      <c r="B58" s="11" t="str">
        <f>CONCATENATE("          ", "4127", " - ", "NON-TAXABLE SALES-SCHOOL SUPPL")</f>
        <v xml:space="preserve">          4127 - NON-TAXABLE SALES-SCHOOL SUPPL</v>
      </c>
      <c r="C58" s="11"/>
      <c r="D58" s="2">
        <f>--114.89</f>
        <v>114.89</v>
      </c>
      <c r="E58" s="2"/>
      <c r="F58" s="19"/>
      <c r="G58" s="2"/>
      <c r="H58" s="2">
        <f>--6.28</f>
        <v>6.28</v>
      </c>
      <c r="I58" s="2"/>
      <c r="J58" s="19"/>
      <c r="K58" s="2"/>
      <c r="L58" s="2">
        <f t="shared" si="0"/>
        <v>108.61</v>
      </c>
      <c r="M58" s="2"/>
      <c r="N58" s="19">
        <f t="shared" si="1"/>
        <v>17.294585987261147</v>
      </c>
      <c r="O58" s="11"/>
      <c r="P58" s="2">
        <f>--2946.58</f>
        <v>2946.58</v>
      </c>
      <c r="Q58" s="2"/>
      <c r="R58" s="19"/>
      <c r="S58" s="2"/>
      <c r="T58" s="2">
        <f>--2603.4</f>
        <v>2603.4</v>
      </c>
      <c r="U58" s="2"/>
      <c r="V58" s="19"/>
      <c r="W58" s="2"/>
      <c r="X58" s="2">
        <f t="shared" si="2"/>
        <v>343.17999999999984</v>
      </c>
      <c r="Y58" s="2"/>
      <c r="Z58" s="19">
        <f t="shared" si="3"/>
        <v>0.13181992778674034</v>
      </c>
    </row>
    <row r="59" spans="1:26" s="24" customFormat="1" hidden="1" outlineLevel="1" x14ac:dyDescent="0.25">
      <c r="A59" s="44"/>
      <c r="B59" s="11" t="str">
        <f>CONCATENATE("          ", "4128", " - ", "NON-TAXABLE SALES-ART/TECH")</f>
        <v xml:space="preserve">          4128 - NON-TAXABLE SALES-ART/TECH</v>
      </c>
      <c r="C59" s="11"/>
      <c r="D59" s="2">
        <f>--24.78</f>
        <v>24.78</v>
      </c>
      <c r="E59" s="2"/>
      <c r="F59" s="19"/>
      <c r="G59" s="2"/>
      <c r="H59" s="2">
        <f>0</f>
        <v>0</v>
      </c>
      <c r="I59" s="2"/>
      <c r="J59" s="19"/>
      <c r="K59" s="2"/>
      <c r="L59" s="2">
        <f t="shared" si="0"/>
        <v>24.78</v>
      </c>
      <c r="M59" s="2"/>
      <c r="N59" s="19">
        <f t="shared" si="1"/>
        <v>0</v>
      </c>
      <c r="O59" s="11"/>
      <c r="P59" s="2">
        <f>--24.78</f>
        <v>24.78</v>
      </c>
      <c r="Q59" s="2"/>
      <c r="R59" s="19"/>
      <c r="S59" s="2"/>
      <c r="T59" s="2">
        <f>--348.72</f>
        <v>348.72</v>
      </c>
      <c r="U59" s="2"/>
      <c r="V59" s="19"/>
      <c r="W59" s="2"/>
      <c r="X59" s="2">
        <f t="shared" si="2"/>
        <v>-323.94000000000005</v>
      </c>
      <c r="Y59" s="2"/>
      <c r="Z59" s="19">
        <f t="shared" si="3"/>
        <v>-0.92894012388162428</v>
      </c>
    </row>
    <row r="60" spans="1:26" s="24" customFormat="1" hidden="1" outlineLevel="1" x14ac:dyDescent="0.25">
      <c r="A60" s="44"/>
      <c r="B60" s="11" t="str">
        <f>CONCATENATE("          ", "4131", " - ", "NON-TAXABLE SALES-FOOD")</f>
        <v xml:space="preserve">          4131 - NON-TAXABLE SALES-FOOD</v>
      </c>
      <c r="C60" s="11"/>
      <c r="D60" s="2">
        <f>--983.89</f>
        <v>983.89</v>
      </c>
      <c r="E60" s="2"/>
      <c r="F60" s="19"/>
      <c r="G60" s="2"/>
      <c r="H60" s="2">
        <f>--8305.09</f>
        <v>8305.09</v>
      </c>
      <c r="I60" s="2"/>
      <c r="J60" s="19"/>
      <c r="K60" s="2"/>
      <c r="L60" s="2">
        <f t="shared" si="0"/>
        <v>-7321.2</v>
      </c>
      <c r="M60" s="2"/>
      <c r="N60" s="19">
        <f t="shared" si="1"/>
        <v>-0.88153168719423869</v>
      </c>
      <c r="O60" s="11"/>
      <c r="P60" s="2">
        <f>--6509.33</f>
        <v>6509.33</v>
      </c>
      <c r="Q60" s="2"/>
      <c r="R60" s="19"/>
      <c r="S60" s="2"/>
      <c r="T60" s="2">
        <f>--35027.51</f>
        <v>35027.51</v>
      </c>
      <c r="U60" s="2"/>
      <c r="V60" s="19"/>
      <c r="W60" s="2"/>
      <c r="X60" s="2">
        <f t="shared" si="2"/>
        <v>-28518.18</v>
      </c>
      <c r="Y60" s="2"/>
      <c r="Z60" s="19">
        <f t="shared" si="3"/>
        <v>-0.8141652090028666</v>
      </c>
    </row>
    <row r="61" spans="1:26" s="24" customFormat="1" hidden="1" outlineLevel="1" x14ac:dyDescent="0.25">
      <c r="A61" s="44"/>
      <c r="B61" s="11" t="str">
        <f>CONCATENATE("          ", "4132", " - ", "NON-TAXABLE SALES-JUICE")</f>
        <v xml:space="preserve">          4132 - NON-TAXABLE SALES-JUICE</v>
      </c>
      <c r="C61" s="11"/>
      <c r="D61" s="2">
        <f t="shared" ref="D61:D65" si="13">0</f>
        <v>0</v>
      </c>
      <c r="E61" s="2"/>
      <c r="F61" s="19"/>
      <c r="G61" s="2"/>
      <c r="H61" s="2">
        <f>--142472.34</f>
        <v>142472.34</v>
      </c>
      <c r="I61" s="2"/>
      <c r="J61" s="19"/>
      <c r="K61" s="2"/>
      <c r="L61" s="2">
        <f t="shared" si="0"/>
        <v>-142472.34</v>
      </c>
      <c r="M61" s="2"/>
      <c r="N61" s="19">
        <f t="shared" si="1"/>
        <v>-1</v>
      </c>
      <c r="O61" s="11"/>
      <c r="P61" s="2">
        <f>--2054.37</f>
        <v>2054.37</v>
      </c>
      <c r="Q61" s="2"/>
      <c r="R61" s="19"/>
      <c r="S61" s="2"/>
      <c r="T61" s="2">
        <f>--665344.79</f>
        <v>665344.79</v>
      </c>
      <c r="U61" s="2"/>
      <c r="V61" s="19"/>
      <c r="W61" s="2"/>
      <c r="X61" s="2">
        <f t="shared" si="2"/>
        <v>-663290.42000000004</v>
      </c>
      <c r="Y61" s="2"/>
      <c r="Z61" s="19">
        <f t="shared" si="3"/>
        <v>-0.99691232270714858</v>
      </c>
    </row>
    <row r="62" spans="1:26" s="24" customFormat="1" hidden="1" outlineLevel="1" x14ac:dyDescent="0.25">
      <c r="A62" s="44"/>
      <c r="B62" s="11" t="str">
        <f>CONCATENATE("          ", "4133", " - ", "NON-TAXABLE SALES-CANDY")</f>
        <v xml:space="preserve">          4133 - NON-TAXABLE SALES-CANDY</v>
      </c>
      <c r="C62" s="11"/>
      <c r="D62" s="2">
        <f t="shared" si="13"/>
        <v>0</v>
      </c>
      <c r="E62" s="2"/>
      <c r="F62" s="19"/>
      <c r="G62" s="2"/>
      <c r="H62" s="2">
        <f>--2349.7</f>
        <v>2349.6999999999998</v>
      </c>
      <c r="I62" s="2"/>
      <c r="J62" s="19"/>
      <c r="K62" s="2"/>
      <c r="L62" s="2">
        <f t="shared" si="0"/>
        <v>-2349.6999999999998</v>
      </c>
      <c r="M62" s="2"/>
      <c r="N62" s="19">
        <f t="shared" si="1"/>
        <v>-1</v>
      </c>
      <c r="O62" s="11"/>
      <c r="P62" s="2">
        <f>--80.71</f>
        <v>80.709999999999994</v>
      </c>
      <c r="Q62" s="2"/>
      <c r="R62" s="19"/>
      <c r="S62" s="2"/>
      <c r="T62" s="2">
        <f>--10816.56</f>
        <v>10816.56</v>
      </c>
      <c r="U62" s="2"/>
      <c r="V62" s="19"/>
      <c r="W62" s="2"/>
      <c r="X62" s="2">
        <f t="shared" si="2"/>
        <v>-10735.85</v>
      </c>
      <c r="Y62" s="2"/>
      <c r="Z62" s="19">
        <f t="shared" si="3"/>
        <v>-0.99253829313571051</v>
      </c>
    </row>
    <row r="63" spans="1:26" s="24" customFormat="1" hidden="1" outlineLevel="1" x14ac:dyDescent="0.25">
      <c r="A63" s="44"/>
      <c r="B63" s="11" t="str">
        <f>CONCATENATE("          ", "4134", " - ", "NON-TAXABLE SALES-SODA")</f>
        <v xml:space="preserve">          4134 - NON-TAXABLE SALES-SODA</v>
      </c>
      <c r="C63" s="11"/>
      <c r="D63" s="2">
        <f t="shared" si="13"/>
        <v>0</v>
      </c>
      <c r="E63" s="2"/>
      <c r="F63" s="19"/>
      <c r="G63" s="2"/>
      <c r="H63" s="2">
        <f>0</f>
        <v>0</v>
      </c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--45.53</f>
        <v>45.53</v>
      </c>
      <c r="Q63" s="2"/>
      <c r="R63" s="19"/>
      <c r="S63" s="2"/>
      <c r="T63" s="2">
        <f>--0.39</f>
        <v>0.39</v>
      </c>
      <c r="U63" s="2"/>
      <c r="V63" s="19"/>
      <c r="W63" s="2"/>
      <c r="X63" s="2">
        <f t="shared" si="2"/>
        <v>45.14</v>
      </c>
      <c r="Y63" s="2"/>
      <c r="Z63" s="19">
        <f t="shared" si="3"/>
        <v>115.74358974358974</v>
      </c>
    </row>
    <row r="64" spans="1:26" s="24" customFormat="1" hidden="1" outlineLevel="1" x14ac:dyDescent="0.25">
      <c r="A64" s="44"/>
      <c r="B64" s="11" t="str">
        <f>CONCATENATE("          ", "4135", " - ", "NON-TAXABLE SALES")</f>
        <v xml:space="preserve">          4135 - NON-TAXABLE SALES</v>
      </c>
      <c r="C64" s="11"/>
      <c r="D64" s="2">
        <f t="shared" si="13"/>
        <v>0</v>
      </c>
      <c r="E64" s="2"/>
      <c r="F64" s="19"/>
      <c r="G64" s="2"/>
      <c r="H64" s="2">
        <f>--10.77</f>
        <v>10.77</v>
      </c>
      <c r="I64" s="2"/>
      <c r="J64" s="19"/>
      <c r="K64" s="2"/>
      <c r="L64" s="2">
        <f t="shared" si="0"/>
        <v>-10.77</v>
      </c>
      <c r="M64" s="2"/>
      <c r="N64" s="19">
        <f t="shared" si="1"/>
        <v>-1</v>
      </c>
      <c r="O64" s="11"/>
      <c r="P64" s="2">
        <f>0</f>
        <v>0</v>
      </c>
      <c r="Q64" s="2"/>
      <c r="R64" s="19"/>
      <c r="S64" s="2"/>
      <c r="T64" s="2">
        <f>--114.73</f>
        <v>114.73</v>
      </c>
      <c r="U64" s="2"/>
      <c r="V64" s="19"/>
      <c r="W64" s="2"/>
      <c r="X64" s="2">
        <f t="shared" si="2"/>
        <v>-114.73</v>
      </c>
      <c r="Y64" s="2"/>
      <c r="Z64" s="19">
        <f t="shared" si="3"/>
        <v>-1</v>
      </c>
    </row>
    <row r="65" spans="1:26" s="24" customFormat="1" hidden="1" outlineLevel="1" x14ac:dyDescent="0.25">
      <c r="A65" s="44"/>
      <c r="B65" s="11" t="str">
        <f>CONCATENATE("          ", "4137", " - ", "NON-TAXABLE SALES-WATER")</f>
        <v xml:space="preserve">          4137 - NON-TAXABLE SALES-WATER</v>
      </c>
      <c r="C65" s="11"/>
      <c r="D65" s="2">
        <f t="shared" si="13"/>
        <v>0</v>
      </c>
      <c r="E65" s="2"/>
      <c r="F65" s="19"/>
      <c r="G65" s="2"/>
      <c r="H65" s="2">
        <f>--1199.73</f>
        <v>1199.73</v>
      </c>
      <c r="I65" s="2"/>
      <c r="J65" s="19"/>
      <c r="K65" s="2"/>
      <c r="L65" s="2">
        <f t="shared" si="0"/>
        <v>-1199.73</v>
      </c>
      <c r="M65" s="2"/>
      <c r="N65" s="19">
        <f t="shared" si="1"/>
        <v>-1</v>
      </c>
      <c r="O65" s="11"/>
      <c r="P65" s="2">
        <f>--68.25</f>
        <v>68.25</v>
      </c>
      <c r="Q65" s="2"/>
      <c r="R65" s="19"/>
      <c r="S65" s="2"/>
      <c r="T65" s="2">
        <f>--6313.88</f>
        <v>6313.88</v>
      </c>
      <c r="U65" s="2"/>
      <c r="V65" s="19"/>
      <c r="W65" s="2"/>
      <c r="X65" s="2">
        <f t="shared" si="2"/>
        <v>-6245.63</v>
      </c>
      <c r="Y65" s="2"/>
      <c r="Z65" s="19">
        <f t="shared" si="3"/>
        <v>-0.98919048192236791</v>
      </c>
    </row>
    <row r="66" spans="1:26" s="24" customFormat="1" hidden="1" outlineLevel="1" x14ac:dyDescent="0.25">
      <c r="A66" s="44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--19704.79</f>
        <v>19704.79</v>
      </c>
      <c r="E66" s="2"/>
      <c r="F66" s="19"/>
      <c r="G66" s="2"/>
      <c r="H66" s="2">
        <f>--7373.27</f>
        <v>7373.27</v>
      </c>
      <c r="I66" s="2"/>
      <c r="J66" s="19"/>
      <c r="K66" s="2"/>
      <c r="L66" s="2">
        <f t="shared" si="0"/>
        <v>12331.52</v>
      </c>
      <c r="M66" s="2"/>
      <c r="N66" s="19">
        <f t="shared" si="1"/>
        <v>1.6724628285685998</v>
      </c>
      <c r="O66" s="11"/>
      <c r="P66" s="2">
        <f>--50320.27</f>
        <v>50320.27</v>
      </c>
      <c r="Q66" s="2"/>
      <c r="R66" s="19"/>
      <c r="S66" s="2"/>
      <c r="T66" s="2">
        <f>--20008.79</f>
        <v>20008.79</v>
      </c>
      <c r="U66" s="2"/>
      <c r="V66" s="19"/>
      <c r="W66" s="2"/>
      <c r="X66" s="2">
        <f t="shared" si="2"/>
        <v>30311.479999999996</v>
      </c>
      <c r="Y66" s="2"/>
      <c r="Z66" s="19">
        <f t="shared" si="3"/>
        <v>1.514908197847046</v>
      </c>
    </row>
    <row r="67" spans="1:26" s="24" customFormat="1" hidden="1" outlineLevel="1" x14ac:dyDescent="0.25">
      <c r="A67" s="44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--806.32</f>
        <v>806.32</v>
      </c>
      <c r="E67" s="2"/>
      <c r="F67" s="19"/>
      <c r="G67" s="2"/>
      <c r="H67" s="2">
        <f>--434.35</f>
        <v>434.35</v>
      </c>
      <c r="I67" s="2"/>
      <c r="J67" s="19"/>
      <c r="K67" s="2"/>
      <c r="L67" s="2">
        <f t="shared" si="0"/>
        <v>371.97</v>
      </c>
      <c r="M67" s="2"/>
      <c r="N67" s="19">
        <f t="shared" si="1"/>
        <v>0.85638310118567973</v>
      </c>
      <c r="O67" s="11"/>
      <c r="P67" s="2">
        <f>--4189.02</f>
        <v>4189.0200000000004</v>
      </c>
      <c r="Q67" s="2"/>
      <c r="R67" s="19"/>
      <c r="S67" s="2"/>
      <c r="T67" s="2">
        <f>--1830.28</f>
        <v>1830.28</v>
      </c>
      <c r="U67" s="2"/>
      <c r="V67" s="19"/>
      <c r="W67" s="2"/>
      <c r="X67" s="2">
        <f t="shared" si="2"/>
        <v>2358.7400000000007</v>
      </c>
      <c r="Y67" s="2"/>
      <c r="Z67" s="19">
        <f t="shared" si="3"/>
        <v>1.2887317787442363</v>
      </c>
    </row>
    <row r="68" spans="1:26" s="24" customFormat="1" hidden="1" outlineLevel="1" x14ac:dyDescent="0.25">
      <c r="A68" s="44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--887.78</f>
        <v>887.78</v>
      </c>
      <c r="E68" s="2"/>
      <c r="F68" s="19"/>
      <c r="G68" s="2"/>
      <c r="H68" s="2">
        <f>--2013.22</f>
        <v>2013.22</v>
      </c>
      <c r="I68" s="2"/>
      <c r="J68" s="19"/>
      <c r="K68" s="2"/>
      <c r="L68" s="2">
        <f t="shared" si="0"/>
        <v>-1125.44</v>
      </c>
      <c r="M68" s="2"/>
      <c r="N68" s="19">
        <f t="shared" si="1"/>
        <v>-0.55902484576946387</v>
      </c>
      <c r="O68" s="11"/>
      <c r="P68" s="2">
        <f>--2208.19</f>
        <v>2208.19</v>
      </c>
      <c r="Q68" s="2"/>
      <c r="R68" s="19"/>
      <c r="S68" s="2"/>
      <c r="T68" s="2">
        <f>--7932.83</f>
        <v>7932.83</v>
      </c>
      <c r="U68" s="2"/>
      <c r="V68" s="19"/>
      <c r="W68" s="2"/>
      <c r="X68" s="2">
        <f t="shared" si="2"/>
        <v>-5724.6399999999994</v>
      </c>
      <c r="Y68" s="2"/>
      <c r="Z68" s="19">
        <f t="shared" si="3"/>
        <v>-0.72163906197409999</v>
      </c>
    </row>
    <row r="69" spans="1:26" s="24" customFormat="1" hidden="1" outlineLevel="1" x14ac:dyDescent="0.25">
      <c r="A69" s="44"/>
      <c r="B69" s="11" t="str">
        <f>CONCATENATE("          ", "4143", " - ", "NON-TAXABLE SALES-CARDS")</f>
        <v xml:space="preserve">          4143 - NON-TAXABLE SALES-CARDS</v>
      </c>
      <c r="C69" s="11"/>
      <c r="D69" s="2">
        <f>--9.99</f>
        <v>9.99</v>
      </c>
      <c r="E69" s="2"/>
      <c r="F69" s="19"/>
      <c r="G69" s="2"/>
      <c r="H69" s="2">
        <f>0</f>
        <v>0</v>
      </c>
      <c r="I69" s="2"/>
      <c r="J69" s="19"/>
      <c r="K69" s="2"/>
      <c r="L69" s="2">
        <f t="shared" si="0"/>
        <v>9.99</v>
      </c>
      <c r="M69" s="2"/>
      <c r="N69" s="19">
        <f t="shared" si="1"/>
        <v>0</v>
      </c>
      <c r="O69" s="11"/>
      <c r="P69" s="2">
        <f>--39.96</f>
        <v>39.96</v>
      </c>
      <c r="Q69" s="2"/>
      <c r="R69" s="19"/>
      <c r="S69" s="2"/>
      <c r="T69" s="2">
        <f>0</f>
        <v>0</v>
      </c>
      <c r="U69" s="2"/>
      <c r="V69" s="19"/>
      <c r="W69" s="2"/>
      <c r="X69" s="2">
        <f t="shared" si="2"/>
        <v>39.96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"4144", " - ", "NON-TAXABLE SALES-ACCESSORIES")</f>
        <v xml:space="preserve">          4144 - NON-TAXABLE SALES-ACCESSORIES</v>
      </c>
      <c r="C70" s="11"/>
      <c r="D70" s="2">
        <f>--19.95</f>
        <v>19.95</v>
      </c>
      <c r="E70" s="2"/>
      <c r="F70" s="19"/>
      <c r="G70" s="2"/>
      <c r="H70" s="2">
        <f>--29.95</f>
        <v>29.95</v>
      </c>
      <c r="I70" s="2"/>
      <c r="J70" s="19"/>
      <c r="K70" s="2"/>
      <c r="L70" s="2">
        <f t="shared" si="0"/>
        <v>-10</v>
      </c>
      <c r="M70" s="2"/>
      <c r="N70" s="19">
        <f t="shared" si="1"/>
        <v>-0.333889816360601</v>
      </c>
      <c r="O70" s="11"/>
      <c r="P70" s="2">
        <f>--389.7</f>
        <v>389.7</v>
      </c>
      <c r="Q70" s="2"/>
      <c r="R70" s="19"/>
      <c r="S70" s="2"/>
      <c r="T70" s="2">
        <f>--241.56</f>
        <v>241.56</v>
      </c>
      <c r="U70" s="2"/>
      <c r="V70" s="19"/>
      <c r="W70" s="2"/>
      <c r="X70" s="2">
        <f t="shared" si="2"/>
        <v>148.13999999999999</v>
      </c>
      <c r="Y70" s="2"/>
      <c r="Z70" s="19">
        <f t="shared" si="3"/>
        <v>0.61326378539493287</v>
      </c>
    </row>
    <row r="71" spans="1:26" s="24" customFormat="1" hidden="1" outlineLevel="1" x14ac:dyDescent="0.25">
      <c r="A71" s="44"/>
      <c r="B71" s="11" t="str">
        <f>CONCATENATE("          ", "4145", " - ", "NON-TAXABLE SALES-SPECIAL ORDE")</f>
        <v xml:space="preserve">          4145 - NON-TAXABLE SALES-SPECIAL ORDE</v>
      </c>
      <c r="C71" s="11"/>
      <c r="D71" s="2">
        <f>--2800</f>
        <v>2800</v>
      </c>
      <c r="E71" s="2"/>
      <c r="F71" s="19"/>
      <c r="G71" s="2"/>
      <c r="H71" s="2">
        <f>--50</f>
        <v>50</v>
      </c>
      <c r="I71" s="2"/>
      <c r="J71" s="19"/>
      <c r="K71" s="2"/>
      <c r="L71" s="2">
        <f t="shared" si="0"/>
        <v>2750</v>
      </c>
      <c r="M71" s="2"/>
      <c r="N71" s="19">
        <f t="shared" si="1"/>
        <v>55</v>
      </c>
      <c r="O71" s="11"/>
      <c r="P71" s="2">
        <f>--38646</f>
        <v>38646</v>
      </c>
      <c r="Q71" s="2"/>
      <c r="R71" s="19"/>
      <c r="S71" s="2"/>
      <c r="T71" s="2">
        <f>--140</f>
        <v>140</v>
      </c>
      <c r="U71" s="2"/>
      <c r="V71" s="19"/>
      <c r="W71" s="2"/>
      <c r="X71" s="2">
        <f t="shared" si="2"/>
        <v>38506</v>
      </c>
      <c r="Y71" s="2"/>
      <c r="Z71" s="19">
        <f t="shared" si="3"/>
        <v>275.04285714285714</v>
      </c>
    </row>
    <row r="72" spans="1:26" s="24" customFormat="1" hidden="1" outlineLevel="1" x14ac:dyDescent="0.25">
      <c r="A72" s="44"/>
      <c r="B72" s="11" t="str">
        <f>CONCATENATE("          ", "4146", " - ", "NON-TAXABLE SALES-COIN OP MACH")</f>
        <v xml:space="preserve">          4146 - NON-TAXABLE SALES-COIN OP MACH</v>
      </c>
      <c r="C72" s="11"/>
      <c r="D72" s="2">
        <f>--21.5</f>
        <v>21.5</v>
      </c>
      <c r="E72" s="2"/>
      <c r="F72" s="19"/>
      <c r="G72" s="2"/>
      <c r="H72" s="2">
        <f>--28930.75</f>
        <v>28930.75</v>
      </c>
      <c r="I72" s="2"/>
      <c r="J72" s="19"/>
      <c r="K72" s="2"/>
      <c r="L72" s="2">
        <f t="shared" si="0"/>
        <v>-28909.25</v>
      </c>
      <c r="M72" s="2"/>
      <c r="N72" s="19">
        <f t="shared" si="1"/>
        <v>-0.9992568460893686</v>
      </c>
      <c r="O72" s="11"/>
      <c r="P72" s="2">
        <f>--108</f>
        <v>108</v>
      </c>
      <c r="Q72" s="2"/>
      <c r="R72" s="19"/>
      <c r="S72" s="2"/>
      <c r="T72" s="2">
        <f>--119341.05</f>
        <v>119341.05</v>
      </c>
      <c r="U72" s="2"/>
      <c r="V72" s="19"/>
      <c r="W72" s="2"/>
      <c r="X72" s="2">
        <f t="shared" si="2"/>
        <v>-119233.05</v>
      </c>
      <c r="Y72" s="2"/>
      <c r="Z72" s="19">
        <f t="shared" si="3"/>
        <v>-0.99909503058670923</v>
      </c>
    </row>
    <row r="73" spans="1:26" s="24" customFormat="1" hidden="1" outlineLevel="1" x14ac:dyDescent="0.25">
      <c r="A73" s="44"/>
      <c r="B73" s="11" t="str">
        <f>CONCATENATE("          ", "4147", " - ", "NON-TAXABLE SALES-MISC")</f>
        <v xml:space="preserve">          4147 - NON-TAXABLE SALES-MISC</v>
      </c>
      <c r="C73" s="11"/>
      <c r="D73" s="2">
        <f>--5</f>
        <v>5</v>
      </c>
      <c r="E73" s="2"/>
      <c r="F73" s="19"/>
      <c r="G73" s="2"/>
      <c r="H73" s="2">
        <f>--75</f>
        <v>75</v>
      </c>
      <c r="I73" s="2"/>
      <c r="J73" s="19"/>
      <c r="K73" s="2"/>
      <c r="L73" s="2">
        <f t="shared" si="0"/>
        <v>-70</v>
      </c>
      <c r="M73" s="2"/>
      <c r="N73" s="19">
        <f t="shared" si="1"/>
        <v>-0.93333333333333335</v>
      </c>
      <c r="O73" s="11"/>
      <c r="P73" s="2">
        <f>--91.5</f>
        <v>91.5</v>
      </c>
      <c r="Q73" s="2"/>
      <c r="R73" s="19"/>
      <c r="S73" s="2"/>
      <c r="T73" s="2">
        <f>--249.9</f>
        <v>249.9</v>
      </c>
      <c r="U73" s="2"/>
      <c r="V73" s="19"/>
      <c r="W73" s="2"/>
      <c r="X73" s="2">
        <f t="shared" si="2"/>
        <v>-158.4</v>
      </c>
      <c r="Y73" s="2"/>
      <c r="Z73" s="19">
        <f t="shared" si="3"/>
        <v>-0.63385354141656669</v>
      </c>
    </row>
    <row r="74" spans="1:26" s="24" customFormat="1" hidden="1" outlineLevel="1" x14ac:dyDescent="0.25">
      <c r="A74" s="44"/>
      <c r="B74" s="11" t="str">
        <f>CONCATENATE("          ", "4151", " - ", "NON-TAXABLE SALES-FOOD")</f>
        <v xml:space="preserve">          4151 - NON-TAXABLE SALES-FOOD</v>
      </c>
      <c r="C74" s="11"/>
      <c r="D74" s="2">
        <f t="shared" ref="D74:D76" si="14">0</f>
        <v>0</v>
      </c>
      <c r="E74" s="2"/>
      <c r="F74" s="19"/>
      <c r="G74" s="2"/>
      <c r="H74" s="2">
        <f>--111550.27</f>
        <v>111550.27</v>
      </c>
      <c r="I74" s="2"/>
      <c r="J74" s="19"/>
      <c r="K74" s="2"/>
      <c r="L74" s="2">
        <f t="shared" si="0"/>
        <v>-111550.27</v>
      </c>
      <c r="M74" s="2"/>
      <c r="N74" s="19">
        <f t="shared" si="1"/>
        <v>-1</v>
      </c>
      <c r="O74" s="11"/>
      <c r="P74" s="2">
        <f>0</f>
        <v>0</v>
      </c>
      <c r="Q74" s="2"/>
      <c r="R74" s="19"/>
      <c r="S74" s="2"/>
      <c r="T74" s="2">
        <f>--500473.1</f>
        <v>500473.1</v>
      </c>
      <c r="U74" s="2"/>
      <c r="V74" s="19"/>
      <c r="W74" s="2"/>
      <c r="X74" s="2">
        <f t="shared" si="2"/>
        <v>-500473.1</v>
      </c>
      <c r="Y74" s="2"/>
      <c r="Z74" s="19">
        <f t="shared" si="3"/>
        <v>-1</v>
      </c>
    </row>
    <row r="75" spans="1:26" s="24" customFormat="1" hidden="1" outlineLevel="1" x14ac:dyDescent="0.25">
      <c r="A75" s="44"/>
      <c r="B75" s="11" t="str">
        <f>CONCATENATE("          ", "4153", " - ", "NON-TAXABLE SALES-FOOD")</f>
        <v xml:space="preserve">          4153 - NON-TAXABLE SALES-FOOD</v>
      </c>
      <c r="C75" s="11"/>
      <c r="D75" s="2">
        <f t="shared" si="14"/>
        <v>0</v>
      </c>
      <c r="E75" s="2"/>
      <c r="F75" s="19"/>
      <c r="G75" s="2"/>
      <c r="H75" s="2">
        <f>--1546.5</f>
        <v>1546.5</v>
      </c>
      <c r="I75" s="2"/>
      <c r="J75" s="19"/>
      <c r="K75" s="2"/>
      <c r="L75" s="2">
        <f t="shared" si="0"/>
        <v>-1546.5</v>
      </c>
      <c r="M75" s="2"/>
      <c r="N75" s="19">
        <f t="shared" si="1"/>
        <v>-1</v>
      </c>
      <c r="O75" s="11"/>
      <c r="P75" s="2">
        <f>--110</f>
        <v>110</v>
      </c>
      <c r="Q75" s="2"/>
      <c r="R75" s="19"/>
      <c r="S75" s="2"/>
      <c r="T75" s="2">
        <f>--6827</f>
        <v>6827</v>
      </c>
      <c r="U75" s="2"/>
      <c r="V75" s="19"/>
      <c r="W75" s="2"/>
      <c r="X75" s="2">
        <f t="shared" si="2"/>
        <v>-6717</v>
      </c>
      <c r="Y75" s="2"/>
      <c r="Z75" s="19">
        <f t="shared" si="3"/>
        <v>-0.98388750549289583</v>
      </c>
    </row>
    <row r="76" spans="1:26" s="24" customFormat="1" hidden="1" outlineLevel="1" x14ac:dyDescent="0.25">
      <c r="A76" s="44"/>
      <c r="B76" s="11" t="str">
        <f>CONCATENATE("          ", "4186", " - ", "NON-TAXABLE SALES-COMPUTER SUP")</f>
        <v xml:space="preserve">          4186 - NON-TAXABLE SALES-COMPUTER SUP</v>
      </c>
      <c r="C76" s="11"/>
      <c r="D76" s="2">
        <f t="shared" si="14"/>
        <v>0</v>
      </c>
      <c r="E76" s="2"/>
      <c r="F76" s="19"/>
      <c r="G76" s="2"/>
      <c r="H76" s="2">
        <f>0</f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0</f>
        <v>0</v>
      </c>
      <c r="Q76" s="2"/>
      <c r="R76" s="19"/>
      <c r="S76" s="2"/>
      <c r="T76" s="2">
        <f>-30.97</f>
        <v>-30.97</v>
      </c>
      <c r="U76" s="2"/>
      <c r="V76" s="19"/>
      <c r="W76" s="2"/>
      <c r="X76" s="2">
        <f t="shared" si="2"/>
        <v>30.97</v>
      </c>
      <c r="Y76" s="2"/>
      <c r="Z76" s="19">
        <f t="shared" si="3"/>
        <v>-1</v>
      </c>
    </row>
    <row r="77" spans="1:26" s="24" customFormat="1" hidden="1" outlineLevel="1" x14ac:dyDescent="0.25">
      <c r="A77" s="44"/>
      <c r="B77" s="11" t="str">
        <f>CONCATENATE("          ", "4201", " - ", "SALES RETURN TAXABLE-NEW TEXT")</f>
        <v xml:space="preserve">          4201 - SALES RETURN TAXABLE-NEW TEXT</v>
      </c>
      <c r="C77" s="11"/>
      <c r="D77" s="2">
        <f>-1333.42</f>
        <v>-1333.42</v>
      </c>
      <c r="E77" s="2"/>
      <c r="F77" s="19"/>
      <c r="G77" s="2"/>
      <c r="H77" s="2">
        <f>-314.9</f>
        <v>-314.89999999999998</v>
      </c>
      <c r="I77" s="2"/>
      <c r="J77" s="19"/>
      <c r="K77" s="2"/>
      <c r="L77" s="2">
        <f t="shared" si="0"/>
        <v>-1018.5200000000001</v>
      </c>
      <c r="M77" s="2"/>
      <c r="N77" s="19">
        <f t="shared" si="1"/>
        <v>3.2344236265481112</v>
      </c>
      <c r="O77" s="11"/>
      <c r="P77" s="2">
        <f>-35094.66</f>
        <v>-35094.660000000003</v>
      </c>
      <c r="Q77" s="2"/>
      <c r="R77" s="19"/>
      <c r="S77" s="2"/>
      <c r="T77" s="2">
        <f>-78098.57</f>
        <v>-78098.570000000007</v>
      </c>
      <c r="U77" s="2"/>
      <c r="V77" s="19"/>
      <c r="W77" s="2"/>
      <c r="X77" s="2">
        <f t="shared" si="2"/>
        <v>43003.91</v>
      </c>
      <c r="Y77" s="2"/>
      <c r="Z77" s="19">
        <f t="shared" si="3"/>
        <v>-0.55063633047314442</v>
      </c>
    </row>
    <row r="78" spans="1:26" s="24" customFormat="1" hidden="1" outlineLevel="1" x14ac:dyDescent="0.25">
      <c r="A78" s="44"/>
      <c r="B78" s="11" t="str">
        <f>CONCATENATE("          ", "4202", " - ", "SALES RETURN TAXABLE-USED TEXT")</f>
        <v xml:space="preserve">          4202 - SALES RETURN TAXABLE-USED TEXT</v>
      </c>
      <c r="C78" s="11"/>
      <c r="D78" s="2">
        <f>-3274.35</f>
        <v>-3274.35</v>
      </c>
      <c r="E78" s="2"/>
      <c r="F78" s="19"/>
      <c r="G78" s="2"/>
      <c r="H78" s="2">
        <f>-113.2</f>
        <v>-113.2</v>
      </c>
      <c r="I78" s="2"/>
      <c r="J78" s="19"/>
      <c r="K78" s="2"/>
      <c r="L78" s="2">
        <f t="shared" si="0"/>
        <v>-3161.15</v>
      </c>
      <c r="M78" s="2"/>
      <c r="N78" s="19">
        <f t="shared" si="1"/>
        <v>27.925353356890458</v>
      </c>
      <c r="O78" s="11"/>
      <c r="P78" s="2">
        <f>-13803.35</f>
        <v>-13803.35</v>
      </c>
      <c r="Q78" s="2"/>
      <c r="R78" s="19"/>
      <c r="S78" s="2"/>
      <c r="T78" s="2">
        <f>-27042.2</f>
        <v>-27042.2</v>
      </c>
      <c r="U78" s="2"/>
      <c r="V78" s="19"/>
      <c r="W78" s="2"/>
      <c r="X78" s="2">
        <f t="shared" si="2"/>
        <v>13238.85</v>
      </c>
      <c r="Y78" s="2"/>
      <c r="Z78" s="19">
        <f t="shared" si="3"/>
        <v>-0.48956260955099806</v>
      </c>
    </row>
    <row r="79" spans="1:26" s="24" customFormat="1" hidden="1" outlineLevel="1" x14ac:dyDescent="0.25">
      <c r="A79" s="44"/>
      <c r="B79" s="11" t="str">
        <f>CONCATENATE("          ", "4203", " - ", "SALES RETURN TAXABLE-RENTAL TE")</f>
        <v xml:space="preserve">          4203 - SALES RETURN TAXABLE-RENTAL TE</v>
      </c>
      <c r="C79" s="11"/>
      <c r="D79" s="2">
        <f t="shared" ref="D79:D85" si="15">0</f>
        <v>0</v>
      </c>
      <c r="E79" s="2"/>
      <c r="F79" s="19"/>
      <c r="G79" s="2"/>
      <c r="H79" s="2">
        <f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0</f>
        <v>0</v>
      </c>
      <c r="Q79" s="2"/>
      <c r="R79" s="19"/>
      <c r="S79" s="2"/>
      <c r="T79" s="2">
        <f>-144.99</f>
        <v>-144.99</v>
      </c>
      <c r="U79" s="2"/>
      <c r="V79" s="19"/>
      <c r="W79" s="2"/>
      <c r="X79" s="2">
        <f t="shared" si="2"/>
        <v>144.99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"4204", " - ", "SALES RETURN TAXABLE-DIGITAL T")</f>
        <v xml:space="preserve">          4204 - SALES RETURN TAXABLE-DIGITAL T</v>
      </c>
      <c r="C80" s="11"/>
      <c r="D80" s="2">
        <f t="shared" si="15"/>
        <v>0</v>
      </c>
      <c r="E80" s="2"/>
      <c r="F80" s="19"/>
      <c r="G80" s="2"/>
      <c r="H80" s="2">
        <f>-119.4</f>
        <v>-119.4</v>
      </c>
      <c r="I80" s="2"/>
      <c r="J80" s="19"/>
      <c r="K80" s="2"/>
      <c r="L80" s="2">
        <f t="shared" si="0"/>
        <v>119.4</v>
      </c>
      <c r="M80" s="2"/>
      <c r="N80" s="19">
        <f t="shared" si="1"/>
        <v>-1</v>
      </c>
      <c r="O80" s="11"/>
      <c r="P80" s="2">
        <f>-1630.85</f>
        <v>-1630.85</v>
      </c>
      <c r="Q80" s="2"/>
      <c r="R80" s="19"/>
      <c r="S80" s="2"/>
      <c r="T80" s="2">
        <f>-11369.46</f>
        <v>-11369.46</v>
      </c>
      <c r="U80" s="2"/>
      <c r="V80" s="19"/>
      <c r="W80" s="2"/>
      <c r="X80" s="2">
        <f t="shared" si="2"/>
        <v>9738.6099999999988</v>
      </c>
      <c r="Y80" s="2"/>
      <c r="Z80" s="19">
        <f t="shared" si="3"/>
        <v>-0.85655871079189327</v>
      </c>
    </row>
    <row r="81" spans="1:26" s="24" customFormat="1" hidden="1" outlineLevel="1" x14ac:dyDescent="0.25">
      <c r="A81" s="44"/>
      <c r="B81" s="11" t="str">
        <f>CONCATENATE("          ", "4213", " - ", "NON-TAXABLE SALES-TRADE BOOKS")</f>
        <v xml:space="preserve">          4213 - NON-TAXABLE SALES-TRADE BOOKS</v>
      </c>
      <c r="C81" s="11"/>
      <c r="D81" s="2">
        <f t="shared" si="15"/>
        <v>0</v>
      </c>
      <c r="E81" s="2"/>
      <c r="F81" s="19"/>
      <c r="G81" s="2"/>
      <c r="H81" s="2">
        <f>-67.34</f>
        <v>-67.34</v>
      </c>
      <c r="I81" s="2"/>
      <c r="J81" s="19"/>
      <c r="K81" s="2"/>
      <c r="L81" s="2">
        <f t="shared" si="0"/>
        <v>67.34</v>
      </c>
      <c r="M81" s="2"/>
      <c r="N81" s="19">
        <f t="shared" si="1"/>
        <v>-1</v>
      </c>
      <c r="O81" s="11"/>
      <c r="P81" s="2">
        <f t="shared" ref="P81:P84" si="16">0</f>
        <v>0</v>
      </c>
      <c r="Q81" s="2"/>
      <c r="R81" s="19"/>
      <c r="S81" s="2"/>
      <c r="T81" s="2">
        <f>-102.71</f>
        <v>-102.71</v>
      </c>
      <c r="U81" s="2"/>
      <c r="V81" s="19"/>
      <c r="W81" s="2"/>
      <c r="X81" s="2">
        <f t="shared" si="2"/>
        <v>102.71</v>
      </c>
      <c r="Y81" s="2"/>
      <c r="Z81" s="19">
        <f t="shared" si="3"/>
        <v>-1</v>
      </c>
    </row>
    <row r="82" spans="1:26" s="24" customFormat="1" hidden="1" outlineLevel="1" x14ac:dyDescent="0.25">
      <c r="A82" s="44"/>
      <c r="B82" s="11" t="str">
        <f>CONCATENATE("          ", "4217", " - ", "NON-TAXABLE SALES-DORM/HOUSEWA")</f>
        <v xml:space="preserve">          4217 - NON-TAXABLE SALES-DORM/HOUSEWA</v>
      </c>
      <c r="C82" s="11"/>
      <c r="D82" s="2">
        <f t="shared" si="15"/>
        <v>0</v>
      </c>
      <c r="E82" s="2"/>
      <c r="F82" s="19"/>
      <c r="G82" s="2"/>
      <c r="H82" s="2">
        <f t="shared" ref="H82:H83" si="17">0</f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 t="shared" si="16"/>
        <v>0</v>
      </c>
      <c r="Q82" s="2"/>
      <c r="R82" s="19"/>
      <c r="S82" s="2"/>
      <c r="T82" s="2">
        <f>-2.98</f>
        <v>-2.98</v>
      </c>
      <c r="U82" s="2"/>
      <c r="V82" s="19"/>
      <c r="W82" s="2"/>
      <c r="X82" s="2">
        <f t="shared" si="2"/>
        <v>2.98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"4218", " - ", "SALES RETURN TAXABLE-STUDY GUI")</f>
        <v xml:space="preserve">          4218 - SALES RETURN TAXABLE-STUDY GUI</v>
      </c>
      <c r="C83" s="11"/>
      <c r="D83" s="2">
        <f t="shared" si="15"/>
        <v>0</v>
      </c>
      <c r="E83" s="2"/>
      <c r="F83" s="19"/>
      <c r="G83" s="2"/>
      <c r="H83" s="2">
        <f t="shared" si="17"/>
        <v>0</v>
      </c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 t="shared" si="16"/>
        <v>0</v>
      </c>
      <c r="Q83" s="2"/>
      <c r="R83" s="19"/>
      <c r="S83" s="2"/>
      <c r="T83" s="2">
        <f>-32.75</f>
        <v>-32.75</v>
      </c>
      <c r="U83" s="2"/>
      <c r="V83" s="19"/>
      <c r="W83" s="2"/>
      <c r="X83" s="2">
        <f t="shared" si="2"/>
        <v>32.75</v>
      </c>
      <c r="Y83" s="2"/>
      <c r="Z83" s="19">
        <f t="shared" si="3"/>
        <v>-1</v>
      </c>
    </row>
    <row r="84" spans="1:26" s="24" customFormat="1" hidden="1" outlineLevel="1" x14ac:dyDescent="0.25">
      <c r="A84" s="44"/>
      <c r="B84" s="11" t="str">
        <f>CONCATENATE("          ", "4225", " - ", "SALES RETURN TAXABLE-TEST FORM")</f>
        <v xml:space="preserve">          4225 - SALES RETURN TAXABLE-TEST FORM</v>
      </c>
      <c r="C84" s="11"/>
      <c r="D84" s="2">
        <f t="shared" si="15"/>
        <v>0</v>
      </c>
      <c r="E84" s="2"/>
      <c r="F84" s="19"/>
      <c r="G84" s="2"/>
      <c r="H84" s="2">
        <f>-23.91</f>
        <v>-23.91</v>
      </c>
      <c r="I84" s="2"/>
      <c r="J84" s="19"/>
      <c r="K84" s="2"/>
      <c r="L84" s="2">
        <f t="shared" si="0"/>
        <v>23.91</v>
      </c>
      <c r="M84" s="2"/>
      <c r="N84" s="19">
        <f t="shared" si="1"/>
        <v>-1</v>
      </c>
      <c r="O84" s="11"/>
      <c r="P84" s="2">
        <f t="shared" si="16"/>
        <v>0</v>
      </c>
      <c r="Q84" s="2"/>
      <c r="R84" s="19"/>
      <c r="S84" s="2"/>
      <c r="T84" s="2">
        <f>-65.46</f>
        <v>-65.459999999999994</v>
      </c>
      <c r="U84" s="2"/>
      <c r="V84" s="19"/>
      <c r="W84" s="2"/>
      <c r="X84" s="2">
        <f t="shared" si="2"/>
        <v>65.459999999999994</v>
      </c>
      <c r="Y84" s="2"/>
      <c r="Z84" s="19">
        <f t="shared" si="3"/>
        <v>-1</v>
      </c>
    </row>
    <row r="85" spans="1:26" s="24" customFormat="1" hidden="1" outlineLevel="1" x14ac:dyDescent="0.25">
      <c r="A85" s="44"/>
      <c r="B85" s="11" t="str">
        <f>CONCATENATE("          ", "4226", " - ", "SALES RETURN TAXABLE-WRITING I")</f>
        <v xml:space="preserve">          4226 - SALES RETURN TAXABLE-WRITING I</v>
      </c>
      <c r="C85" s="11"/>
      <c r="D85" s="2">
        <f t="shared" si="15"/>
        <v>0</v>
      </c>
      <c r="E85" s="2"/>
      <c r="F85" s="19"/>
      <c r="G85" s="2"/>
      <c r="H85" s="2">
        <f>-13.74</f>
        <v>-13.74</v>
      </c>
      <c r="I85" s="2"/>
      <c r="J85" s="19"/>
      <c r="K85" s="2"/>
      <c r="L85" s="2">
        <f t="shared" si="0"/>
        <v>13.74</v>
      </c>
      <c r="M85" s="2"/>
      <c r="N85" s="19">
        <f t="shared" si="1"/>
        <v>-1</v>
      </c>
      <c r="O85" s="11"/>
      <c r="P85" s="2">
        <f>-34.23</f>
        <v>-34.229999999999997</v>
      </c>
      <c r="Q85" s="2"/>
      <c r="R85" s="19"/>
      <c r="S85" s="2"/>
      <c r="T85" s="2">
        <f>-489.71</f>
        <v>-489.71</v>
      </c>
      <c r="U85" s="2"/>
      <c r="V85" s="19"/>
      <c r="W85" s="2"/>
      <c r="X85" s="2">
        <f t="shared" si="2"/>
        <v>455.47999999999996</v>
      </c>
      <c r="Y85" s="2"/>
      <c r="Z85" s="19">
        <f t="shared" si="3"/>
        <v>-0.93010148863613151</v>
      </c>
    </row>
    <row r="86" spans="1:26" s="24" customFormat="1" hidden="1" outlineLevel="1" x14ac:dyDescent="0.25">
      <c r="A86" s="44"/>
      <c r="B86" s="11" t="str">
        <f>CONCATENATE("          ", "4227", " - ", "SALES RETURN TAXABLE-SCHOOL SU")</f>
        <v xml:space="preserve">          4227 - SALES RETURN TAXABLE-SCHOOL SU</v>
      </c>
      <c r="C86" s="11"/>
      <c r="D86" s="2">
        <f>-31.98</f>
        <v>-31.98</v>
      </c>
      <c r="E86" s="2"/>
      <c r="F86" s="19"/>
      <c r="G86" s="2"/>
      <c r="H86" s="2">
        <f>-917.34</f>
        <v>-917.34</v>
      </c>
      <c r="I86" s="2"/>
      <c r="J86" s="19"/>
      <c r="K86" s="2"/>
      <c r="L86" s="2">
        <f t="shared" si="0"/>
        <v>885.36</v>
      </c>
      <c r="M86" s="2"/>
      <c r="N86" s="19">
        <f t="shared" si="1"/>
        <v>-0.96513833475047417</v>
      </c>
      <c r="O86" s="11"/>
      <c r="P86" s="2">
        <f>-610.64</f>
        <v>-610.64</v>
      </c>
      <c r="Q86" s="2"/>
      <c r="R86" s="19"/>
      <c r="S86" s="2"/>
      <c r="T86" s="2">
        <f>-5743.82</f>
        <v>-5743.82</v>
      </c>
      <c r="U86" s="2"/>
      <c r="V86" s="19"/>
      <c r="W86" s="2"/>
      <c r="X86" s="2">
        <f t="shared" si="2"/>
        <v>5133.1799999999994</v>
      </c>
      <c r="Y86" s="2"/>
      <c r="Z86" s="19">
        <f t="shared" si="3"/>
        <v>-0.8936874762788527</v>
      </c>
    </row>
    <row r="87" spans="1:26" s="24" customFormat="1" hidden="1" outlineLevel="1" x14ac:dyDescent="0.25">
      <c r="A87" s="44"/>
      <c r="B87" s="11" t="str">
        <f>CONCATENATE("          ", "4228", " - ", "SALES RETURN TAXABLE-ART/TECH")</f>
        <v xml:space="preserve">          4228 - SALES RETURN TAXABLE-ART/TECH</v>
      </c>
      <c r="C87" s="11"/>
      <c r="D87" s="2">
        <f>-32.49</f>
        <v>-32.49</v>
      </c>
      <c r="E87" s="2"/>
      <c r="F87" s="19"/>
      <c r="G87" s="2"/>
      <c r="H87" s="2">
        <f>-441.03</f>
        <v>-441.03</v>
      </c>
      <c r="I87" s="2"/>
      <c r="J87" s="19"/>
      <c r="K87" s="2"/>
      <c r="L87" s="2">
        <f t="shared" si="0"/>
        <v>408.53999999999996</v>
      </c>
      <c r="M87" s="2"/>
      <c r="N87" s="19">
        <f t="shared" si="1"/>
        <v>-0.92633154207196788</v>
      </c>
      <c r="O87" s="11"/>
      <c r="P87" s="2">
        <f>-254.69</f>
        <v>-254.69</v>
      </c>
      <c r="Q87" s="2"/>
      <c r="R87" s="19"/>
      <c r="S87" s="2"/>
      <c r="T87" s="2">
        <f>-2871.29</f>
        <v>-2871.29</v>
      </c>
      <c r="U87" s="2"/>
      <c r="V87" s="19"/>
      <c r="W87" s="2"/>
      <c r="X87" s="2">
        <f t="shared" si="2"/>
        <v>2616.6</v>
      </c>
      <c r="Y87" s="2"/>
      <c r="Z87" s="19">
        <f t="shared" si="3"/>
        <v>-0.91129770939194576</v>
      </c>
    </row>
    <row r="88" spans="1:26" s="24" customFormat="1" hidden="1" outlineLevel="1" x14ac:dyDescent="0.25">
      <c r="A88" s="44"/>
      <c r="B88" s="11" t="str">
        <f>CONCATENATE("          ", "4233", " - ", "SALES RETURN TAXABLE-CANDY")</f>
        <v xml:space="preserve">          4233 - SALES RETURN TAXABLE-CANDY</v>
      </c>
      <c r="C88" s="11"/>
      <c r="D88" s="2">
        <f>0</f>
        <v>0</v>
      </c>
      <c r="E88" s="2"/>
      <c r="F88" s="19"/>
      <c r="G88" s="2"/>
      <c r="H88" s="2">
        <f>-1.29</f>
        <v>-1.29</v>
      </c>
      <c r="I88" s="2"/>
      <c r="J88" s="19"/>
      <c r="K88" s="2"/>
      <c r="L88" s="2">
        <f t="shared" si="0"/>
        <v>1.29</v>
      </c>
      <c r="M88" s="2"/>
      <c r="N88" s="19">
        <f t="shared" si="1"/>
        <v>-1</v>
      </c>
      <c r="O88" s="11"/>
      <c r="P88" s="2">
        <f>0</f>
        <v>0</v>
      </c>
      <c r="Q88" s="2"/>
      <c r="R88" s="19"/>
      <c r="S88" s="2"/>
      <c r="T88" s="2">
        <f>-1.29</f>
        <v>-1.29</v>
      </c>
      <c r="U88" s="2"/>
      <c r="V88" s="19"/>
      <c r="W88" s="2"/>
      <c r="X88" s="2">
        <f t="shared" si="2"/>
        <v>1.29</v>
      </c>
      <c r="Y88" s="2"/>
      <c r="Z88" s="19">
        <f t="shared" si="3"/>
        <v>-1</v>
      </c>
    </row>
    <row r="89" spans="1:26" s="24" customFormat="1" hidden="1" outlineLevel="1" x14ac:dyDescent="0.25">
      <c r="A89" s="44"/>
      <c r="B89" s="11" t="str">
        <f>CONCATENATE("          ", "4240", " - ", "SALES RETURN TAXABLE-LOGO CLOT")</f>
        <v xml:space="preserve">          4240 - SALES RETURN TAXABLE-LOGO CLOT</v>
      </c>
      <c r="C89" s="11"/>
      <c r="D89" s="2">
        <f>-1729.15</f>
        <v>-1729.15</v>
      </c>
      <c r="E89" s="2"/>
      <c r="F89" s="19"/>
      <c r="G89" s="2"/>
      <c r="H89" s="2">
        <f>-10814.23</f>
        <v>-10814.23</v>
      </c>
      <c r="I89" s="2"/>
      <c r="J89" s="19"/>
      <c r="K89" s="2"/>
      <c r="L89" s="2">
        <f t="shared" si="0"/>
        <v>9085.08</v>
      </c>
      <c r="M89" s="2"/>
      <c r="N89" s="19">
        <f t="shared" si="1"/>
        <v>-0.84010419604539577</v>
      </c>
      <c r="O89" s="11"/>
      <c r="P89" s="2">
        <f>-15578.67</f>
        <v>-15578.67</v>
      </c>
      <c r="Q89" s="2"/>
      <c r="R89" s="19"/>
      <c r="S89" s="2"/>
      <c r="T89" s="2">
        <f>-41109.03</f>
        <v>-41109.03</v>
      </c>
      <c r="U89" s="2"/>
      <c r="V89" s="19"/>
      <c r="W89" s="2"/>
      <c r="X89" s="2">
        <f t="shared" si="2"/>
        <v>25530.36</v>
      </c>
      <c r="Y89" s="2"/>
      <c r="Z89" s="19">
        <f t="shared" si="3"/>
        <v>-0.62104019481851069</v>
      </c>
    </row>
    <row r="90" spans="1:26" s="24" customFormat="1" hidden="1" outlineLevel="1" x14ac:dyDescent="0.25">
      <c r="A90" s="44"/>
      <c r="B90" s="11" t="str">
        <f>CONCATENATE("          ", "4241", " - ", "SALES RETURN TAXABLE-LOGO GIFT")</f>
        <v xml:space="preserve">          4241 - SALES RETURN TAXABLE-LOGO GIFT</v>
      </c>
      <c r="C90" s="11"/>
      <c r="D90" s="2">
        <f>-108.29</f>
        <v>-108.29</v>
      </c>
      <c r="E90" s="2"/>
      <c r="F90" s="19"/>
      <c r="G90" s="2"/>
      <c r="H90" s="2">
        <f>-491.64</f>
        <v>-491.64</v>
      </c>
      <c r="I90" s="2"/>
      <c r="J90" s="19"/>
      <c r="K90" s="2"/>
      <c r="L90" s="2">
        <f t="shared" si="0"/>
        <v>383.34999999999997</v>
      </c>
      <c r="M90" s="2"/>
      <c r="N90" s="19">
        <f t="shared" si="1"/>
        <v>-0.77973720608575381</v>
      </c>
      <c r="O90" s="11"/>
      <c r="P90" s="2">
        <f>-2804.85</f>
        <v>-2804.85</v>
      </c>
      <c r="Q90" s="2"/>
      <c r="R90" s="19"/>
      <c r="S90" s="2"/>
      <c r="T90" s="2">
        <f>-3209.59</f>
        <v>-3209.59</v>
      </c>
      <c r="U90" s="2"/>
      <c r="V90" s="19"/>
      <c r="W90" s="2"/>
      <c r="X90" s="2">
        <f t="shared" si="2"/>
        <v>404.74000000000024</v>
      </c>
      <c r="Y90" s="2"/>
      <c r="Z90" s="19">
        <f t="shared" si="3"/>
        <v>-0.12610333407070692</v>
      </c>
    </row>
    <row r="91" spans="1:26" s="24" customFormat="1" hidden="1" outlineLevel="1" x14ac:dyDescent="0.25">
      <c r="A91" s="44"/>
      <c r="B91" s="11" t="str">
        <f>CONCATENATE("          ", "4242", " - ", "SALES RETURN TAXABLE-EVERYDAY")</f>
        <v xml:space="preserve">          4242 - SALES RETURN TAXABLE-EVERYDAY</v>
      </c>
      <c r="C91" s="11"/>
      <c r="D91" s="2">
        <f>-7.48</f>
        <v>-7.48</v>
      </c>
      <c r="E91" s="2"/>
      <c r="F91" s="19"/>
      <c r="G91" s="2"/>
      <c r="H91" s="2">
        <f>-532.3</f>
        <v>-532.29999999999995</v>
      </c>
      <c r="I91" s="2"/>
      <c r="J91" s="19"/>
      <c r="K91" s="2"/>
      <c r="L91" s="2">
        <f t="shared" si="0"/>
        <v>524.81999999999994</v>
      </c>
      <c r="M91" s="2"/>
      <c r="N91" s="19">
        <f t="shared" si="1"/>
        <v>-0.98594777381176024</v>
      </c>
      <c r="O91" s="11"/>
      <c r="P91" s="2">
        <f>-1328.99</f>
        <v>-1328.99</v>
      </c>
      <c r="Q91" s="2"/>
      <c r="R91" s="19"/>
      <c r="S91" s="2"/>
      <c r="T91" s="2">
        <f>-1691.87</f>
        <v>-1691.87</v>
      </c>
      <c r="U91" s="2"/>
      <c r="V91" s="19"/>
      <c r="W91" s="2"/>
      <c r="X91" s="2">
        <f t="shared" si="2"/>
        <v>362.87999999999988</v>
      </c>
      <c r="Y91" s="2"/>
      <c r="Z91" s="19">
        <f t="shared" si="3"/>
        <v>-0.21448456441688776</v>
      </c>
    </row>
    <row r="92" spans="1:26" s="24" customFormat="1" hidden="1" outlineLevel="1" x14ac:dyDescent="0.25">
      <c r="A92" s="44"/>
      <c r="B92" s="11" t="str">
        <f>CONCATENATE("          ", "4243", " - ", "SALES RETURN TAXABLE-CARDS")</f>
        <v xml:space="preserve">          4243 - SALES RETURN TAXABLE-CARDS</v>
      </c>
      <c r="C92" s="11"/>
      <c r="D92" s="2">
        <f>-829.54</f>
        <v>-829.54</v>
      </c>
      <c r="E92" s="2"/>
      <c r="F92" s="19"/>
      <c r="G92" s="2"/>
      <c r="H92" s="2">
        <f>-316.34</f>
        <v>-316.33999999999997</v>
      </c>
      <c r="I92" s="2"/>
      <c r="J92" s="19"/>
      <c r="K92" s="2"/>
      <c r="L92" s="2">
        <f t="shared" si="0"/>
        <v>-513.20000000000005</v>
      </c>
      <c r="M92" s="2"/>
      <c r="N92" s="19">
        <f t="shared" si="1"/>
        <v>1.6223051147499528</v>
      </c>
      <c r="O92" s="11"/>
      <c r="P92" s="2">
        <f>-1812.46</f>
        <v>-1812.46</v>
      </c>
      <c r="Q92" s="2"/>
      <c r="R92" s="19"/>
      <c r="S92" s="2"/>
      <c r="T92" s="2">
        <f>-320.84</f>
        <v>-320.83999999999997</v>
      </c>
      <c r="U92" s="2"/>
      <c r="V92" s="19"/>
      <c r="W92" s="2"/>
      <c r="X92" s="2">
        <f t="shared" si="2"/>
        <v>-1491.6200000000001</v>
      </c>
      <c r="Y92" s="2"/>
      <c r="Z92" s="19">
        <f t="shared" si="3"/>
        <v>4.6491085899513784</v>
      </c>
    </row>
    <row r="93" spans="1:26" s="24" customFormat="1" hidden="1" outlineLevel="1" x14ac:dyDescent="0.25">
      <c r="A93" s="44"/>
      <c r="B93" s="11" t="str">
        <f>CONCATENATE("          ", "4244", " - ", "SALES RETURN TAXABLE-ACCESSORI")</f>
        <v xml:space="preserve">          4244 - SALES RETURN TAXABLE-ACCESSORI</v>
      </c>
      <c r="C93" s="11"/>
      <c r="D93" s="2">
        <f>-179.95</f>
        <v>-179.95</v>
      </c>
      <c r="E93" s="2"/>
      <c r="F93" s="19"/>
      <c r="G93" s="2"/>
      <c r="H93" s="2">
        <f>-96.7</f>
        <v>-96.7</v>
      </c>
      <c r="I93" s="2"/>
      <c r="J93" s="19"/>
      <c r="K93" s="2"/>
      <c r="L93" s="2">
        <f t="shared" si="0"/>
        <v>-83.249999999999986</v>
      </c>
      <c r="M93" s="2"/>
      <c r="N93" s="19">
        <f t="shared" si="1"/>
        <v>0.86091003102378472</v>
      </c>
      <c r="O93" s="11"/>
      <c r="P93" s="2">
        <f>-590.94</f>
        <v>-590.94000000000005</v>
      </c>
      <c r="Q93" s="2"/>
      <c r="R93" s="19"/>
      <c r="S93" s="2"/>
      <c r="T93" s="2">
        <f>-1529.06</f>
        <v>-1529.06</v>
      </c>
      <c r="U93" s="2"/>
      <c r="V93" s="19"/>
      <c r="W93" s="2"/>
      <c r="X93" s="2">
        <f t="shared" si="2"/>
        <v>938.11999999999989</v>
      </c>
      <c r="Y93" s="2"/>
      <c r="Z93" s="19">
        <f t="shared" si="3"/>
        <v>-0.61352726511713074</v>
      </c>
    </row>
    <row r="94" spans="1:26" s="24" customFormat="1" hidden="1" outlineLevel="1" x14ac:dyDescent="0.25">
      <c r="A94" s="44"/>
      <c r="B94" s="11" t="str">
        <f>CONCATENATE("          ", "4245", " - ", "SALES RETURN TAXABLE-SPECIAL O")</f>
        <v xml:space="preserve">          4245 - SALES RETURN TAXABLE-SPECIAL O</v>
      </c>
      <c r="C94" s="11"/>
      <c r="D94" s="2">
        <f>-45.89</f>
        <v>-45.89</v>
      </c>
      <c r="E94" s="2"/>
      <c r="F94" s="19"/>
      <c r="G94" s="2"/>
      <c r="H94" s="2">
        <f t="shared" ref="H94:H95" si="18">0</f>
        <v>0</v>
      </c>
      <c r="I94" s="2"/>
      <c r="J94" s="19"/>
      <c r="K94" s="2"/>
      <c r="L94" s="2">
        <f t="shared" si="0"/>
        <v>-45.89</v>
      </c>
      <c r="M94" s="2"/>
      <c r="N94" s="19">
        <f t="shared" si="1"/>
        <v>0</v>
      </c>
      <c r="O94" s="11"/>
      <c r="P94" s="2">
        <f>-1592.82</f>
        <v>-1592.82</v>
      </c>
      <c r="Q94" s="2"/>
      <c r="R94" s="19"/>
      <c r="S94" s="2"/>
      <c r="T94" s="2">
        <f>-91.96</f>
        <v>-91.96</v>
      </c>
      <c r="U94" s="2"/>
      <c r="V94" s="19"/>
      <c r="W94" s="2"/>
      <c r="X94" s="2">
        <f t="shared" si="2"/>
        <v>-1500.86</v>
      </c>
      <c r="Y94" s="2"/>
      <c r="Z94" s="19">
        <f t="shared" si="3"/>
        <v>16.320791648542844</v>
      </c>
    </row>
    <row r="95" spans="1:26" s="24" customFormat="1" hidden="1" outlineLevel="1" x14ac:dyDescent="0.25">
      <c r="A95" s="44"/>
      <c r="B95" s="11" t="str">
        <f>CONCATENATE("          ", "4281", " - ", "SALES RETURN TAXABLE-ELECTRONI")</f>
        <v xml:space="preserve">          4281 - SALES RETURN TAXABLE-ELECTRONI</v>
      </c>
      <c r="C95" s="11"/>
      <c r="D95" s="2">
        <f t="shared" ref="D95:D98" si="19">0</f>
        <v>0</v>
      </c>
      <c r="E95" s="2"/>
      <c r="F95" s="19"/>
      <c r="G95" s="2"/>
      <c r="H95" s="2">
        <f t="shared" si="18"/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 t="shared" ref="P95:P97" si="20">0</f>
        <v>0</v>
      </c>
      <c r="Q95" s="2"/>
      <c r="R95" s="19"/>
      <c r="S95" s="2"/>
      <c r="T95" s="2">
        <f>-44.98</f>
        <v>-44.98</v>
      </c>
      <c r="U95" s="2"/>
      <c r="V95" s="19"/>
      <c r="W95" s="2"/>
      <c r="X95" s="2">
        <f t="shared" si="2"/>
        <v>44.98</v>
      </c>
      <c r="Y95" s="2"/>
      <c r="Z95" s="19">
        <f t="shared" si="3"/>
        <v>-1</v>
      </c>
    </row>
    <row r="96" spans="1:26" s="24" customFormat="1" hidden="1" outlineLevel="1" x14ac:dyDescent="0.25">
      <c r="A96" s="44"/>
      <c r="B96" s="11" t="str">
        <f>CONCATENATE("          ", "4292", " - ", "SALES RETURN TAXABLE-GRAD MERC")</f>
        <v xml:space="preserve">          4292 - SALES RETURN TAXABLE-GRAD MERC</v>
      </c>
      <c r="C96" s="11"/>
      <c r="D96" s="2">
        <f t="shared" si="19"/>
        <v>0</v>
      </c>
      <c r="E96" s="2"/>
      <c r="F96" s="19"/>
      <c r="G96" s="2"/>
      <c r="H96" s="2">
        <f>-9.95</f>
        <v>-9.9499999999999993</v>
      </c>
      <c r="I96" s="2"/>
      <c r="J96" s="19"/>
      <c r="K96" s="2"/>
      <c r="L96" s="2">
        <f t="shared" si="0"/>
        <v>9.9499999999999993</v>
      </c>
      <c r="M96" s="2"/>
      <c r="N96" s="19">
        <f t="shared" si="1"/>
        <v>-1</v>
      </c>
      <c r="O96" s="11"/>
      <c r="P96" s="2">
        <f t="shared" si="20"/>
        <v>0</v>
      </c>
      <c r="Q96" s="2"/>
      <c r="R96" s="19"/>
      <c r="S96" s="2"/>
      <c r="T96" s="2">
        <f>-419.05</f>
        <v>-419.05</v>
      </c>
      <c r="U96" s="2"/>
      <c r="V96" s="19"/>
      <c r="W96" s="2"/>
      <c r="X96" s="2">
        <f t="shared" si="2"/>
        <v>419.05</v>
      </c>
      <c r="Y96" s="2"/>
      <c r="Z96" s="19">
        <f t="shared" si="3"/>
        <v>-1</v>
      </c>
    </row>
    <row r="97" spans="1:26" s="24" customFormat="1" hidden="1" outlineLevel="1" x14ac:dyDescent="0.25">
      <c r="A97" s="44"/>
      <c r="B97" s="11" t="str">
        <f>CONCATENATE("          ", "4295", " - ", "SALES RETURN TAXABLE-CUSTOMER")</f>
        <v xml:space="preserve">          4295 - SALES RETURN TAXABLE-CUSTOMER</v>
      </c>
      <c r="C97" s="11"/>
      <c r="D97" s="2">
        <f t="shared" si="19"/>
        <v>0</v>
      </c>
      <c r="E97" s="2"/>
      <c r="F97" s="19"/>
      <c r="G97" s="2"/>
      <c r="H97" s="2">
        <f t="shared" ref="H97:H100" si="21">0</f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 t="shared" si="20"/>
        <v>0</v>
      </c>
      <c r="Q97" s="2"/>
      <c r="R97" s="19"/>
      <c r="S97" s="2"/>
      <c r="T97" s="2">
        <f>--0.99</f>
        <v>0.99</v>
      </c>
      <c r="U97" s="2"/>
      <c r="V97" s="19"/>
      <c r="W97" s="2"/>
      <c r="X97" s="2">
        <f t="shared" si="2"/>
        <v>-0.99</v>
      </c>
      <c r="Y97" s="2"/>
      <c r="Z97" s="19">
        <f t="shared" si="3"/>
        <v>-1</v>
      </c>
    </row>
    <row r="98" spans="1:26" s="24" customFormat="1" hidden="1" outlineLevel="1" x14ac:dyDescent="0.25">
      <c r="A98" s="44"/>
      <c r="B98" s="11" t="str">
        <f>CONCATENATE("          ", "4301", " - ", "SALES RETURN NON TAXABLE-NEW T")</f>
        <v xml:space="preserve">          4301 - SALES RETURN NON TAXABLE-NEW T</v>
      </c>
      <c r="C98" s="11"/>
      <c r="D98" s="2">
        <f t="shared" si="19"/>
        <v>0</v>
      </c>
      <c r="E98" s="2"/>
      <c r="F98" s="19"/>
      <c r="G98" s="2"/>
      <c r="H98" s="2">
        <f t="shared" si="21"/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-2376.17</f>
        <v>-2376.17</v>
      </c>
      <c r="Q98" s="2"/>
      <c r="R98" s="19"/>
      <c r="S98" s="2"/>
      <c r="T98" s="2">
        <f>-12310.98</f>
        <v>-12310.98</v>
      </c>
      <c r="U98" s="2"/>
      <c r="V98" s="19"/>
      <c r="W98" s="2"/>
      <c r="X98" s="2">
        <f t="shared" si="2"/>
        <v>9934.81</v>
      </c>
      <c r="Y98" s="2"/>
      <c r="Z98" s="19">
        <f t="shared" si="3"/>
        <v>-0.80698774589837685</v>
      </c>
    </row>
    <row r="99" spans="1:26" s="24" customFormat="1" hidden="1" outlineLevel="1" x14ac:dyDescent="0.25">
      <c r="A99" s="44"/>
      <c r="B99" s="11" t="str">
        <f>CONCATENATE("          ", "4302", " - ", "SALES RETURN NON TAXABLE-TEXT")</f>
        <v xml:space="preserve">          4302 - SALES RETURN NON TAXABLE-TEXT</v>
      </c>
      <c r="C99" s="11"/>
      <c r="D99" s="2">
        <f>-76.05</f>
        <v>-76.05</v>
      </c>
      <c r="E99" s="2"/>
      <c r="F99" s="19"/>
      <c r="G99" s="2"/>
      <c r="H99" s="2">
        <f t="shared" si="21"/>
        <v>0</v>
      </c>
      <c r="I99" s="2"/>
      <c r="J99" s="19"/>
      <c r="K99" s="2"/>
      <c r="L99" s="2">
        <f t="shared" si="0"/>
        <v>-76.05</v>
      </c>
      <c r="M99" s="2"/>
      <c r="N99" s="19">
        <f t="shared" si="1"/>
        <v>0</v>
      </c>
      <c r="O99" s="11"/>
      <c r="P99" s="2">
        <f>-1392.85</f>
        <v>-1392.85</v>
      </c>
      <c r="Q99" s="2"/>
      <c r="R99" s="19"/>
      <c r="S99" s="2"/>
      <c r="T99" s="2">
        <f>-683.8</f>
        <v>-683.8</v>
      </c>
      <c r="U99" s="2"/>
      <c r="V99" s="19"/>
      <c r="W99" s="2"/>
      <c r="X99" s="2">
        <f t="shared" si="2"/>
        <v>-709.05</v>
      </c>
      <c r="Y99" s="2"/>
      <c r="Z99" s="19">
        <f t="shared" si="3"/>
        <v>1.0369260017548991</v>
      </c>
    </row>
    <row r="100" spans="1:26" s="24" customFormat="1" hidden="1" outlineLevel="1" x14ac:dyDescent="0.25">
      <c r="A100" s="44"/>
      <c r="B100" s="11" t="str">
        <f>CONCATENATE("          ", "4303", " - ", "SALES RETURN NON-TAXABLE-RENTA")</f>
        <v xml:space="preserve">          4303 - SALES RETURN NON-TAXABLE-RENTA</v>
      </c>
      <c r="C100" s="11"/>
      <c r="D100" s="2">
        <f>0</f>
        <v>0</v>
      </c>
      <c r="E100" s="2"/>
      <c r="F100" s="19"/>
      <c r="G100" s="2"/>
      <c r="H100" s="2">
        <f t="shared" si="21"/>
        <v>0</v>
      </c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0</f>
        <v>0</v>
      </c>
      <c r="Q100" s="2"/>
      <c r="R100" s="19"/>
      <c r="S100" s="2"/>
      <c r="T100" s="2">
        <f>-184.99</f>
        <v>-184.99</v>
      </c>
      <c r="U100" s="2"/>
      <c r="V100" s="19"/>
      <c r="W100" s="2"/>
      <c r="X100" s="2">
        <f t="shared" si="2"/>
        <v>184.99</v>
      </c>
      <c r="Y100" s="2"/>
      <c r="Z100" s="19">
        <f t="shared" si="3"/>
        <v>-1</v>
      </c>
    </row>
    <row r="101" spans="1:26" s="24" customFormat="1" hidden="1" outlineLevel="1" x14ac:dyDescent="0.25">
      <c r="A101" s="44"/>
      <c r="B101" s="11" t="str">
        <f>CONCATENATE("          ", "4304", " - ", "SALES RETURN NON TAXABLE-DIGIT")</f>
        <v xml:space="preserve">          4304 - SALES RETURN NON TAXABLE-DIGIT</v>
      </c>
      <c r="C101" s="11"/>
      <c r="D101" s="2">
        <f>-176.43</f>
        <v>-176.43</v>
      </c>
      <c r="E101" s="2"/>
      <c r="F101" s="19"/>
      <c r="G101" s="2"/>
      <c r="H101" s="2">
        <f>-70.58</f>
        <v>-70.58</v>
      </c>
      <c r="I101" s="2"/>
      <c r="J101" s="19"/>
      <c r="K101" s="2"/>
      <c r="L101" s="2">
        <f t="shared" si="0"/>
        <v>-105.85000000000001</v>
      </c>
      <c r="M101" s="2"/>
      <c r="N101" s="19">
        <f t="shared" si="1"/>
        <v>1.4997166336072543</v>
      </c>
      <c r="O101" s="11"/>
      <c r="P101" s="2">
        <f>-14278.54</f>
        <v>-14278.54</v>
      </c>
      <c r="Q101" s="2"/>
      <c r="R101" s="19"/>
      <c r="S101" s="2"/>
      <c r="T101" s="2">
        <f>-13203.87</f>
        <v>-13203.87</v>
      </c>
      <c r="U101" s="2"/>
      <c r="V101" s="19"/>
      <c r="W101" s="2"/>
      <c r="X101" s="2">
        <f t="shared" si="2"/>
        <v>-1074.67</v>
      </c>
      <c r="Y101" s="2"/>
      <c r="Z101" s="19">
        <f t="shared" si="3"/>
        <v>8.1390531715322859E-2</v>
      </c>
    </row>
    <row r="102" spans="1:26" s="24" customFormat="1" hidden="1" outlineLevel="1" x14ac:dyDescent="0.25">
      <c r="A102" s="44"/>
      <c r="B102" s="11" t="str">
        <f>CONCATENATE("          ", "4311", " - ", "SALES RETURN NON TAXABLE-NO VA")</f>
        <v xml:space="preserve">          4311 - SALES RETURN NON TAXABLE-NO VA</v>
      </c>
      <c r="C102" s="11"/>
      <c r="D102" s="2">
        <f t="shared" ref="D102:D103" si="22">0</f>
        <v>0</v>
      </c>
      <c r="E102" s="2"/>
      <c r="F102" s="19"/>
      <c r="G102" s="2"/>
      <c r="H102" s="2">
        <f t="shared" ref="H102:H103" si="23">0</f>
        <v>0</v>
      </c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 t="shared" ref="P102:P103" si="24">0</f>
        <v>0</v>
      </c>
      <c r="Q102" s="2"/>
      <c r="R102" s="19"/>
      <c r="S102" s="2"/>
      <c r="T102" s="2">
        <f>-387.96</f>
        <v>-387.96</v>
      </c>
      <c r="U102" s="2"/>
      <c r="V102" s="19"/>
      <c r="W102" s="2"/>
      <c r="X102" s="2">
        <f t="shared" si="2"/>
        <v>387.96</v>
      </c>
      <c r="Y102" s="2"/>
      <c r="Z102" s="19">
        <f t="shared" si="3"/>
        <v>-1</v>
      </c>
    </row>
    <row r="103" spans="1:26" s="24" customFormat="1" hidden="1" outlineLevel="1" x14ac:dyDescent="0.25">
      <c r="A103" s="44"/>
      <c r="B103" s="11" t="str">
        <f>CONCATENATE("          ", "4327", " - ", "SALES RETURN NON TAXABLE-SCHOO")</f>
        <v xml:space="preserve">          4327 - SALES RETURN NON TAXABLE-SCHOO</v>
      </c>
      <c r="C103" s="11"/>
      <c r="D103" s="2">
        <f t="shared" si="22"/>
        <v>0</v>
      </c>
      <c r="E103" s="2"/>
      <c r="F103" s="19"/>
      <c r="G103" s="2"/>
      <c r="H103" s="2">
        <f t="shared" si="23"/>
        <v>0</v>
      </c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 t="shared" si="24"/>
        <v>0</v>
      </c>
      <c r="Q103" s="2"/>
      <c r="R103" s="19"/>
      <c r="S103" s="2"/>
      <c r="T103" s="2">
        <f>-21.87</f>
        <v>-21.87</v>
      </c>
      <c r="U103" s="2"/>
      <c r="V103" s="19"/>
      <c r="W103" s="2"/>
      <c r="X103" s="2">
        <f t="shared" si="2"/>
        <v>21.87</v>
      </c>
      <c r="Y103" s="2"/>
      <c r="Z103" s="19">
        <f t="shared" si="3"/>
        <v>-1</v>
      </c>
    </row>
    <row r="104" spans="1:26" s="24" customFormat="1" hidden="1" outlineLevel="1" x14ac:dyDescent="0.25">
      <c r="A104" s="44"/>
      <c r="B104" s="11" t="str">
        <f>CONCATENATE("          ", "4340", " - ", "SALES RETURN NON TAXABLE-LOGO")</f>
        <v xml:space="preserve">          4340 - SALES RETURN NON TAXABLE-LOGO</v>
      </c>
      <c r="C104" s="11"/>
      <c r="D104" s="2">
        <f>-203.75</f>
        <v>-203.75</v>
      </c>
      <c r="E104" s="2"/>
      <c r="F104" s="19"/>
      <c r="G104" s="2"/>
      <c r="H104" s="2">
        <f>-29.95</f>
        <v>-29.95</v>
      </c>
      <c r="I104" s="2"/>
      <c r="J104" s="19"/>
      <c r="K104" s="2"/>
      <c r="L104" s="2">
        <f t="shared" si="0"/>
        <v>-173.8</v>
      </c>
      <c r="M104" s="2"/>
      <c r="N104" s="19">
        <f t="shared" si="1"/>
        <v>5.8030050083472462</v>
      </c>
      <c r="O104" s="11"/>
      <c r="P104" s="2">
        <f>-940.48</f>
        <v>-940.48</v>
      </c>
      <c r="Q104" s="2"/>
      <c r="R104" s="19"/>
      <c r="S104" s="2"/>
      <c r="T104" s="2">
        <f>-323.4</f>
        <v>-323.39999999999998</v>
      </c>
      <c r="U104" s="2"/>
      <c r="V104" s="19"/>
      <c r="W104" s="2"/>
      <c r="X104" s="2">
        <f t="shared" si="2"/>
        <v>-617.08000000000004</v>
      </c>
      <c r="Y104" s="2"/>
      <c r="Z104" s="19">
        <f t="shared" si="3"/>
        <v>1.9081014223871369</v>
      </c>
    </row>
    <row r="105" spans="1:26" s="24" customFormat="1" hidden="1" outlineLevel="1" x14ac:dyDescent="0.25">
      <c r="A105" s="44"/>
      <c r="B105" s="11" t="str">
        <f>CONCATENATE("          ", "4341", " - ", "SALES RETURN NON TAXABLE-LOGO")</f>
        <v xml:space="preserve">          4341 - SALES RETURN NON TAXABLE-LOGO</v>
      </c>
      <c r="C105" s="11"/>
      <c r="D105" s="2">
        <f>-154.89</f>
        <v>-154.88999999999999</v>
      </c>
      <c r="E105" s="2"/>
      <c r="F105" s="19"/>
      <c r="G105" s="2"/>
      <c r="H105" s="2">
        <f>0</f>
        <v>0</v>
      </c>
      <c r="I105" s="2"/>
      <c r="J105" s="19"/>
      <c r="K105" s="2"/>
      <c r="L105" s="2">
        <f t="shared" si="0"/>
        <v>-154.88999999999999</v>
      </c>
      <c r="M105" s="2"/>
      <c r="N105" s="19">
        <f t="shared" si="1"/>
        <v>0</v>
      </c>
      <c r="O105" s="11"/>
      <c r="P105" s="2">
        <f>-301.79</f>
        <v>-301.79000000000002</v>
      </c>
      <c r="Q105" s="2"/>
      <c r="R105" s="19"/>
      <c r="S105" s="2"/>
      <c r="T105" s="2">
        <f>-10.9</f>
        <v>-10.9</v>
      </c>
      <c r="U105" s="2"/>
      <c r="V105" s="19"/>
      <c r="W105" s="2"/>
      <c r="X105" s="2">
        <f t="shared" si="2"/>
        <v>-290.89000000000004</v>
      </c>
      <c r="Y105" s="2"/>
      <c r="Z105" s="19">
        <f t="shared" si="3"/>
        <v>26.687155963302754</v>
      </c>
    </row>
    <row r="106" spans="1:26" s="24" customFormat="1" hidden="1" outlineLevel="1" x14ac:dyDescent="0.25">
      <c r="A106" s="44"/>
      <c r="B106" s="11" t="str">
        <f>CONCATENATE("          ", "4342", " - ", "SALES RETURN NON TAXABLE-EVERY")</f>
        <v xml:space="preserve">          4342 - SALES RETURN NON TAXABLE-EVERY</v>
      </c>
      <c r="C106" s="11"/>
      <c r="D106" s="2">
        <f t="shared" ref="D106:D107" si="25">0</f>
        <v>0</v>
      </c>
      <c r="E106" s="2"/>
      <c r="F106" s="19"/>
      <c r="G106" s="2"/>
      <c r="H106" s="2">
        <f>-6.95</f>
        <v>-6.95</v>
      </c>
      <c r="I106" s="2"/>
      <c r="J106" s="19"/>
      <c r="K106" s="2"/>
      <c r="L106" s="2">
        <f t="shared" si="0"/>
        <v>6.95</v>
      </c>
      <c r="M106" s="2"/>
      <c r="N106" s="19">
        <f t="shared" si="1"/>
        <v>-1</v>
      </c>
      <c r="O106" s="11"/>
      <c r="P106" s="2">
        <f>-118.7</f>
        <v>-118.7</v>
      </c>
      <c r="Q106" s="2"/>
      <c r="R106" s="19"/>
      <c r="S106" s="2"/>
      <c r="T106" s="2">
        <f>-109.8</f>
        <v>-109.8</v>
      </c>
      <c r="U106" s="2"/>
      <c r="V106" s="19"/>
      <c r="W106" s="2"/>
      <c r="X106" s="2">
        <f t="shared" si="2"/>
        <v>-8.9000000000000057</v>
      </c>
      <c r="Y106" s="2"/>
      <c r="Z106" s="19">
        <f t="shared" si="3"/>
        <v>8.1056466302367999E-2</v>
      </c>
    </row>
    <row r="107" spans="1:26" s="24" customFormat="1" hidden="1" outlineLevel="1" x14ac:dyDescent="0.25">
      <c r="A107" s="44"/>
      <c r="B107" s="11" t="str">
        <f>CONCATENATE("          ", "4346", " - ", "SALES RETURN NON TAXABLE-COIN-")</f>
        <v xml:space="preserve">          4346 - SALES RETURN NON TAXABLE-COIN-</v>
      </c>
      <c r="C107" s="11"/>
      <c r="D107" s="2">
        <f t="shared" si="25"/>
        <v>0</v>
      </c>
      <c r="E107" s="2"/>
      <c r="F107" s="19"/>
      <c r="G107" s="2"/>
      <c r="H107" s="2">
        <f>0</f>
        <v>0</v>
      </c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0</f>
        <v>0</v>
      </c>
      <c r="Q107" s="2"/>
      <c r="R107" s="19"/>
      <c r="S107" s="2"/>
      <c r="T107" s="2">
        <f>-8.15</f>
        <v>-8.15</v>
      </c>
      <c r="U107" s="2"/>
      <c r="V107" s="19"/>
      <c r="W107" s="2"/>
      <c r="X107" s="2">
        <f t="shared" si="2"/>
        <v>8.15</v>
      </c>
      <c r="Y107" s="2"/>
      <c r="Z107" s="19">
        <f t="shared" si="3"/>
        <v>-1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collapsed="1" x14ac:dyDescent="0.25">
      <c r="A109" s="10"/>
      <c r="B109" s="29" t="s">
        <v>8</v>
      </c>
      <c r="C109" s="10"/>
      <c r="D109" s="4">
        <f>SUM(OSRRefD16x_0)</f>
        <v>61344.100000000013</v>
      </c>
      <c r="E109" s="4"/>
      <c r="F109" s="12">
        <f t="shared" ref="F109:F161" si="26">IF(D$12=0,0,D109/D$12)</f>
        <v>0.55278570415451878</v>
      </c>
      <c r="G109" s="4"/>
      <c r="H109" s="4">
        <f>SUM(OSRRefH16x_0)</f>
        <v>356386.66000000021</v>
      </c>
      <c r="I109" s="4"/>
      <c r="J109" s="12">
        <f t="shared" ref="J109:J161" si="27">IF(H$12=0,0,H109/H$12)</f>
        <v>0.47447623066020961</v>
      </c>
      <c r="K109" s="4"/>
      <c r="L109" s="4">
        <f t="shared" ref="L109:L161" si="28">+D109-H109</f>
        <v>-295042.56000000017</v>
      </c>
      <c r="M109" s="4"/>
      <c r="N109" s="12">
        <f t="shared" ref="N109:N161" si="29">IF(H109=0,0,L109/H109)</f>
        <v>-0.82787206457166496</v>
      </c>
      <c r="O109" s="10"/>
      <c r="P109" s="4">
        <f>SUM(OSRRefP16x_0)</f>
        <v>1610616.3700000003</v>
      </c>
      <c r="Q109" s="4"/>
      <c r="R109" s="12">
        <f t="shared" ref="R109:R161" si="30">IF(P$12=0,0,P109/P$12)</f>
        <v>0.65271370950180263</v>
      </c>
      <c r="S109" s="4"/>
      <c r="T109" s="4">
        <f>SUM(OSRRefT16x_0)</f>
        <v>3705118.4800000009</v>
      </c>
      <c r="U109" s="4"/>
      <c r="V109" s="12">
        <f t="shared" ref="V109:V161" si="31">IF(T$12=0,0,T109/T$12)</f>
        <v>0.57089613859972044</v>
      </c>
      <c r="W109" s="4"/>
      <c r="X109" s="4">
        <f t="shared" ref="X109:X161" si="32">+P109-T109</f>
        <v>-2094502.1100000006</v>
      </c>
      <c r="Y109" s="4"/>
      <c r="Z109" s="12">
        <f t="shared" ref="Z109:Z161" si="33">IF(T109=0,0,X109/T109)</f>
        <v>-0.56529963112002835</v>
      </c>
    </row>
    <row r="110" spans="1:26" s="24" customFormat="1" hidden="1" outlineLevel="1" x14ac:dyDescent="0.25">
      <c r="A110" s="44"/>
      <c r="B110" s="11" t="str">
        <f>CONCATENATE("          ", "5001", " - ", "PURCHASES @ COST-NEW TEXT")</f>
        <v xml:space="preserve">          5001 - PURCHASES @ COST-NEW TEXT</v>
      </c>
      <c r="C110" s="11"/>
      <c r="D110" s="2">
        <v>-108601.35</v>
      </c>
      <c r="E110" s="2"/>
      <c r="F110" s="19">
        <f t="shared" si="26"/>
        <v>-0.978631583671149</v>
      </c>
      <c r="G110" s="2"/>
      <c r="H110" s="2">
        <v>-175297.72999999998</v>
      </c>
      <c r="I110" s="2"/>
      <c r="J110" s="19">
        <f t="shared" si="27"/>
        <v>-0.23338305135689166</v>
      </c>
      <c r="K110" s="2"/>
      <c r="L110" s="2">
        <f t="shared" si="28"/>
        <v>66696.379999999976</v>
      </c>
      <c r="M110" s="2"/>
      <c r="N110" s="19">
        <f t="shared" si="29"/>
        <v>-0.38047486410691106</v>
      </c>
      <c r="O110" s="11"/>
      <c r="P110" s="2">
        <v>1240595.48</v>
      </c>
      <c r="Q110" s="2"/>
      <c r="R110" s="19">
        <f t="shared" si="30"/>
        <v>0.50276011893631078</v>
      </c>
      <c r="S110" s="2"/>
      <c r="T110" s="2">
        <v>1581850.69</v>
      </c>
      <c r="U110" s="2"/>
      <c r="V110" s="19">
        <f t="shared" si="31"/>
        <v>0.24373645691413981</v>
      </c>
      <c r="W110" s="2"/>
      <c r="X110" s="2">
        <f t="shared" si="32"/>
        <v>-341255.20999999996</v>
      </c>
      <c r="Y110" s="2"/>
      <c r="Z110" s="19">
        <f t="shared" si="33"/>
        <v>-0.21573161876611754</v>
      </c>
    </row>
    <row r="111" spans="1:26" s="24" customFormat="1" hidden="1" outlineLevel="1" x14ac:dyDescent="0.25">
      <c r="A111" s="44"/>
      <c r="B111" s="11" t="str">
        <f>CONCATENATE("          ", "5002", " - ", "PURCHASES @ COST-USED TEXT")</f>
        <v xml:space="preserve">          5002 - PURCHASES @ COST-USED TEXT</v>
      </c>
      <c r="C111" s="11"/>
      <c r="D111" s="2">
        <v>-208829.28</v>
      </c>
      <c r="E111" s="2"/>
      <c r="F111" s="19">
        <f t="shared" si="26"/>
        <v>-1.8818083661327027</v>
      </c>
      <c r="G111" s="2"/>
      <c r="H111" s="2">
        <v>-155785.26999999999</v>
      </c>
      <c r="I111" s="2"/>
      <c r="J111" s="19">
        <f t="shared" si="27"/>
        <v>-0.20740509115010924</v>
      </c>
      <c r="K111" s="2"/>
      <c r="L111" s="2">
        <f t="shared" si="28"/>
        <v>-53044.010000000009</v>
      </c>
      <c r="M111" s="2"/>
      <c r="N111" s="19">
        <f t="shared" si="29"/>
        <v>0.34049438692117689</v>
      </c>
      <c r="O111" s="11"/>
      <c r="P111" s="2">
        <v>94234.05</v>
      </c>
      <c r="Q111" s="2"/>
      <c r="R111" s="19">
        <f t="shared" si="30"/>
        <v>3.8189017249885729E-2</v>
      </c>
      <c r="S111" s="2"/>
      <c r="T111" s="2">
        <v>212247.9</v>
      </c>
      <c r="U111" s="2"/>
      <c r="V111" s="19">
        <f t="shared" si="31"/>
        <v>3.2703814247769906E-2</v>
      </c>
      <c r="W111" s="2"/>
      <c r="X111" s="2">
        <f t="shared" si="32"/>
        <v>-118013.84999999999</v>
      </c>
      <c r="Y111" s="2"/>
      <c r="Z111" s="19">
        <f t="shared" si="33"/>
        <v>-0.55601892880918957</v>
      </c>
    </row>
    <row r="112" spans="1:26" s="24" customFormat="1" hidden="1" outlineLevel="1" x14ac:dyDescent="0.25">
      <c r="A112" s="44"/>
      <c r="B112" s="11" t="str">
        <f>CONCATENATE("          ", "5003", " - ", "PURCHASES @ COST-RENTAL TEXT")</f>
        <v xml:space="preserve">          5003 - PURCHASES @ COST-RENTAL TEXT</v>
      </c>
      <c r="C112" s="11"/>
      <c r="D112" s="2">
        <v>517.92999999999995</v>
      </c>
      <c r="E112" s="2"/>
      <c r="F112" s="19">
        <f t="shared" si="26"/>
        <v>4.6671855932803614E-3</v>
      </c>
      <c r="G112" s="2"/>
      <c r="H112" s="2"/>
      <c r="I112" s="2"/>
      <c r="J112" s="19">
        <f t="shared" si="27"/>
        <v>0</v>
      </c>
      <c r="K112" s="2"/>
      <c r="L112" s="2">
        <f t="shared" si="28"/>
        <v>517.92999999999995</v>
      </c>
      <c r="M112" s="2"/>
      <c r="N112" s="19">
        <f t="shared" si="29"/>
        <v>0</v>
      </c>
      <c r="O112" s="11"/>
      <c r="P112" s="2">
        <v>32.520000000000003</v>
      </c>
      <c r="Q112" s="2"/>
      <c r="R112" s="19">
        <f t="shared" si="30"/>
        <v>1.3178960693786204E-5</v>
      </c>
      <c r="S112" s="2"/>
      <c r="T112" s="2">
        <v>-78.400000000000006</v>
      </c>
      <c r="U112" s="2"/>
      <c r="V112" s="19">
        <f t="shared" si="31"/>
        <v>-1.2080114983588344E-5</v>
      </c>
      <c r="W112" s="2"/>
      <c r="X112" s="2">
        <f t="shared" si="32"/>
        <v>110.92000000000002</v>
      </c>
      <c r="Y112" s="2"/>
      <c r="Z112" s="19">
        <f t="shared" si="33"/>
        <v>-1.4147959183673471</v>
      </c>
    </row>
    <row r="113" spans="1:26" s="24" customFormat="1" hidden="1" outlineLevel="1" x14ac:dyDescent="0.25">
      <c r="A113" s="44"/>
      <c r="B113" s="11" t="str">
        <f>CONCATENATE("          ", "5004", " - ", "PURCHASES @ COST-DIGITAL TEXT")</f>
        <v xml:space="preserve">          5004 - PURCHASES @ COST-DIGITAL TEXT</v>
      </c>
      <c r="C113" s="11"/>
      <c r="D113" s="2">
        <v>1418.58</v>
      </c>
      <c r="E113" s="2"/>
      <c r="F113" s="19">
        <f t="shared" si="26"/>
        <v>1.2783148570107263E-2</v>
      </c>
      <c r="G113" s="2"/>
      <c r="H113" s="2">
        <v>0.94</v>
      </c>
      <c r="I113" s="2"/>
      <c r="J113" s="19">
        <f t="shared" si="27"/>
        <v>1.2514712442396041E-6</v>
      </c>
      <c r="K113" s="2"/>
      <c r="L113" s="2">
        <f t="shared" si="28"/>
        <v>1417.6399999999999</v>
      </c>
      <c r="M113" s="2"/>
      <c r="N113" s="19">
        <f t="shared" si="29"/>
        <v>1508.127659574468</v>
      </c>
      <c r="O113" s="11"/>
      <c r="P113" s="2">
        <v>196938.11000000002</v>
      </c>
      <c r="Q113" s="2"/>
      <c r="R113" s="19">
        <f t="shared" si="30"/>
        <v>7.9810566137716601E-2</v>
      </c>
      <c r="S113" s="2"/>
      <c r="T113" s="2">
        <v>322779.97000000003</v>
      </c>
      <c r="U113" s="2"/>
      <c r="V113" s="19">
        <f t="shared" si="31"/>
        <v>4.9734938163255062E-2</v>
      </c>
      <c r="W113" s="2"/>
      <c r="X113" s="2">
        <f t="shared" si="32"/>
        <v>-125841.86000000002</v>
      </c>
      <c r="Y113" s="2"/>
      <c r="Z113" s="19">
        <f t="shared" si="33"/>
        <v>-0.3898688633002847</v>
      </c>
    </row>
    <row r="114" spans="1:26" s="24" customFormat="1" hidden="1" outlineLevel="1" x14ac:dyDescent="0.25">
      <c r="A114" s="44"/>
      <c r="B114" s="11" t="str">
        <f>CONCATENATE("          ", "5011", " - ", "PURCHASES @ COST-NO VALUE TEXT")</f>
        <v xml:space="preserve">          5011 - PURCHASES @ COST-NO VALUE TEXT</v>
      </c>
      <c r="C114" s="11"/>
      <c r="D114" s="2"/>
      <c r="E114" s="2"/>
      <c r="F114" s="19">
        <f t="shared" si="26"/>
        <v>0</v>
      </c>
      <c r="G114" s="2"/>
      <c r="H114" s="2">
        <v>66</v>
      </c>
      <c r="I114" s="2"/>
      <c r="J114" s="19">
        <f t="shared" si="27"/>
        <v>8.7869257574270081E-5</v>
      </c>
      <c r="K114" s="2"/>
      <c r="L114" s="2">
        <f t="shared" si="28"/>
        <v>-66</v>
      </c>
      <c r="M114" s="2"/>
      <c r="N114" s="19">
        <f t="shared" si="29"/>
        <v>-1</v>
      </c>
      <c r="O114" s="11"/>
      <c r="P114" s="2">
        <v>67.17</v>
      </c>
      <c r="Q114" s="2"/>
      <c r="R114" s="19">
        <f t="shared" si="30"/>
        <v>2.7221118997589769E-5</v>
      </c>
      <c r="S114" s="2"/>
      <c r="T114" s="2">
        <v>3741</v>
      </c>
      <c r="U114" s="2"/>
      <c r="V114" s="19">
        <f t="shared" si="31"/>
        <v>5.7642487440821421E-4</v>
      </c>
      <c r="W114" s="2"/>
      <c r="X114" s="2">
        <f t="shared" si="32"/>
        <v>-3673.83</v>
      </c>
      <c r="Y114" s="2"/>
      <c r="Z114" s="19">
        <f t="shared" si="33"/>
        <v>-0.98204490777866882</v>
      </c>
    </row>
    <row r="115" spans="1:26" s="24" customFormat="1" hidden="1" outlineLevel="1" x14ac:dyDescent="0.25">
      <c r="A115" s="44"/>
      <c r="B115" s="11" t="str">
        <f>CONCATENATE("          ", "5013", " - ", "PURCHASES @ COST-TRADE BOOKS")</f>
        <v xml:space="preserve">          5013 - PURCHASES @ COST-TRADE BOOKS</v>
      </c>
      <c r="C115" s="11"/>
      <c r="D115" s="2">
        <v>611.1</v>
      </c>
      <c r="E115" s="2"/>
      <c r="F115" s="19">
        <f t="shared" si="26"/>
        <v>5.5067617555531233E-3</v>
      </c>
      <c r="G115" s="2"/>
      <c r="H115" s="2">
        <v>10.79</v>
      </c>
      <c r="I115" s="2"/>
      <c r="J115" s="19">
        <f t="shared" si="27"/>
        <v>1.4365292261005668E-5</v>
      </c>
      <c r="K115" s="2"/>
      <c r="L115" s="2">
        <f t="shared" si="28"/>
        <v>600.31000000000006</v>
      </c>
      <c r="M115" s="2"/>
      <c r="N115" s="19">
        <f t="shared" si="29"/>
        <v>55.63577386468954</v>
      </c>
      <c r="O115" s="11"/>
      <c r="P115" s="2">
        <v>2094.7399999999998</v>
      </c>
      <c r="Q115" s="2"/>
      <c r="R115" s="19">
        <f t="shared" si="30"/>
        <v>8.489082448862764E-4</v>
      </c>
      <c r="S115" s="2"/>
      <c r="T115" s="2">
        <v>698.14</v>
      </c>
      <c r="U115" s="2"/>
      <c r="V115" s="19">
        <f t="shared" si="31"/>
        <v>1.0757157493166284E-4</v>
      </c>
      <c r="W115" s="2"/>
      <c r="X115" s="2">
        <f t="shared" si="32"/>
        <v>1396.6</v>
      </c>
      <c r="Y115" s="2"/>
      <c r="Z115" s="19">
        <f t="shared" si="33"/>
        <v>2.0004583607872344</v>
      </c>
    </row>
    <row r="116" spans="1:26" s="24" customFormat="1" hidden="1" outlineLevel="1" x14ac:dyDescent="0.25">
      <c r="A116" s="44"/>
      <c r="B116" s="11" t="str">
        <f>CONCATENATE("          ", "5014", " - ", "PURCHASES @ COST-REMAINDERS")</f>
        <v xml:space="preserve">          5014 - PURCHASES @ COST-REMAINDERS</v>
      </c>
      <c r="C116" s="11"/>
      <c r="D116" s="2"/>
      <c r="E116" s="2"/>
      <c r="F116" s="19">
        <f t="shared" si="26"/>
        <v>0</v>
      </c>
      <c r="G116" s="2"/>
      <c r="H116" s="2">
        <v>114.84</v>
      </c>
      <c r="I116" s="2"/>
      <c r="J116" s="19">
        <f t="shared" si="27"/>
        <v>1.5289250817922996E-4</v>
      </c>
      <c r="K116" s="2"/>
      <c r="L116" s="2">
        <f t="shared" si="28"/>
        <v>-114.84</v>
      </c>
      <c r="M116" s="2"/>
      <c r="N116" s="19">
        <f t="shared" si="29"/>
        <v>-1</v>
      </c>
      <c r="O116" s="11"/>
      <c r="P116" s="2">
        <v>90.41</v>
      </c>
      <c r="Q116" s="2"/>
      <c r="R116" s="19">
        <f t="shared" si="30"/>
        <v>3.6639293859938823E-5</v>
      </c>
      <c r="S116" s="2"/>
      <c r="T116" s="2">
        <v>456.81</v>
      </c>
      <c r="U116" s="2"/>
      <c r="V116" s="19">
        <f t="shared" si="31"/>
        <v>7.0386700582308569E-5</v>
      </c>
      <c r="W116" s="2"/>
      <c r="X116" s="2">
        <f t="shared" si="32"/>
        <v>-366.4</v>
      </c>
      <c r="Y116" s="2"/>
      <c r="Z116" s="19">
        <f t="shared" si="33"/>
        <v>-0.80208401742518765</v>
      </c>
    </row>
    <row r="117" spans="1:26" s="24" customFormat="1" hidden="1" outlineLevel="1" x14ac:dyDescent="0.25">
      <c r="A117" s="44"/>
      <c r="B117" s="11" t="str">
        <f>CONCATENATE("          ", "5017", " - ", "PURCHASES @ COST-DORM/HOUSEWAR")</f>
        <v xml:space="preserve">          5017 - PURCHASES @ COST-DORM/HOUSEWAR</v>
      </c>
      <c r="C117" s="11"/>
      <c r="D117" s="2"/>
      <c r="E117" s="2"/>
      <c r="F117" s="19">
        <f t="shared" si="26"/>
        <v>0</v>
      </c>
      <c r="G117" s="2"/>
      <c r="H117" s="2"/>
      <c r="I117" s="2"/>
      <c r="J117" s="19">
        <f t="shared" si="27"/>
        <v>0</v>
      </c>
      <c r="K117" s="2"/>
      <c r="L117" s="2">
        <f t="shared" si="28"/>
        <v>0</v>
      </c>
      <c r="M117" s="2"/>
      <c r="N117" s="19">
        <f t="shared" si="29"/>
        <v>0</v>
      </c>
      <c r="O117" s="11"/>
      <c r="P117" s="2"/>
      <c r="Q117" s="2"/>
      <c r="R117" s="19">
        <f t="shared" si="30"/>
        <v>0</v>
      </c>
      <c r="S117" s="2"/>
      <c r="T117" s="2">
        <v>0</v>
      </c>
      <c r="U117" s="2"/>
      <c r="V117" s="19">
        <f t="shared" si="31"/>
        <v>0</v>
      </c>
      <c r="W117" s="2"/>
      <c r="X117" s="2">
        <f t="shared" si="32"/>
        <v>0</v>
      </c>
      <c r="Y117" s="2"/>
      <c r="Z117" s="19">
        <f t="shared" si="33"/>
        <v>0</v>
      </c>
    </row>
    <row r="118" spans="1:26" s="24" customFormat="1" hidden="1" outlineLevel="1" x14ac:dyDescent="0.25">
      <c r="A118" s="44"/>
      <c r="B118" s="11" t="str">
        <f>CONCATENATE("          ", "5018", " - ", "PURCHASES @ COST-STUDY GUIDES")</f>
        <v xml:space="preserve">          5018 - PURCHASES @ COST-STUDY GUIDES</v>
      </c>
      <c r="C118" s="11"/>
      <c r="D118" s="2">
        <v>106.34</v>
      </c>
      <c r="E118" s="2"/>
      <c r="F118" s="19">
        <f t="shared" si="26"/>
        <v>9.5825404203161361E-4</v>
      </c>
      <c r="G118" s="2"/>
      <c r="H118" s="2"/>
      <c r="I118" s="2"/>
      <c r="J118" s="19">
        <f t="shared" si="27"/>
        <v>0</v>
      </c>
      <c r="K118" s="2"/>
      <c r="L118" s="2">
        <f t="shared" si="28"/>
        <v>106.34</v>
      </c>
      <c r="M118" s="2"/>
      <c r="N118" s="19">
        <f t="shared" si="29"/>
        <v>0</v>
      </c>
      <c r="O118" s="11"/>
      <c r="P118" s="2">
        <v>106.34</v>
      </c>
      <c r="Q118" s="2"/>
      <c r="R118" s="19">
        <f t="shared" si="30"/>
        <v>4.3095039365843322E-5</v>
      </c>
      <c r="S118" s="2"/>
      <c r="T118" s="2">
        <v>802.09</v>
      </c>
      <c r="U118" s="2"/>
      <c r="V118" s="19">
        <f t="shared" si="31"/>
        <v>1.2358851310186703E-4</v>
      </c>
      <c r="W118" s="2"/>
      <c r="X118" s="2">
        <f t="shared" si="32"/>
        <v>-695.75</v>
      </c>
      <c r="Y118" s="2"/>
      <c r="Z118" s="19">
        <f t="shared" si="33"/>
        <v>-0.86742136169257811</v>
      </c>
    </row>
    <row r="119" spans="1:26" s="24" customFormat="1" hidden="1" outlineLevel="1" x14ac:dyDescent="0.25">
      <c r="A119" s="44"/>
      <c r="B119" s="11" t="str">
        <f>CONCATENATE("          ", "5025", " - ", "PURCHASES @ COST-TEST FORMS")</f>
        <v xml:space="preserve">          5025 - PURCHASES @ COST-TEST FORMS</v>
      </c>
      <c r="C119" s="11"/>
      <c r="D119" s="2"/>
      <c r="E119" s="2"/>
      <c r="F119" s="19">
        <f t="shared" si="26"/>
        <v>0</v>
      </c>
      <c r="G119" s="2"/>
      <c r="H119" s="2">
        <v>18846</v>
      </c>
      <c r="I119" s="2"/>
      <c r="J119" s="19">
        <f t="shared" si="27"/>
        <v>2.5090667094616576E-2</v>
      </c>
      <c r="K119" s="2"/>
      <c r="L119" s="2">
        <f t="shared" si="28"/>
        <v>-18846</v>
      </c>
      <c r="M119" s="2"/>
      <c r="N119" s="19">
        <f t="shared" si="29"/>
        <v>-1</v>
      </c>
      <c r="O119" s="11"/>
      <c r="P119" s="2">
        <v>599.29</v>
      </c>
      <c r="Q119" s="2"/>
      <c r="R119" s="19">
        <f t="shared" si="30"/>
        <v>2.428665238062464E-4</v>
      </c>
      <c r="S119" s="2"/>
      <c r="T119" s="2">
        <v>22098.390000000003</v>
      </c>
      <c r="U119" s="2"/>
      <c r="V119" s="19">
        <f t="shared" si="31"/>
        <v>3.4049884203084038E-3</v>
      </c>
      <c r="W119" s="2"/>
      <c r="X119" s="2">
        <f t="shared" si="32"/>
        <v>-21499.100000000002</v>
      </c>
      <c r="Y119" s="2"/>
      <c r="Z119" s="19">
        <f t="shared" si="33"/>
        <v>-0.97288082977990697</v>
      </c>
    </row>
    <row r="120" spans="1:26" s="24" customFormat="1" hidden="1" outlineLevel="1" x14ac:dyDescent="0.25">
      <c r="A120" s="44"/>
      <c r="B120" s="11" t="str">
        <f>CONCATENATE("          ", "5026", " - ", "PURCHASES @ COST-WRITING INSTR")</f>
        <v xml:space="preserve">          5026 - PURCHASES @ COST-WRITING INSTR</v>
      </c>
      <c r="C120" s="11"/>
      <c r="D120" s="2"/>
      <c r="E120" s="2"/>
      <c r="F120" s="19">
        <f t="shared" si="26"/>
        <v>0</v>
      </c>
      <c r="G120" s="2"/>
      <c r="H120" s="2">
        <v>4633</v>
      </c>
      <c r="I120" s="2"/>
      <c r="J120" s="19">
        <f t="shared" si="27"/>
        <v>6.1681556112362619E-3</v>
      </c>
      <c r="K120" s="2"/>
      <c r="L120" s="2">
        <f t="shared" si="28"/>
        <v>-4633</v>
      </c>
      <c r="M120" s="2"/>
      <c r="N120" s="19">
        <f t="shared" si="29"/>
        <v>-1</v>
      </c>
      <c r="O120" s="11"/>
      <c r="P120" s="2">
        <v>380.02</v>
      </c>
      <c r="Q120" s="2"/>
      <c r="R120" s="19">
        <f t="shared" si="30"/>
        <v>1.5400580082572672E-4</v>
      </c>
      <c r="S120" s="2"/>
      <c r="T120" s="2">
        <v>29950.57</v>
      </c>
      <c r="U120" s="2"/>
      <c r="V120" s="19">
        <f t="shared" si="31"/>
        <v>4.614876650816474E-3</v>
      </c>
      <c r="W120" s="2"/>
      <c r="X120" s="2">
        <f t="shared" si="32"/>
        <v>-29570.55</v>
      </c>
      <c r="Y120" s="2"/>
      <c r="Z120" s="19">
        <f t="shared" si="33"/>
        <v>-0.98731176067767656</v>
      </c>
    </row>
    <row r="121" spans="1:26" s="24" customFormat="1" hidden="1" outlineLevel="1" x14ac:dyDescent="0.25">
      <c r="A121" s="44"/>
      <c r="B121" s="11" t="str">
        <f>CONCATENATE("          ", "5027", " - ", "PURCHASES @ COST-SCHOOL SUPPLI")</f>
        <v xml:space="preserve">          5027 - PURCHASES @ COST-SCHOOL SUPPLI</v>
      </c>
      <c r="C121" s="11"/>
      <c r="D121" s="2"/>
      <c r="E121" s="2"/>
      <c r="F121" s="19">
        <f t="shared" si="26"/>
        <v>0</v>
      </c>
      <c r="G121" s="2"/>
      <c r="H121" s="2">
        <v>3483.98</v>
      </c>
      <c r="I121" s="2"/>
      <c r="J121" s="19">
        <f t="shared" si="27"/>
        <v>4.6384050909637192E-3</v>
      </c>
      <c r="K121" s="2"/>
      <c r="L121" s="2">
        <f t="shared" si="28"/>
        <v>-3483.98</v>
      </c>
      <c r="M121" s="2"/>
      <c r="N121" s="19">
        <f t="shared" si="29"/>
        <v>-1</v>
      </c>
      <c r="O121" s="11"/>
      <c r="P121" s="2">
        <v>19071.350000000002</v>
      </c>
      <c r="Q121" s="2"/>
      <c r="R121" s="19">
        <f t="shared" si="30"/>
        <v>7.7287998778425441E-3</v>
      </c>
      <c r="S121" s="2"/>
      <c r="T121" s="2">
        <v>75506.36</v>
      </c>
      <c r="U121" s="2"/>
      <c r="V121" s="19">
        <f t="shared" si="31"/>
        <v>1.1634253964186424E-2</v>
      </c>
      <c r="W121" s="2"/>
      <c r="X121" s="2">
        <f t="shared" si="32"/>
        <v>-56435.009999999995</v>
      </c>
      <c r="Y121" s="2"/>
      <c r="Z121" s="19">
        <f t="shared" si="33"/>
        <v>-0.74742061463431686</v>
      </c>
    </row>
    <row r="122" spans="1:26" s="24" customFormat="1" hidden="1" outlineLevel="1" x14ac:dyDescent="0.25">
      <c r="A122" s="44"/>
      <c r="B122" s="11" t="str">
        <f>CONCATENATE("          ", "5028", " - ", "PURCHASES @ COST-ART/TECH")</f>
        <v xml:space="preserve">          5028 - PURCHASES @ COST-ART/TECH</v>
      </c>
      <c r="C122" s="11"/>
      <c r="D122" s="2">
        <v>15.89</v>
      </c>
      <c r="E122" s="2"/>
      <c r="F122" s="19">
        <f t="shared" si="26"/>
        <v>1.431884213643252E-4</v>
      </c>
      <c r="G122" s="2"/>
      <c r="H122" s="2">
        <v>4931.4399999999996</v>
      </c>
      <c r="I122" s="2"/>
      <c r="J122" s="19">
        <f t="shared" si="27"/>
        <v>6.5654844177584614E-3</v>
      </c>
      <c r="K122" s="2"/>
      <c r="L122" s="2">
        <f t="shared" si="28"/>
        <v>-4915.5499999999993</v>
      </c>
      <c r="M122" s="2"/>
      <c r="N122" s="19">
        <f t="shared" si="29"/>
        <v>-0.99677781743263627</v>
      </c>
      <c r="O122" s="11"/>
      <c r="P122" s="2">
        <v>41358.449999999997</v>
      </c>
      <c r="Q122" s="2"/>
      <c r="R122" s="19">
        <f t="shared" si="30"/>
        <v>1.6760805255409655E-2</v>
      </c>
      <c r="S122" s="2"/>
      <c r="T122" s="2">
        <v>95270.51</v>
      </c>
      <c r="U122" s="2"/>
      <c r="V122" s="19">
        <f t="shared" si="31"/>
        <v>1.4679575450830398E-2</v>
      </c>
      <c r="W122" s="2"/>
      <c r="X122" s="2">
        <f t="shared" si="32"/>
        <v>-53912.06</v>
      </c>
      <c r="Y122" s="2"/>
      <c r="Z122" s="19">
        <f t="shared" si="33"/>
        <v>-0.5658840285414658</v>
      </c>
    </row>
    <row r="123" spans="1:26" s="24" customFormat="1" hidden="1" outlineLevel="1" x14ac:dyDescent="0.25">
      <c r="A123" s="44"/>
      <c r="B123" s="11" t="str">
        <f>CONCATENATE("          ", "5031", " - ", "PURCHASES @ COST-FOOD")</f>
        <v xml:space="preserve">          5031 - PURCHASES @ COST-FOOD</v>
      </c>
      <c r="C123" s="11"/>
      <c r="D123" s="2"/>
      <c r="E123" s="2"/>
      <c r="F123" s="19">
        <f t="shared" si="26"/>
        <v>0</v>
      </c>
      <c r="G123" s="2"/>
      <c r="H123" s="2">
        <v>4825.3999999999996</v>
      </c>
      <c r="I123" s="2"/>
      <c r="J123" s="19">
        <f t="shared" si="27"/>
        <v>6.4243078105891338E-3</v>
      </c>
      <c r="K123" s="2"/>
      <c r="L123" s="2">
        <f t="shared" si="28"/>
        <v>-4825.3999999999996</v>
      </c>
      <c r="M123" s="2"/>
      <c r="N123" s="19">
        <f t="shared" si="29"/>
        <v>-1</v>
      </c>
      <c r="O123" s="11"/>
      <c r="P123" s="2">
        <v>8535.1</v>
      </c>
      <c r="Q123" s="2"/>
      <c r="R123" s="19">
        <f t="shared" si="30"/>
        <v>3.4589098221874115E-3</v>
      </c>
      <c r="S123" s="2"/>
      <c r="T123" s="2">
        <v>20814.489999999998</v>
      </c>
      <c r="U123" s="2"/>
      <c r="V123" s="19">
        <f t="shared" si="31"/>
        <v>3.2071611291422161E-3</v>
      </c>
      <c r="W123" s="2"/>
      <c r="X123" s="2">
        <f t="shared" si="32"/>
        <v>-12279.389999999998</v>
      </c>
      <c r="Y123" s="2"/>
      <c r="Z123" s="19">
        <f t="shared" si="33"/>
        <v>-0.58994431283207027</v>
      </c>
    </row>
    <row r="124" spans="1:26" s="24" customFormat="1" hidden="1" outlineLevel="1" x14ac:dyDescent="0.25">
      <c r="A124" s="44"/>
      <c r="B124" s="11" t="str">
        <f>CONCATENATE("          ", "5032", " - ", "PURCHASES @ COST-JUICE")</f>
        <v xml:space="preserve">          5032 - PURCHASES @ COST-JUICE</v>
      </c>
      <c r="C124" s="11"/>
      <c r="D124" s="2"/>
      <c r="E124" s="2"/>
      <c r="F124" s="19">
        <f t="shared" si="26"/>
        <v>0</v>
      </c>
      <c r="G124" s="2"/>
      <c r="H124" s="2">
        <v>1278.21</v>
      </c>
      <c r="I124" s="2"/>
      <c r="J124" s="19">
        <f t="shared" si="27"/>
        <v>1.701747935212239E-3</v>
      </c>
      <c r="K124" s="2"/>
      <c r="L124" s="2">
        <f t="shared" si="28"/>
        <v>-1278.21</v>
      </c>
      <c r="M124" s="2"/>
      <c r="N124" s="19">
        <f t="shared" si="29"/>
        <v>-1</v>
      </c>
      <c r="O124" s="11"/>
      <c r="P124" s="2"/>
      <c r="Q124" s="2"/>
      <c r="R124" s="19">
        <f t="shared" si="30"/>
        <v>0</v>
      </c>
      <c r="S124" s="2"/>
      <c r="T124" s="2">
        <v>4662.49</v>
      </c>
      <c r="U124" s="2"/>
      <c r="V124" s="19">
        <f t="shared" si="31"/>
        <v>7.1841090956416861E-4</v>
      </c>
      <c r="W124" s="2"/>
      <c r="X124" s="2">
        <f t="shared" si="32"/>
        <v>-4662.49</v>
      </c>
      <c r="Y124" s="2"/>
      <c r="Z124" s="19">
        <f t="shared" si="33"/>
        <v>-1</v>
      </c>
    </row>
    <row r="125" spans="1:26" s="24" customFormat="1" hidden="1" outlineLevel="1" x14ac:dyDescent="0.25">
      <c r="A125" s="44"/>
      <c r="B125" s="11" t="str">
        <f>CONCATENATE("          ", "5033", " - ", "PURCHASES @ COST-CANDY")</f>
        <v xml:space="preserve">          5033 - PURCHASES @ COST-CANDY</v>
      </c>
      <c r="C125" s="11"/>
      <c r="D125" s="2"/>
      <c r="E125" s="2"/>
      <c r="F125" s="19">
        <f t="shared" si="26"/>
        <v>0</v>
      </c>
      <c r="G125" s="2"/>
      <c r="H125" s="2">
        <v>1482.54</v>
      </c>
      <c r="I125" s="2"/>
      <c r="J125" s="19">
        <f t="shared" si="27"/>
        <v>1.9737831685478543E-3</v>
      </c>
      <c r="K125" s="2"/>
      <c r="L125" s="2">
        <f t="shared" si="28"/>
        <v>-1482.54</v>
      </c>
      <c r="M125" s="2"/>
      <c r="N125" s="19">
        <f t="shared" si="29"/>
        <v>-1</v>
      </c>
      <c r="O125" s="11"/>
      <c r="P125" s="2"/>
      <c r="Q125" s="2"/>
      <c r="R125" s="19">
        <f t="shared" si="30"/>
        <v>0</v>
      </c>
      <c r="S125" s="2"/>
      <c r="T125" s="2">
        <v>5937.74</v>
      </c>
      <c r="U125" s="2"/>
      <c r="V125" s="19">
        <f t="shared" si="31"/>
        <v>9.1490538192157979E-4</v>
      </c>
      <c r="W125" s="2"/>
      <c r="X125" s="2">
        <f t="shared" si="32"/>
        <v>-5937.74</v>
      </c>
      <c r="Y125" s="2"/>
      <c r="Z125" s="19">
        <f t="shared" si="33"/>
        <v>-1</v>
      </c>
    </row>
    <row r="126" spans="1:26" s="24" customFormat="1" hidden="1" outlineLevel="1" x14ac:dyDescent="0.25">
      <c r="A126" s="44"/>
      <c r="B126" s="11" t="str">
        <f>CONCATENATE("          ", "5034", " - ", "PURCHASES @ COST-SODA")</f>
        <v xml:space="preserve">          5034 - PURCHASES @ COST-SODA</v>
      </c>
      <c r="C126" s="11"/>
      <c r="D126" s="2"/>
      <c r="E126" s="2"/>
      <c r="F126" s="19">
        <f t="shared" si="26"/>
        <v>0</v>
      </c>
      <c r="G126" s="2"/>
      <c r="H126" s="2">
        <v>587.38</v>
      </c>
      <c r="I126" s="2"/>
      <c r="J126" s="19">
        <f t="shared" si="27"/>
        <v>7.8200976536325396E-4</v>
      </c>
      <c r="K126" s="2"/>
      <c r="L126" s="2">
        <f t="shared" si="28"/>
        <v>-587.38</v>
      </c>
      <c r="M126" s="2"/>
      <c r="N126" s="19">
        <f t="shared" si="29"/>
        <v>-1</v>
      </c>
      <c r="O126" s="11"/>
      <c r="P126" s="2"/>
      <c r="Q126" s="2"/>
      <c r="R126" s="19">
        <f t="shared" si="30"/>
        <v>0</v>
      </c>
      <c r="S126" s="2"/>
      <c r="T126" s="2">
        <v>2081.92</v>
      </c>
      <c r="U126" s="2"/>
      <c r="V126" s="19">
        <f t="shared" si="31"/>
        <v>3.2078868605398274E-4</v>
      </c>
      <c r="W126" s="2"/>
      <c r="X126" s="2">
        <f t="shared" si="32"/>
        <v>-2081.92</v>
      </c>
      <c r="Y126" s="2"/>
      <c r="Z126" s="19">
        <f t="shared" si="33"/>
        <v>-1</v>
      </c>
    </row>
    <row r="127" spans="1:26" s="24" customFormat="1" hidden="1" outlineLevel="1" x14ac:dyDescent="0.25">
      <c r="A127" s="44"/>
      <c r="B127" s="11" t="str">
        <f>CONCATENATE("          ", "5035", " - ", "PURCHASES @ COST-HEALTH &amp; BEAU")</f>
        <v xml:space="preserve">          5035 - PURCHASES @ COST-HEALTH &amp; BEAU</v>
      </c>
      <c r="C127" s="11"/>
      <c r="D127" s="2"/>
      <c r="E127" s="2"/>
      <c r="F127" s="19">
        <f t="shared" si="26"/>
        <v>0</v>
      </c>
      <c r="G127" s="2"/>
      <c r="H127" s="2">
        <v>222.52</v>
      </c>
      <c r="I127" s="2"/>
      <c r="J127" s="19">
        <f t="shared" si="27"/>
        <v>2.962525332640391E-4</v>
      </c>
      <c r="K127" s="2"/>
      <c r="L127" s="2">
        <f t="shared" si="28"/>
        <v>-222.52</v>
      </c>
      <c r="M127" s="2"/>
      <c r="N127" s="19">
        <f t="shared" si="29"/>
        <v>-1</v>
      </c>
      <c r="O127" s="11"/>
      <c r="P127" s="2"/>
      <c r="Q127" s="2"/>
      <c r="R127" s="19">
        <f t="shared" si="30"/>
        <v>0</v>
      </c>
      <c r="S127" s="2"/>
      <c r="T127" s="2">
        <v>801.21</v>
      </c>
      <c r="U127" s="2"/>
      <c r="V127" s="19">
        <f t="shared" si="31"/>
        <v>1.2345291997450022E-4</v>
      </c>
      <c r="W127" s="2"/>
      <c r="X127" s="2">
        <f t="shared" si="32"/>
        <v>-801.21</v>
      </c>
      <c r="Y127" s="2"/>
      <c r="Z127" s="19">
        <f t="shared" si="33"/>
        <v>-1</v>
      </c>
    </row>
    <row r="128" spans="1:26" s="24" customFormat="1" hidden="1" outlineLevel="1" x14ac:dyDescent="0.25">
      <c r="A128" s="44"/>
      <c r="B128" s="11" t="str">
        <f>CONCATENATE("          ", "5037", " - ", "PURCHASES @ COST-WATER")</f>
        <v xml:space="preserve">          5037 - PURCHASES @ COST-WATER</v>
      </c>
      <c r="C128" s="11"/>
      <c r="D128" s="2"/>
      <c r="E128" s="2"/>
      <c r="F128" s="19">
        <f t="shared" si="26"/>
        <v>0</v>
      </c>
      <c r="G128" s="2"/>
      <c r="H128" s="2">
        <v>667.52</v>
      </c>
      <c r="I128" s="2"/>
      <c r="J128" s="19">
        <f t="shared" si="27"/>
        <v>8.8870434569661763E-4</v>
      </c>
      <c r="K128" s="2"/>
      <c r="L128" s="2">
        <f t="shared" si="28"/>
        <v>-667.52</v>
      </c>
      <c r="M128" s="2"/>
      <c r="N128" s="19">
        <f t="shared" si="29"/>
        <v>-1</v>
      </c>
      <c r="O128" s="11"/>
      <c r="P128" s="2"/>
      <c r="Q128" s="2"/>
      <c r="R128" s="19">
        <f t="shared" si="30"/>
        <v>0</v>
      </c>
      <c r="S128" s="2"/>
      <c r="T128" s="2">
        <v>3523.37</v>
      </c>
      <c r="U128" s="2"/>
      <c r="V128" s="19">
        <f t="shared" si="31"/>
        <v>5.4289176951180691E-4</v>
      </c>
      <c r="W128" s="2"/>
      <c r="X128" s="2">
        <f t="shared" si="32"/>
        <v>-3523.37</v>
      </c>
      <c r="Y128" s="2"/>
      <c r="Z128" s="19">
        <f t="shared" si="33"/>
        <v>-1</v>
      </c>
    </row>
    <row r="129" spans="1:26" s="24" customFormat="1" hidden="1" outlineLevel="1" x14ac:dyDescent="0.25">
      <c r="A129" s="44"/>
      <c r="B129" s="11" t="str">
        <f>CONCATENATE("          ", "5040", " - ", "PURCHASES @ COST-LOGO CLOTHING")</f>
        <v xml:space="preserve">          5040 - PURCHASES @ COST-LOGO CLOTHING</v>
      </c>
      <c r="C129" s="11"/>
      <c r="D129" s="2">
        <v>55124.33</v>
      </c>
      <c r="E129" s="2"/>
      <c r="F129" s="19">
        <f t="shared" si="26"/>
        <v>0.49673793527162441</v>
      </c>
      <c r="G129" s="2"/>
      <c r="H129" s="2">
        <v>105691.4</v>
      </c>
      <c r="I129" s="2"/>
      <c r="J129" s="19">
        <f t="shared" si="27"/>
        <v>0.14071249772704861</v>
      </c>
      <c r="K129" s="2"/>
      <c r="L129" s="2">
        <f t="shared" si="28"/>
        <v>-50567.069999999992</v>
      </c>
      <c r="M129" s="2"/>
      <c r="N129" s="19">
        <f t="shared" si="29"/>
        <v>-0.47844072460010934</v>
      </c>
      <c r="O129" s="11"/>
      <c r="P129" s="2">
        <v>94295.28</v>
      </c>
      <c r="Q129" s="2"/>
      <c r="R129" s="19">
        <f t="shared" si="30"/>
        <v>3.8213831141745522E-2</v>
      </c>
      <c r="S129" s="2"/>
      <c r="T129" s="2">
        <v>618292.30999999994</v>
      </c>
      <c r="U129" s="2"/>
      <c r="V129" s="19">
        <f t="shared" si="31"/>
        <v>9.5268395386077148E-2</v>
      </c>
      <c r="W129" s="2"/>
      <c r="X129" s="2">
        <f t="shared" si="32"/>
        <v>-523997.02999999991</v>
      </c>
      <c r="Y129" s="2"/>
      <c r="Z129" s="19">
        <f t="shared" si="33"/>
        <v>-0.84749077665222772</v>
      </c>
    </row>
    <row r="130" spans="1:26" s="24" customFormat="1" hidden="1" outlineLevel="1" x14ac:dyDescent="0.25">
      <c r="A130" s="44"/>
      <c r="B130" s="11" t="str">
        <f>CONCATENATE("          ", "5041", " - ", "PURCHASES @ COST-LOGO GIFTS")</f>
        <v xml:space="preserve">          5041 - PURCHASES @ COST-LOGO GIFTS</v>
      </c>
      <c r="C130" s="11"/>
      <c r="D130" s="2">
        <v>9354.43</v>
      </c>
      <c r="E130" s="2"/>
      <c r="F130" s="19">
        <f t="shared" si="26"/>
        <v>8.4294906511207329E-2</v>
      </c>
      <c r="G130" s="2"/>
      <c r="H130" s="2">
        <v>18340.09</v>
      </c>
      <c r="I130" s="2"/>
      <c r="J130" s="19">
        <f t="shared" si="27"/>
        <v>2.4417122608262048E-2</v>
      </c>
      <c r="K130" s="2"/>
      <c r="L130" s="2">
        <f t="shared" si="28"/>
        <v>-8985.66</v>
      </c>
      <c r="M130" s="2"/>
      <c r="N130" s="19">
        <f t="shared" si="29"/>
        <v>-0.48994634159374351</v>
      </c>
      <c r="O130" s="11"/>
      <c r="P130" s="2">
        <v>26641.769999999997</v>
      </c>
      <c r="Q130" s="2"/>
      <c r="R130" s="19">
        <f t="shared" si="30"/>
        <v>1.0796766286681808E-2</v>
      </c>
      <c r="S130" s="2"/>
      <c r="T130" s="2">
        <v>88796.55</v>
      </c>
      <c r="U130" s="2"/>
      <c r="V130" s="19">
        <f t="shared" si="31"/>
        <v>1.3682047629412648E-2</v>
      </c>
      <c r="W130" s="2"/>
      <c r="X130" s="2">
        <f t="shared" si="32"/>
        <v>-62154.780000000006</v>
      </c>
      <c r="Y130" s="2"/>
      <c r="Z130" s="19">
        <f t="shared" si="33"/>
        <v>-0.69996841093488438</v>
      </c>
    </row>
    <row r="131" spans="1:26" s="24" customFormat="1" hidden="1" outlineLevel="1" x14ac:dyDescent="0.25">
      <c r="A131" s="44"/>
      <c r="B131" s="11" t="str">
        <f>CONCATENATE("          ", "5042", " - ", "PURCHASES @ COST-EVERYDAY GIFT")</f>
        <v xml:space="preserve">          5042 - PURCHASES @ COST-EVERYDAY GIFT</v>
      </c>
      <c r="C131" s="11"/>
      <c r="D131" s="2"/>
      <c r="E131" s="2"/>
      <c r="F131" s="19">
        <f t="shared" si="26"/>
        <v>0</v>
      </c>
      <c r="G131" s="2"/>
      <c r="H131" s="2">
        <v>31316.85</v>
      </c>
      <c r="I131" s="2"/>
      <c r="J131" s="19">
        <f t="shared" si="27"/>
        <v>4.1693763016133027E-2</v>
      </c>
      <c r="K131" s="2"/>
      <c r="L131" s="2">
        <f t="shared" si="28"/>
        <v>-31316.85</v>
      </c>
      <c r="M131" s="2"/>
      <c r="N131" s="19">
        <f t="shared" si="29"/>
        <v>-1</v>
      </c>
      <c r="O131" s="11"/>
      <c r="P131" s="2">
        <v>10912.68</v>
      </c>
      <c r="Q131" s="2"/>
      <c r="R131" s="19">
        <f t="shared" si="30"/>
        <v>4.4224409835137398E-3</v>
      </c>
      <c r="S131" s="2"/>
      <c r="T131" s="2">
        <v>80565.319999999992</v>
      </c>
      <c r="U131" s="2"/>
      <c r="V131" s="19">
        <f t="shared" si="31"/>
        <v>1.2413754200122317E-2</v>
      </c>
      <c r="W131" s="2"/>
      <c r="X131" s="2">
        <f t="shared" si="32"/>
        <v>-69652.639999999985</v>
      </c>
      <c r="Y131" s="2"/>
      <c r="Z131" s="19">
        <f t="shared" si="33"/>
        <v>-0.8645486668457345</v>
      </c>
    </row>
    <row r="132" spans="1:26" s="24" customFormat="1" hidden="1" outlineLevel="1" x14ac:dyDescent="0.25">
      <c r="A132" s="44"/>
      <c r="B132" s="11" t="str">
        <f>CONCATENATE("          ", "5043", " - ", "PURCHASES @ COST-CARDS")</f>
        <v xml:space="preserve">          5043 - PURCHASES @ COST-CARDS</v>
      </c>
      <c r="C132" s="11"/>
      <c r="D132" s="2">
        <v>38530.230000000003</v>
      </c>
      <c r="E132" s="2"/>
      <c r="F132" s="19">
        <f t="shared" si="26"/>
        <v>0.34720470789832369</v>
      </c>
      <c r="G132" s="2"/>
      <c r="H132" s="2">
        <v>2188.66</v>
      </c>
      <c r="I132" s="2"/>
      <c r="J132" s="19">
        <f t="shared" si="27"/>
        <v>2.9138777164015449E-3</v>
      </c>
      <c r="K132" s="2"/>
      <c r="L132" s="2">
        <f t="shared" si="28"/>
        <v>36341.570000000007</v>
      </c>
      <c r="M132" s="2"/>
      <c r="N132" s="19">
        <f t="shared" si="29"/>
        <v>16.604484022187094</v>
      </c>
      <c r="O132" s="11"/>
      <c r="P132" s="2">
        <v>44173.23</v>
      </c>
      <c r="Q132" s="2"/>
      <c r="R132" s="19">
        <f t="shared" si="30"/>
        <v>1.7901514818191192E-2</v>
      </c>
      <c r="S132" s="2"/>
      <c r="T132" s="2">
        <v>3528.74</v>
      </c>
      <c r="U132" s="2"/>
      <c r="V132" s="19">
        <f t="shared" si="31"/>
        <v>5.4371919575494298E-4</v>
      </c>
      <c r="W132" s="2"/>
      <c r="X132" s="2">
        <f t="shared" si="32"/>
        <v>40644.490000000005</v>
      </c>
      <c r="Y132" s="2"/>
      <c r="Z132" s="19">
        <f t="shared" si="33"/>
        <v>11.518131117622723</v>
      </c>
    </row>
    <row r="133" spans="1:26" s="24" customFormat="1" hidden="1" outlineLevel="1" x14ac:dyDescent="0.25">
      <c r="A133" s="44"/>
      <c r="B133" s="11" t="str">
        <f>CONCATENATE("          ", "5044", " - ", "PURCHASES @ COST-ACCESSORIES")</f>
        <v xml:space="preserve">          5044 - PURCHASES @ COST-ACCESSORIES</v>
      </c>
      <c r="C133" s="11"/>
      <c r="D133" s="2">
        <v>282.33</v>
      </c>
      <c r="E133" s="2"/>
      <c r="F133" s="19">
        <f t="shared" si="26"/>
        <v>2.5441401512768993E-3</v>
      </c>
      <c r="G133" s="2"/>
      <c r="H133" s="2">
        <v>-6895.55</v>
      </c>
      <c r="I133" s="2"/>
      <c r="J133" s="19">
        <f t="shared" si="27"/>
        <v>-9.1804069555493657E-3</v>
      </c>
      <c r="K133" s="2"/>
      <c r="L133" s="2">
        <f t="shared" si="28"/>
        <v>7177.88</v>
      </c>
      <c r="M133" s="2"/>
      <c r="N133" s="19">
        <f t="shared" si="29"/>
        <v>-1.0409437970865267</v>
      </c>
      <c r="O133" s="11"/>
      <c r="P133" s="2">
        <v>282.33</v>
      </c>
      <c r="Q133" s="2"/>
      <c r="R133" s="19">
        <f t="shared" si="30"/>
        <v>1.1441623532216048E-4</v>
      </c>
      <c r="S133" s="2"/>
      <c r="T133" s="2">
        <v>17255.580000000002</v>
      </c>
      <c r="U133" s="2"/>
      <c r="V133" s="19">
        <f t="shared" si="31"/>
        <v>2.6587932462819818E-3</v>
      </c>
      <c r="W133" s="2"/>
      <c r="X133" s="2">
        <f t="shared" si="32"/>
        <v>-16973.25</v>
      </c>
      <c r="Y133" s="2"/>
      <c r="Z133" s="19">
        <f t="shared" si="33"/>
        <v>-0.98363833612083729</v>
      </c>
    </row>
    <row r="134" spans="1:26" s="24" customFormat="1" hidden="1" outlineLevel="1" x14ac:dyDescent="0.25">
      <c r="A134" s="44"/>
      <c r="B134" s="11" t="str">
        <f>CONCATENATE("          ", "5045", " - ", "PURCHASES @ COST-SPECIAL ORDER")</f>
        <v xml:space="preserve">          5045 - PURCHASES @ COST-SPECIAL ORDER</v>
      </c>
      <c r="C134" s="11"/>
      <c r="D134" s="2">
        <v>5678</v>
      </c>
      <c r="E134" s="2"/>
      <c r="F134" s="19">
        <f t="shared" si="26"/>
        <v>5.1165755601424695E-2</v>
      </c>
      <c r="G134" s="2"/>
      <c r="H134" s="2">
        <v>14163.29</v>
      </c>
      <c r="I134" s="2"/>
      <c r="J134" s="19">
        <f t="shared" si="27"/>
        <v>1.885632995619824E-2</v>
      </c>
      <c r="K134" s="2"/>
      <c r="L134" s="2">
        <f t="shared" si="28"/>
        <v>-8485.2900000000009</v>
      </c>
      <c r="M134" s="2"/>
      <c r="N134" s="19">
        <f t="shared" si="29"/>
        <v>-0.59910444536544827</v>
      </c>
      <c r="O134" s="11"/>
      <c r="P134" s="2">
        <v>76932.51999999999</v>
      </c>
      <c r="Q134" s="2"/>
      <c r="R134" s="19">
        <f t="shared" si="30"/>
        <v>3.1177449481977884E-2</v>
      </c>
      <c r="S134" s="2"/>
      <c r="T134" s="2">
        <v>42226.49</v>
      </c>
      <c r="U134" s="2"/>
      <c r="V134" s="19">
        <f t="shared" si="31"/>
        <v>6.5063884509355017E-3</v>
      </c>
      <c r="W134" s="2"/>
      <c r="X134" s="2">
        <f t="shared" si="32"/>
        <v>34706.029999999992</v>
      </c>
      <c r="Y134" s="2"/>
      <c r="Z134" s="19">
        <f t="shared" si="33"/>
        <v>0.82190184407939171</v>
      </c>
    </row>
    <row r="135" spans="1:26" s="24" customFormat="1" hidden="1" outlineLevel="1" x14ac:dyDescent="0.25">
      <c r="A135" s="44"/>
      <c r="B135" s="11" t="str">
        <f>CONCATENATE("          ", "5053", " - ", "PURCHASES @ COST-FOOD")</f>
        <v xml:space="preserve">          5053 - PURCHASES @ COST-FOOD</v>
      </c>
      <c r="C135" s="11"/>
      <c r="D135" s="2"/>
      <c r="E135" s="2"/>
      <c r="F135" s="19">
        <f t="shared" si="26"/>
        <v>0</v>
      </c>
      <c r="G135" s="2"/>
      <c r="H135" s="2">
        <v>135831.22</v>
      </c>
      <c r="I135" s="2"/>
      <c r="J135" s="19">
        <f t="shared" si="27"/>
        <v>0.18083921904253555</v>
      </c>
      <c r="K135" s="2"/>
      <c r="L135" s="2">
        <f t="shared" si="28"/>
        <v>-135831.22</v>
      </c>
      <c r="M135" s="2"/>
      <c r="N135" s="19">
        <f t="shared" si="29"/>
        <v>-1</v>
      </c>
      <c r="O135" s="11"/>
      <c r="P135" s="2">
        <v>-2855.57</v>
      </c>
      <c r="Q135" s="2"/>
      <c r="R135" s="19">
        <f t="shared" si="30"/>
        <v>-1.1572399996419148E-3</v>
      </c>
      <c r="S135" s="2"/>
      <c r="T135" s="2">
        <v>713015.79</v>
      </c>
      <c r="U135" s="2"/>
      <c r="V135" s="19">
        <f t="shared" si="31"/>
        <v>0.10986368275910817</v>
      </c>
      <c r="W135" s="2"/>
      <c r="X135" s="2">
        <f t="shared" si="32"/>
        <v>-715871.36</v>
      </c>
      <c r="Y135" s="2"/>
      <c r="Z135" s="19">
        <f t="shared" si="33"/>
        <v>-1.004004918320252</v>
      </c>
    </row>
    <row r="136" spans="1:26" s="24" customFormat="1" hidden="1" outlineLevel="1" x14ac:dyDescent="0.25">
      <c r="A136" s="44"/>
      <c r="B136" s="11" t="str">
        <f>CONCATENATE("          ", "5059", " - ", "PURCHASES @ COST-FOOD")</f>
        <v xml:space="preserve">          5059 - PURCHASES @ COST-FOOD</v>
      </c>
      <c r="C136" s="11"/>
      <c r="D136" s="2"/>
      <c r="E136" s="2"/>
      <c r="F136" s="19">
        <f t="shared" si="26"/>
        <v>0</v>
      </c>
      <c r="G136" s="2"/>
      <c r="H136" s="2">
        <v>9484.76</v>
      </c>
      <c r="I136" s="2"/>
      <c r="J136" s="19">
        <f t="shared" si="27"/>
        <v>1.2627557870759606E-2</v>
      </c>
      <c r="K136" s="2"/>
      <c r="L136" s="2">
        <f t="shared" si="28"/>
        <v>-9484.76</v>
      </c>
      <c r="M136" s="2"/>
      <c r="N136" s="19">
        <f t="shared" si="29"/>
        <v>-1</v>
      </c>
      <c r="O136" s="11"/>
      <c r="P136" s="2">
        <v>11697.91</v>
      </c>
      <c r="Q136" s="2"/>
      <c r="R136" s="19">
        <f t="shared" si="30"/>
        <v>4.7406610113606565E-3</v>
      </c>
      <c r="S136" s="2"/>
      <c r="T136" s="2">
        <v>-34161.21</v>
      </c>
      <c r="U136" s="2"/>
      <c r="V136" s="19">
        <f t="shared" si="31"/>
        <v>-5.263665111970765E-3</v>
      </c>
      <c r="W136" s="2"/>
      <c r="X136" s="2">
        <f t="shared" si="32"/>
        <v>45859.119999999995</v>
      </c>
      <c r="Y136" s="2"/>
      <c r="Z136" s="19">
        <f t="shared" si="33"/>
        <v>-1.3424325426412003</v>
      </c>
    </row>
    <row r="137" spans="1:26" s="24" customFormat="1" hidden="1" outlineLevel="1" x14ac:dyDescent="0.25">
      <c r="A137" s="44"/>
      <c r="B137" s="11" t="str">
        <f>CONCATENATE("          ", "5081", " - ", "PURCHASES @ COST-ELECTRONICS")</f>
        <v xml:space="preserve">          5081 - PURCHASES @ COST-ELECTRONICS</v>
      </c>
      <c r="C137" s="11"/>
      <c r="D137" s="2"/>
      <c r="E137" s="2"/>
      <c r="F137" s="19">
        <f t="shared" si="26"/>
        <v>0</v>
      </c>
      <c r="G137" s="2"/>
      <c r="H137" s="2">
        <v>281.74</v>
      </c>
      <c r="I137" s="2"/>
      <c r="J137" s="19">
        <f t="shared" si="27"/>
        <v>3.7509522165113417E-4</v>
      </c>
      <c r="K137" s="2"/>
      <c r="L137" s="2">
        <f t="shared" si="28"/>
        <v>-281.74</v>
      </c>
      <c r="M137" s="2"/>
      <c r="N137" s="19">
        <f t="shared" si="29"/>
        <v>-1</v>
      </c>
      <c r="O137" s="11"/>
      <c r="P137" s="2"/>
      <c r="Q137" s="2"/>
      <c r="R137" s="19">
        <f t="shared" si="30"/>
        <v>0</v>
      </c>
      <c r="S137" s="2"/>
      <c r="T137" s="2">
        <v>1244.81</v>
      </c>
      <c r="U137" s="2"/>
      <c r="V137" s="19">
        <f t="shared" si="31"/>
        <v>1.9180418281531387E-4</v>
      </c>
      <c r="W137" s="2"/>
      <c r="X137" s="2">
        <f t="shared" si="32"/>
        <v>-1244.81</v>
      </c>
      <c r="Y137" s="2"/>
      <c r="Z137" s="19">
        <f t="shared" si="33"/>
        <v>-1</v>
      </c>
    </row>
    <row r="138" spans="1:26" s="24" customFormat="1" hidden="1" outlineLevel="1" x14ac:dyDescent="0.25">
      <c r="A138" s="44"/>
      <c r="B138" s="11" t="str">
        <f>CONCATENATE("          ", "5082", " - ", "PURCHASES @ COST-COMPUTER HARD")</f>
        <v xml:space="preserve">          5082 - PURCHASES @ COST-COMPUTER HARD</v>
      </c>
      <c r="C138" s="11"/>
      <c r="D138" s="2"/>
      <c r="E138" s="2"/>
      <c r="F138" s="19">
        <f t="shared" si="26"/>
        <v>0</v>
      </c>
      <c r="G138" s="2"/>
      <c r="H138" s="2">
        <v>95</v>
      </c>
      <c r="I138" s="2"/>
      <c r="J138" s="19">
        <f t="shared" si="27"/>
        <v>1.2647847681144936E-4</v>
      </c>
      <c r="K138" s="2"/>
      <c r="L138" s="2">
        <f t="shared" si="28"/>
        <v>-95</v>
      </c>
      <c r="M138" s="2"/>
      <c r="N138" s="19">
        <f t="shared" si="29"/>
        <v>-1</v>
      </c>
      <c r="O138" s="11"/>
      <c r="P138" s="2"/>
      <c r="Q138" s="2"/>
      <c r="R138" s="19">
        <f t="shared" si="30"/>
        <v>0</v>
      </c>
      <c r="S138" s="2"/>
      <c r="T138" s="2">
        <v>244.6</v>
      </c>
      <c r="U138" s="2"/>
      <c r="V138" s="19">
        <f t="shared" si="31"/>
        <v>3.7688726084001391E-5</v>
      </c>
      <c r="W138" s="2"/>
      <c r="X138" s="2">
        <f t="shared" si="32"/>
        <v>-244.6</v>
      </c>
      <c r="Y138" s="2"/>
      <c r="Z138" s="19">
        <f t="shared" si="33"/>
        <v>-1</v>
      </c>
    </row>
    <row r="139" spans="1:26" s="24" customFormat="1" hidden="1" outlineLevel="1" x14ac:dyDescent="0.25">
      <c r="A139" s="44"/>
      <c r="B139" s="11" t="str">
        <f>CONCATENATE("          ", "5083", " - ", "PURCHASES @ COST-COMPUTER EQUI")</f>
        <v xml:space="preserve">          5083 - PURCHASES @ COST-COMPUTER EQUI</v>
      </c>
      <c r="C139" s="11"/>
      <c r="D139" s="2"/>
      <c r="E139" s="2"/>
      <c r="F139" s="19">
        <f t="shared" si="26"/>
        <v>0</v>
      </c>
      <c r="G139" s="2"/>
      <c r="H139" s="2"/>
      <c r="I139" s="2"/>
      <c r="J139" s="19">
        <f t="shared" si="27"/>
        <v>0</v>
      </c>
      <c r="K139" s="2"/>
      <c r="L139" s="2">
        <f t="shared" si="28"/>
        <v>0</v>
      </c>
      <c r="M139" s="2"/>
      <c r="N139" s="19">
        <f t="shared" si="29"/>
        <v>0</v>
      </c>
      <c r="O139" s="11"/>
      <c r="P139" s="2"/>
      <c r="Q139" s="2"/>
      <c r="R139" s="19">
        <f t="shared" si="30"/>
        <v>0</v>
      </c>
      <c r="S139" s="2"/>
      <c r="T139" s="2">
        <v>232.15</v>
      </c>
      <c r="U139" s="2"/>
      <c r="V139" s="19">
        <f t="shared" si="31"/>
        <v>3.5770391497959619E-5</v>
      </c>
      <c r="W139" s="2"/>
      <c r="X139" s="2">
        <f t="shared" si="32"/>
        <v>-232.15</v>
      </c>
      <c r="Y139" s="2"/>
      <c r="Z139" s="19">
        <f t="shared" si="33"/>
        <v>-1</v>
      </c>
    </row>
    <row r="140" spans="1:26" s="24" customFormat="1" hidden="1" outlineLevel="1" x14ac:dyDescent="0.25">
      <c r="A140" s="44"/>
      <c r="B140" s="11" t="str">
        <f>CONCATENATE("          ", "5086", " - ", "PURCHASES @ COST-COMPUTER SUPP")</f>
        <v xml:space="preserve">          5086 - PURCHASES @ COST-COMPUTER SUPP</v>
      </c>
      <c r="C140" s="11"/>
      <c r="D140" s="2"/>
      <c r="E140" s="2"/>
      <c r="F140" s="19">
        <f t="shared" si="26"/>
        <v>0</v>
      </c>
      <c r="G140" s="2"/>
      <c r="H140" s="2">
        <v>87</v>
      </c>
      <c r="I140" s="2"/>
      <c r="J140" s="19">
        <f t="shared" si="27"/>
        <v>1.1582765771153783E-4</v>
      </c>
      <c r="K140" s="2"/>
      <c r="L140" s="2">
        <f t="shared" si="28"/>
        <v>-87</v>
      </c>
      <c r="M140" s="2"/>
      <c r="N140" s="19">
        <f t="shared" si="29"/>
        <v>-1</v>
      </c>
      <c r="O140" s="11"/>
      <c r="P140" s="2"/>
      <c r="Q140" s="2"/>
      <c r="R140" s="19">
        <f t="shared" si="30"/>
        <v>0</v>
      </c>
      <c r="S140" s="2"/>
      <c r="T140" s="2">
        <v>228</v>
      </c>
      <c r="U140" s="2"/>
      <c r="V140" s="19">
        <f t="shared" si="31"/>
        <v>3.5130946635945695E-5</v>
      </c>
      <c r="W140" s="2"/>
      <c r="X140" s="2">
        <f t="shared" si="32"/>
        <v>-228</v>
      </c>
      <c r="Y140" s="2"/>
      <c r="Z140" s="19">
        <f t="shared" si="33"/>
        <v>-1</v>
      </c>
    </row>
    <row r="141" spans="1:26" s="24" customFormat="1" hidden="1" outlineLevel="1" x14ac:dyDescent="0.25">
      <c r="A141" s="44"/>
      <c r="B141" s="11" t="str">
        <f>CONCATENATE("          ", "5092", " - ", "PURCHASES @ COST-GRAD MERCH")</f>
        <v xml:space="preserve">          5092 - PURCHASES @ COST-GRAD MERCH</v>
      </c>
      <c r="C141" s="11"/>
      <c r="D141" s="2"/>
      <c r="E141" s="2"/>
      <c r="F141" s="19">
        <f t="shared" si="26"/>
        <v>0</v>
      </c>
      <c r="G141" s="2"/>
      <c r="H141" s="2">
        <v>628</v>
      </c>
      <c r="I141" s="2"/>
      <c r="J141" s="19">
        <f t="shared" si="27"/>
        <v>8.3608929934305472E-4</v>
      </c>
      <c r="K141" s="2"/>
      <c r="L141" s="2">
        <f t="shared" si="28"/>
        <v>-628</v>
      </c>
      <c r="M141" s="2"/>
      <c r="N141" s="19">
        <f t="shared" si="29"/>
        <v>-1</v>
      </c>
      <c r="O141" s="11"/>
      <c r="P141" s="2"/>
      <c r="Q141" s="2"/>
      <c r="R141" s="19">
        <f t="shared" si="30"/>
        <v>0</v>
      </c>
      <c r="S141" s="2"/>
      <c r="T141" s="2">
        <v>1924.14</v>
      </c>
      <c r="U141" s="2"/>
      <c r="V141" s="19">
        <f t="shared" si="31"/>
        <v>2.964774546495112E-4</v>
      </c>
      <c r="W141" s="2"/>
      <c r="X141" s="2">
        <f t="shared" si="32"/>
        <v>-1924.14</v>
      </c>
      <c r="Y141" s="2"/>
      <c r="Z141" s="19">
        <f t="shared" si="33"/>
        <v>-1</v>
      </c>
    </row>
    <row r="142" spans="1:26" s="24" customFormat="1" hidden="1" outlineLevel="1" x14ac:dyDescent="0.25">
      <c r="A142" s="44"/>
      <c r="B142" s="11" t="str">
        <f>CONCATENATE("          ", "5095", " - ", "PURCHASES @ COST-CUSTOMER SERV")</f>
        <v xml:space="preserve">          5095 - PURCHASES @ COST-CUSTOMER SERV</v>
      </c>
      <c r="C142" s="11"/>
      <c r="D142" s="2"/>
      <c r="E142" s="2"/>
      <c r="F142" s="19">
        <f t="shared" si="26"/>
        <v>0</v>
      </c>
      <c r="G142" s="2"/>
      <c r="H142" s="2"/>
      <c r="I142" s="2"/>
      <c r="J142" s="19">
        <f t="shared" si="27"/>
        <v>0</v>
      </c>
      <c r="K142" s="2"/>
      <c r="L142" s="2">
        <f t="shared" si="28"/>
        <v>0</v>
      </c>
      <c r="M142" s="2"/>
      <c r="N142" s="19">
        <f t="shared" si="29"/>
        <v>0</v>
      </c>
      <c r="O142" s="11"/>
      <c r="P142" s="2"/>
      <c r="Q142" s="2"/>
      <c r="R142" s="19">
        <f t="shared" si="30"/>
        <v>0</v>
      </c>
      <c r="S142" s="2"/>
      <c r="T142" s="2">
        <v>0</v>
      </c>
      <c r="U142" s="2"/>
      <c r="V142" s="19">
        <f t="shared" si="31"/>
        <v>0</v>
      </c>
      <c r="W142" s="2"/>
      <c r="X142" s="2">
        <f t="shared" si="32"/>
        <v>0</v>
      </c>
      <c r="Y142" s="2"/>
      <c r="Z142" s="19">
        <f t="shared" si="33"/>
        <v>0</v>
      </c>
    </row>
    <row r="143" spans="1:26" s="24" customFormat="1" hidden="1" outlineLevel="1" x14ac:dyDescent="0.25">
      <c r="A143" s="44"/>
      <c r="B143" s="11" t="str">
        <f>CONCATENATE("          ", "5200", " - ", "PURCHASES OFFSET")</f>
        <v xml:space="preserve">          5200 - PURCHASES OFFSET</v>
      </c>
      <c r="C143" s="11"/>
      <c r="D143" s="2">
        <v>196761.90999999997</v>
      </c>
      <c r="E143" s="2"/>
      <c r="F143" s="19">
        <f t="shared" si="26"/>
        <v>1.7730665372894541</v>
      </c>
      <c r="G143" s="2"/>
      <c r="H143" s="2">
        <v>114626</v>
      </c>
      <c r="I143" s="2"/>
      <c r="J143" s="19">
        <f t="shared" si="27"/>
        <v>0.15260759876830732</v>
      </c>
      <c r="K143" s="2"/>
      <c r="L143" s="2">
        <f t="shared" si="28"/>
        <v>82135.909999999974</v>
      </c>
      <c r="M143" s="2"/>
      <c r="N143" s="19">
        <f t="shared" si="29"/>
        <v>0.7165556679985341</v>
      </c>
      <c r="O143" s="11"/>
      <c r="P143" s="2">
        <v>-1572395.28</v>
      </c>
      <c r="Q143" s="2"/>
      <c r="R143" s="19">
        <f t="shared" si="30"/>
        <v>-0.63722434164252617</v>
      </c>
      <c r="S143" s="2"/>
      <c r="T143" s="2">
        <v>-2624146</v>
      </c>
      <c r="U143" s="2"/>
      <c r="V143" s="19">
        <f t="shared" si="31"/>
        <v>-0.40433654864443136</v>
      </c>
      <c r="W143" s="2"/>
      <c r="X143" s="2">
        <f t="shared" si="32"/>
        <v>1051750.72</v>
      </c>
      <c r="Y143" s="2"/>
      <c r="Z143" s="19">
        <f t="shared" si="33"/>
        <v>-0.40079733368493975</v>
      </c>
    </row>
    <row r="144" spans="1:26" s="24" customFormat="1" hidden="1" outlineLevel="1" x14ac:dyDescent="0.25">
      <c r="A144" s="44"/>
      <c r="B144" s="11" t="str">
        <f>CONCATENATE("          ", "5300", " - ", "COG$ OFFSET")</f>
        <v xml:space="preserve">          5300 - COG$ OFFSET</v>
      </c>
      <c r="C144" s="11"/>
      <c r="D144" s="2">
        <v>60951.000000000007</v>
      </c>
      <c r="E144" s="2"/>
      <c r="F144" s="19">
        <f t="shared" si="26"/>
        <v>0.54924339021881596</v>
      </c>
      <c r="G144" s="2"/>
      <c r="H144" s="2">
        <v>210505</v>
      </c>
      <c r="I144" s="2"/>
      <c r="J144" s="19">
        <f t="shared" si="27"/>
        <v>0.28025633432835945</v>
      </c>
      <c r="K144" s="2"/>
      <c r="L144" s="2">
        <f t="shared" si="28"/>
        <v>-149554</v>
      </c>
      <c r="M144" s="2"/>
      <c r="N144" s="19">
        <f t="shared" si="29"/>
        <v>-0.71045343341013278</v>
      </c>
      <c r="O144" s="11"/>
      <c r="P144" s="2">
        <v>1256640</v>
      </c>
      <c r="Q144" s="2"/>
      <c r="R144" s="19">
        <f t="shared" si="30"/>
        <v>0.50926227448460926</v>
      </c>
      <c r="S144" s="2"/>
      <c r="T144" s="2">
        <v>2342898</v>
      </c>
      <c r="U144" s="2"/>
      <c r="V144" s="19">
        <f t="shared" si="31"/>
        <v>0.36100098513799955</v>
      </c>
      <c r="W144" s="2"/>
      <c r="X144" s="2">
        <f t="shared" si="32"/>
        <v>-1086258</v>
      </c>
      <c r="Y144" s="2"/>
      <c r="Z144" s="19">
        <f t="shared" si="33"/>
        <v>-0.46363862191183741</v>
      </c>
    </row>
    <row r="145" spans="1:26" s="24" customFormat="1" hidden="1" outlineLevel="1" x14ac:dyDescent="0.25">
      <c r="A145" s="44"/>
      <c r="B145" s="11" t="str">
        <f>CONCATENATE("          ", "5500", " - ", "FREIGHT-IN")</f>
        <v xml:space="preserve">          5500 - FREIGHT-IN</v>
      </c>
      <c r="C145" s="11"/>
      <c r="D145" s="2"/>
      <c r="E145" s="2"/>
      <c r="F145" s="19">
        <f t="shared" si="26"/>
        <v>0</v>
      </c>
      <c r="G145" s="2"/>
      <c r="H145" s="2"/>
      <c r="I145" s="2"/>
      <c r="J145" s="19">
        <f t="shared" si="27"/>
        <v>0</v>
      </c>
      <c r="K145" s="2"/>
      <c r="L145" s="2">
        <f t="shared" si="28"/>
        <v>0</v>
      </c>
      <c r="M145" s="2"/>
      <c r="N145" s="19">
        <f t="shared" si="29"/>
        <v>0</v>
      </c>
      <c r="O145" s="11"/>
      <c r="P145" s="2"/>
      <c r="Q145" s="2"/>
      <c r="R145" s="19">
        <f t="shared" si="30"/>
        <v>0</v>
      </c>
      <c r="S145" s="2"/>
      <c r="T145" s="2">
        <v>35.229999999999997</v>
      </c>
      <c r="U145" s="2"/>
      <c r="V145" s="19">
        <f t="shared" si="31"/>
        <v>5.4283475876507315E-6</v>
      </c>
      <c r="W145" s="2"/>
      <c r="X145" s="2">
        <f t="shared" si="32"/>
        <v>-35.229999999999997</v>
      </c>
      <c r="Y145" s="2"/>
      <c r="Z145" s="19">
        <f t="shared" si="33"/>
        <v>-1</v>
      </c>
    </row>
    <row r="146" spans="1:26" s="24" customFormat="1" hidden="1" outlineLevel="1" x14ac:dyDescent="0.25">
      <c r="A146" s="44"/>
      <c r="B146" s="11" t="str">
        <f>CONCATENATE("          ", "5501", " - ", "FREIGHT-IN-NEW TEXT")</f>
        <v xml:space="preserve">          5501 - FREIGHT-IN-NEW TEXT</v>
      </c>
      <c r="C146" s="11"/>
      <c r="D146" s="2">
        <v>990.19</v>
      </c>
      <c r="E146" s="2"/>
      <c r="F146" s="19">
        <f t="shared" si="26"/>
        <v>8.9228283795305952E-3</v>
      </c>
      <c r="G146" s="2"/>
      <c r="H146" s="2">
        <v>490.07</v>
      </c>
      <c r="I146" s="2"/>
      <c r="J146" s="19">
        <f t="shared" si="27"/>
        <v>6.5245586453670516E-4</v>
      </c>
      <c r="K146" s="2"/>
      <c r="L146" s="2">
        <f t="shared" si="28"/>
        <v>500.12000000000006</v>
      </c>
      <c r="M146" s="2"/>
      <c r="N146" s="19">
        <f t="shared" si="29"/>
        <v>1.020507274470994</v>
      </c>
      <c r="O146" s="11"/>
      <c r="P146" s="2">
        <v>35048.81</v>
      </c>
      <c r="Q146" s="2"/>
      <c r="R146" s="19">
        <f t="shared" si="30"/>
        <v>1.4203778885423764E-2</v>
      </c>
      <c r="S146" s="2"/>
      <c r="T146" s="2">
        <v>34507.550000000003</v>
      </c>
      <c r="U146" s="2"/>
      <c r="V146" s="19">
        <f t="shared" si="31"/>
        <v>5.3170302525755615E-3</v>
      </c>
      <c r="W146" s="2"/>
      <c r="X146" s="2">
        <f t="shared" si="32"/>
        <v>541.25999999999476</v>
      </c>
      <c r="Y146" s="2"/>
      <c r="Z146" s="19">
        <f t="shared" si="33"/>
        <v>1.5685263080108404E-2</v>
      </c>
    </row>
    <row r="147" spans="1:26" s="24" customFormat="1" hidden="1" outlineLevel="1" x14ac:dyDescent="0.25">
      <c r="A147" s="44"/>
      <c r="B147" s="11" t="str">
        <f>CONCATENATE("          ", "5502", " - ", "FREIGHT-IN-USED TEXT")</f>
        <v xml:space="preserve">          5502 - FREIGHT-IN-USED TEXT</v>
      </c>
      <c r="C147" s="11"/>
      <c r="D147" s="2">
        <v>388.37</v>
      </c>
      <c r="E147" s="2"/>
      <c r="F147" s="19">
        <f t="shared" si="26"/>
        <v>3.499690824749086E-3</v>
      </c>
      <c r="G147" s="2"/>
      <c r="H147" s="2">
        <v>237.65</v>
      </c>
      <c r="I147" s="2"/>
      <c r="J147" s="19">
        <f t="shared" si="27"/>
        <v>3.1639589488674676E-4</v>
      </c>
      <c r="K147" s="2"/>
      <c r="L147" s="2">
        <f t="shared" si="28"/>
        <v>150.72</v>
      </c>
      <c r="M147" s="2"/>
      <c r="N147" s="19">
        <f t="shared" si="29"/>
        <v>0.63420997264885337</v>
      </c>
      <c r="O147" s="11"/>
      <c r="P147" s="2">
        <v>11133.09</v>
      </c>
      <c r="Q147" s="2"/>
      <c r="R147" s="19">
        <f t="shared" si="30"/>
        <v>4.5117636995813115E-3</v>
      </c>
      <c r="S147" s="2"/>
      <c r="T147" s="2">
        <v>7090.12</v>
      </c>
      <c r="U147" s="2"/>
      <c r="V147" s="19">
        <f t="shared" si="31"/>
        <v>1.0924676638704005E-3</v>
      </c>
      <c r="W147" s="2"/>
      <c r="X147" s="2">
        <f t="shared" si="32"/>
        <v>4042.9700000000003</v>
      </c>
      <c r="Y147" s="2"/>
      <c r="Z147" s="19">
        <f t="shared" si="33"/>
        <v>0.57022589180437011</v>
      </c>
    </row>
    <row r="148" spans="1:26" s="24" customFormat="1" hidden="1" outlineLevel="1" x14ac:dyDescent="0.25">
      <c r="A148" s="44"/>
      <c r="B148" s="11" t="str">
        <f>CONCATENATE("          ", "5504", " - ", "FREIGHT-IN-DIGITAL TEXT")</f>
        <v xml:space="preserve">          5504 - FREIGHT-IN-DIGITAL TEXT</v>
      </c>
      <c r="C148" s="11"/>
      <c r="D148" s="2"/>
      <c r="E148" s="2"/>
      <c r="F148" s="19">
        <f t="shared" si="26"/>
        <v>0</v>
      </c>
      <c r="G148" s="2"/>
      <c r="H148" s="2">
        <v>5</v>
      </c>
      <c r="I148" s="2"/>
      <c r="J148" s="19">
        <f t="shared" si="27"/>
        <v>6.6567619374447031E-6</v>
      </c>
      <c r="K148" s="2"/>
      <c r="L148" s="2">
        <f t="shared" si="28"/>
        <v>-5</v>
      </c>
      <c r="M148" s="2"/>
      <c r="N148" s="19">
        <f t="shared" si="29"/>
        <v>-1</v>
      </c>
      <c r="O148" s="11"/>
      <c r="P148" s="2">
        <v>21.98</v>
      </c>
      <c r="Q148" s="2"/>
      <c r="R148" s="19">
        <f t="shared" si="30"/>
        <v>8.9075509240289291E-6</v>
      </c>
      <c r="S148" s="2"/>
      <c r="T148" s="2">
        <v>105.97</v>
      </c>
      <c r="U148" s="2"/>
      <c r="V148" s="19">
        <f t="shared" si="31"/>
        <v>1.6328186030750724E-5</v>
      </c>
      <c r="W148" s="2"/>
      <c r="X148" s="2">
        <f t="shared" si="32"/>
        <v>-83.99</v>
      </c>
      <c r="Y148" s="2"/>
      <c r="Z148" s="19">
        <f t="shared" si="33"/>
        <v>-0.79258280645465695</v>
      </c>
    </row>
    <row r="149" spans="1:26" s="24" customFormat="1" hidden="1" outlineLevel="1" x14ac:dyDescent="0.25">
      <c r="A149" s="44"/>
      <c r="B149" s="11" t="str">
        <f>CONCATENATE("          ", "5513", " - ", "FREIGHT-IN-TRADE BOOKS")</f>
        <v xml:space="preserve">          5513 - FREIGHT-IN-TRADE BOOKS</v>
      </c>
      <c r="C149" s="11"/>
      <c r="D149" s="2">
        <v>26.46</v>
      </c>
      <c r="E149" s="2"/>
      <c r="F149" s="19">
        <f t="shared" si="26"/>
        <v>2.3843710694147543E-4</v>
      </c>
      <c r="G149" s="2"/>
      <c r="H149" s="2">
        <v>12.33</v>
      </c>
      <c r="I149" s="2"/>
      <c r="J149" s="19">
        <f t="shared" si="27"/>
        <v>1.6415574937738637E-5</v>
      </c>
      <c r="K149" s="2"/>
      <c r="L149" s="2">
        <f t="shared" si="28"/>
        <v>14.13</v>
      </c>
      <c r="M149" s="2"/>
      <c r="N149" s="19">
        <f t="shared" si="29"/>
        <v>1.1459854014598541</v>
      </c>
      <c r="O149" s="11"/>
      <c r="P149" s="2">
        <v>26.46</v>
      </c>
      <c r="Q149" s="2"/>
      <c r="R149" s="19">
        <f t="shared" si="30"/>
        <v>1.0723102704722723E-5</v>
      </c>
      <c r="S149" s="2"/>
      <c r="T149" s="2">
        <v>12.33</v>
      </c>
      <c r="U149" s="2"/>
      <c r="V149" s="19">
        <f t="shared" si="31"/>
        <v>1.8998446141281159E-6</v>
      </c>
      <c r="W149" s="2"/>
      <c r="X149" s="2">
        <f t="shared" si="32"/>
        <v>14.13</v>
      </c>
      <c r="Y149" s="2"/>
      <c r="Z149" s="19">
        <f t="shared" si="33"/>
        <v>1.1459854014598541</v>
      </c>
    </row>
    <row r="150" spans="1:26" s="24" customFormat="1" hidden="1" outlineLevel="1" x14ac:dyDescent="0.25">
      <c r="A150" s="44"/>
      <c r="B150" s="11" t="str">
        <f>CONCATENATE("          ", "5518", " - ", "FREIGHT-IN-STUDY GUIDES")</f>
        <v xml:space="preserve">          5518 - FREIGHT-IN-STUDY GUIDES</v>
      </c>
      <c r="C150" s="11"/>
      <c r="D150" s="2"/>
      <c r="E150" s="2"/>
      <c r="F150" s="19">
        <f t="shared" si="26"/>
        <v>0</v>
      </c>
      <c r="G150" s="2"/>
      <c r="H150" s="2">
        <v>12.26</v>
      </c>
      <c r="I150" s="2"/>
      <c r="J150" s="19">
        <f t="shared" si="27"/>
        <v>1.6322380270614413E-5</v>
      </c>
      <c r="K150" s="2"/>
      <c r="L150" s="2">
        <f t="shared" si="28"/>
        <v>-12.26</v>
      </c>
      <c r="M150" s="2"/>
      <c r="N150" s="19">
        <f t="shared" si="29"/>
        <v>-1</v>
      </c>
      <c r="O150" s="11"/>
      <c r="P150" s="2"/>
      <c r="Q150" s="2"/>
      <c r="R150" s="19">
        <f t="shared" si="30"/>
        <v>0</v>
      </c>
      <c r="S150" s="2"/>
      <c r="T150" s="2">
        <v>12.26</v>
      </c>
      <c r="U150" s="2"/>
      <c r="V150" s="19">
        <f t="shared" si="31"/>
        <v>1.8890587971784834E-6</v>
      </c>
      <c r="W150" s="2"/>
      <c r="X150" s="2">
        <f t="shared" si="32"/>
        <v>-12.26</v>
      </c>
      <c r="Y150" s="2"/>
      <c r="Z150" s="19">
        <f t="shared" si="33"/>
        <v>-1</v>
      </c>
    </row>
    <row r="151" spans="1:26" s="24" customFormat="1" hidden="1" outlineLevel="1" x14ac:dyDescent="0.25">
      <c r="A151" s="44"/>
      <c r="B151" s="11" t="str">
        <f>CONCATENATE("          ", "5525", " - ", "FREIGHT-IN-TEST FORMS")</f>
        <v xml:space="preserve">          5525 - FREIGHT-IN-TEST FORMS</v>
      </c>
      <c r="C151" s="11"/>
      <c r="D151" s="2"/>
      <c r="E151" s="2"/>
      <c r="F151" s="19">
        <f t="shared" si="26"/>
        <v>0</v>
      </c>
      <c r="G151" s="2"/>
      <c r="H151" s="2">
        <v>335.7</v>
      </c>
      <c r="I151" s="2"/>
      <c r="J151" s="19">
        <f t="shared" si="27"/>
        <v>4.4693499648003739E-4</v>
      </c>
      <c r="K151" s="2"/>
      <c r="L151" s="2">
        <f t="shared" si="28"/>
        <v>-335.7</v>
      </c>
      <c r="M151" s="2"/>
      <c r="N151" s="19">
        <f t="shared" si="29"/>
        <v>-1</v>
      </c>
      <c r="O151" s="11"/>
      <c r="P151" s="2">
        <v>48.14</v>
      </c>
      <c r="Q151" s="2"/>
      <c r="R151" s="19">
        <f t="shared" si="30"/>
        <v>1.9509076500580192E-5</v>
      </c>
      <c r="S151" s="2"/>
      <c r="T151" s="2">
        <v>374.92</v>
      </c>
      <c r="U151" s="2"/>
      <c r="V151" s="19">
        <f t="shared" si="31"/>
        <v>5.7768835582231404E-5</v>
      </c>
      <c r="W151" s="2"/>
      <c r="X151" s="2">
        <f t="shared" si="32"/>
        <v>-326.78000000000003</v>
      </c>
      <c r="Y151" s="2"/>
      <c r="Z151" s="19">
        <f t="shared" si="33"/>
        <v>-0.87159927451189589</v>
      </c>
    </row>
    <row r="152" spans="1:26" s="24" customFormat="1" hidden="1" outlineLevel="1" x14ac:dyDescent="0.25">
      <c r="A152" s="44"/>
      <c r="B152" s="11" t="str">
        <f>CONCATENATE("          ", "5526", " - ", "FREIGHT-IN-WRITING INSTRUMENTS")</f>
        <v xml:space="preserve">          5526 - FREIGHT-IN-WRITING INSTRUMENTS</v>
      </c>
      <c r="C152" s="11"/>
      <c r="D152" s="2"/>
      <c r="E152" s="2"/>
      <c r="F152" s="19">
        <f t="shared" si="26"/>
        <v>0</v>
      </c>
      <c r="G152" s="2"/>
      <c r="H152" s="2">
        <v>160.91999999999999</v>
      </c>
      <c r="I152" s="2"/>
      <c r="J152" s="19">
        <f t="shared" si="27"/>
        <v>2.1424122619472031E-4</v>
      </c>
      <c r="K152" s="2"/>
      <c r="L152" s="2">
        <f t="shared" si="28"/>
        <v>-160.91999999999999</v>
      </c>
      <c r="M152" s="2"/>
      <c r="N152" s="19">
        <f t="shared" si="29"/>
        <v>-1</v>
      </c>
      <c r="O152" s="11"/>
      <c r="P152" s="2"/>
      <c r="Q152" s="2"/>
      <c r="R152" s="19">
        <f t="shared" si="30"/>
        <v>0</v>
      </c>
      <c r="S152" s="2"/>
      <c r="T152" s="2">
        <v>217.49</v>
      </c>
      <c r="U152" s="2"/>
      <c r="V152" s="19">
        <f t="shared" si="31"/>
        <v>3.3511533262508022E-5</v>
      </c>
      <c r="W152" s="2"/>
      <c r="X152" s="2">
        <f t="shared" si="32"/>
        <v>-217.49</v>
      </c>
      <c r="Y152" s="2"/>
      <c r="Z152" s="19">
        <f t="shared" si="33"/>
        <v>-1</v>
      </c>
    </row>
    <row r="153" spans="1:26" s="24" customFormat="1" hidden="1" outlineLevel="1" x14ac:dyDescent="0.25">
      <c r="A153" s="44"/>
      <c r="B153" s="11" t="str">
        <f>CONCATENATE("          ", "5527", " - ", "FREIGHT-IN-SCHOOL SUPPLIES")</f>
        <v xml:space="preserve">          5527 - FREIGHT-IN-SCHOOL SUPPLIES</v>
      </c>
      <c r="C153" s="11"/>
      <c r="D153" s="2"/>
      <c r="E153" s="2"/>
      <c r="F153" s="19">
        <f t="shared" si="26"/>
        <v>0</v>
      </c>
      <c r="G153" s="2"/>
      <c r="H153" s="2">
        <v>134.09</v>
      </c>
      <c r="I153" s="2"/>
      <c r="J153" s="19">
        <f t="shared" si="27"/>
        <v>1.7852104163839207E-4</v>
      </c>
      <c r="K153" s="2"/>
      <c r="L153" s="2">
        <f t="shared" si="28"/>
        <v>-134.09</v>
      </c>
      <c r="M153" s="2"/>
      <c r="N153" s="19">
        <f t="shared" si="29"/>
        <v>-1</v>
      </c>
      <c r="O153" s="11"/>
      <c r="P153" s="2">
        <v>56</v>
      </c>
      <c r="Q153" s="2"/>
      <c r="R153" s="19">
        <f t="shared" si="30"/>
        <v>2.269439725867243E-5</v>
      </c>
      <c r="S153" s="2"/>
      <c r="T153" s="2">
        <v>872.58</v>
      </c>
      <c r="U153" s="2"/>
      <c r="V153" s="19">
        <f t="shared" si="31"/>
        <v>1.344498307701469E-4</v>
      </c>
      <c r="W153" s="2"/>
      <c r="X153" s="2">
        <f t="shared" si="32"/>
        <v>-816.58</v>
      </c>
      <c r="Y153" s="2"/>
      <c r="Z153" s="19">
        <f t="shared" si="33"/>
        <v>-0.93582250338077888</v>
      </c>
    </row>
    <row r="154" spans="1:26" s="24" customFormat="1" hidden="1" outlineLevel="1" x14ac:dyDescent="0.25">
      <c r="A154" s="44"/>
      <c r="B154" s="11" t="str">
        <f>CONCATENATE("          ", "5528", " - ", "FREIGHT-IN-ART/TECH")</f>
        <v xml:space="preserve">          5528 - FREIGHT-IN-ART/TECH</v>
      </c>
      <c r="C154" s="11"/>
      <c r="D154" s="2">
        <v>1.72</v>
      </c>
      <c r="E154" s="2"/>
      <c r="F154" s="19">
        <f t="shared" si="26"/>
        <v>1.5499313074049045E-5</v>
      </c>
      <c r="G154" s="2"/>
      <c r="H154" s="2">
        <v>105.06</v>
      </c>
      <c r="I154" s="2"/>
      <c r="J154" s="19">
        <f t="shared" si="27"/>
        <v>1.398718818295881E-4</v>
      </c>
      <c r="K154" s="2"/>
      <c r="L154" s="2">
        <f t="shared" si="28"/>
        <v>-103.34</v>
      </c>
      <c r="M154" s="2"/>
      <c r="N154" s="19">
        <f t="shared" si="29"/>
        <v>-0.98362840281743769</v>
      </c>
      <c r="O154" s="11"/>
      <c r="P154" s="2">
        <v>285.92</v>
      </c>
      <c r="Q154" s="2"/>
      <c r="R154" s="19">
        <f t="shared" si="30"/>
        <v>1.1587110828927895E-4</v>
      </c>
      <c r="S154" s="2"/>
      <c r="T154" s="2">
        <v>923.5</v>
      </c>
      <c r="U154" s="2"/>
      <c r="V154" s="19">
        <f t="shared" si="31"/>
        <v>1.4229574218550811E-4</v>
      </c>
      <c r="W154" s="2"/>
      <c r="X154" s="2">
        <f t="shared" si="32"/>
        <v>-637.57999999999993</v>
      </c>
      <c r="Y154" s="2"/>
      <c r="Z154" s="19">
        <f t="shared" si="33"/>
        <v>-0.69039523551705462</v>
      </c>
    </row>
    <row r="155" spans="1:26" s="24" customFormat="1" hidden="1" outlineLevel="1" x14ac:dyDescent="0.25">
      <c r="A155" s="44"/>
      <c r="B155" s="11" t="str">
        <f>CONCATENATE("          ", "5540", " - ", "FREIGHT-IN-LOGO CLOTHING")</f>
        <v xml:space="preserve">          5540 - FREIGHT-IN-LOGO CLOTHING</v>
      </c>
      <c r="C155" s="11"/>
      <c r="D155" s="2">
        <v>1333.15</v>
      </c>
      <c r="E155" s="2"/>
      <c r="F155" s="19">
        <f t="shared" si="26"/>
        <v>1.2013319316667725E-2</v>
      </c>
      <c r="G155" s="2"/>
      <c r="H155" s="2">
        <v>6133.89</v>
      </c>
      <c r="I155" s="2"/>
      <c r="J155" s="19">
        <f t="shared" si="27"/>
        <v>8.1663690960945383E-3</v>
      </c>
      <c r="K155" s="2"/>
      <c r="L155" s="2">
        <f t="shared" si="28"/>
        <v>-4800.74</v>
      </c>
      <c r="M155" s="2"/>
      <c r="N155" s="19">
        <f t="shared" si="29"/>
        <v>-0.78265831307701961</v>
      </c>
      <c r="O155" s="11"/>
      <c r="P155" s="2">
        <v>4535.4799999999996</v>
      </c>
      <c r="Q155" s="2"/>
      <c r="R155" s="19">
        <f t="shared" si="30"/>
        <v>1.8380354442636361E-3</v>
      </c>
      <c r="S155" s="2"/>
      <c r="T155" s="2">
        <v>20241.329999999998</v>
      </c>
      <c r="U155" s="2"/>
      <c r="V155" s="19">
        <f t="shared" si="31"/>
        <v>3.1188468599586253E-3</v>
      </c>
      <c r="W155" s="2"/>
      <c r="X155" s="2">
        <f t="shared" si="32"/>
        <v>-15705.849999999999</v>
      </c>
      <c r="Y155" s="2"/>
      <c r="Z155" s="19">
        <f t="shared" si="33"/>
        <v>-0.77592974374707591</v>
      </c>
    </row>
    <row r="156" spans="1:26" s="24" customFormat="1" hidden="1" outlineLevel="1" x14ac:dyDescent="0.25">
      <c r="A156" s="44"/>
      <c r="B156" s="11" t="str">
        <f>CONCATENATE("          ", "5541", " - ", "FREIGHT-IN-LOGO GIFTS")</f>
        <v xml:space="preserve">          5541 - FREIGHT-IN-LOGO GIFTS</v>
      </c>
      <c r="C156" s="11"/>
      <c r="D156" s="2">
        <v>301.06</v>
      </c>
      <c r="E156" s="2"/>
      <c r="F156" s="19">
        <f t="shared" si="26"/>
        <v>2.7129204616704685E-3</v>
      </c>
      <c r="G156" s="2"/>
      <c r="H156" s="2">
        <v>1315.98</v>
      </c>
      <c r="I156" s="2"/>
      <c r="J156" s="19">
        <f t="shared" si="27"/>
        <v>1.7520331148876962E-3</v>
      </c>
      <c r="K156" s="2"/>
      <c r="L156" s="2">
        <f t="shared" si="28"/>
        <v>-1014.9200000000001</v>
      </c>
      <c r="M156" s="2"/>
      <c r="N156" s="19">
        <f t="shared" si="29"/>
        <v>-0.77122752625419844</v>
      </c>
      <c r="O156" s="11"/>
      <c r="P156" s="2">
        <v>1435.87</v>
      </c>
      <c r="Q156" s="2"/>
      <c r="R156" s="19">
        <f t="shared" si="30"/>
        <v>5.8189650342517821E-4</v>
      </c>
      <c r="S156" s="2"/>
      <c r="T156" s="2">
        <v>2852.83</v>
      </c>
      <c r="U156" s="2"/>
      <c r="V156" s="19">
        <f t="shared" si="31"/>
        <v>4.3957288812028489E-4</v>
      </c>
      <c r="W156" s="2"/>
      <c r="X156" s="2">
        <f t="shared" si="32"/>
        <v>-1416.96</v>
      </c>
      <c r="Y156" s="2"/>
      <c r="Z156" s="19">
        <f t="shared" si="33"/>
        <v>-0.49668574713530078</v>
      </c>
    </row>
    <row r="157" spans="1:26" s="24" customFormat="1" hidden="1" outlineLevel="1" x14ac:dyDescent="0.25">
      <c r="A157" s="44"/>
      <c r="B157" s="11" t="str">
        <f>CONCATENATE("          ", "5542", " - ", "FREIGHT-IN-EVERYDAY GIFTS")</f>
        <v xml:space="preserve">          5542 - FREIGHT-IN-EVERYDAY GIFTS</v>
      </c>
      <c r="C157" s="11"/>
      <c r="D157" s="2">
        <v>21</v>
      </c>
      <c r="E157" s="2"/>
      <c r="F157" s="19">
        <f t="shared" si="26"/>
        <v>1.8923579915990112E-4</v>
      </c>
      <c r="G157" s="2"/>
      <c r="H157" s="2">
        <v>745.78</v>
      </c>
      <c r="I157" s="2"/>
      <c r="J157" s="19">
        <f t="shared" si="27"/>
        <v>9.9289598354150208E-4</v>
      </c>
      <c r="K157" s="2"/>
      <c r="L157" s="2">
        <f t="shared" si="28"/>
        <v>-724.78</v>
      </c>
      <c r="M157" s="2"/>
      <c r="N157" s="19">
        <f t="shared" si="29"/>
        <v>-0.9718415618547025</v>
      </c>
      <c r="O157" s="11"/>
      <c r="P157" s="2">
        <v>196.55</v>
      </c>
      <c r="Q157" s="2"/>
      <c r="R157" s="19">
        <f t="shared" si="30"/>
        <v>7.9653281807001174E-5</v>
      </c>
      <c r="S157" s="2"/>
      <c r="T157" s="2">
        <v>1513.51</v>
      </c>
      <c r="U157" s="2"/>
      <c r="V157" s="19">
        <f t="shared" si="31"/>
        <v>2.3320631159197443E-4</v>
      </c>
      <c r="W157" s="2"/>
      <c r="X157" s="2">
        <f t="shared" si="32"/>
        <v>-1316.96</v>
      </c>
      <c r="Y157" s="2"/>
      <c r="Z157" s="19">
        <f t="shared" si="33"/>
        <v>-0.87013630567356681</v>
      </c>
    </row>
    <row r="158" spans="1:26" s="24" customFormat="1" hidden="1" outlineLevel="1" x14ac:dyDescent="0.25">
      <c r="A158" s="44"/>
      <c r="B158" s="11" t="str">
        <f>CONCATENATE("          ", "5543", " - ", "FREIGHT-IN-CARDS")</f>
        <v xml:space="preserve">          5543 - FREIGHT-IN-CARDS</v>
      </c>
      <c r="C158" s="11"/>
      <c r="D158" s="2">
        <v>6323.12</v>
      </c>
      <c r="E158" s="2"/>
      <c r="F158" s="19">
        <f t="shared" si="26"/>
        <v>5.6979079351616856E-2</v>
      </c>
      <c r="G158" s="2"/>
      <c r="H158" s="2">
        <v>39.01</v>
      </c>
      <c r="I158" s="2"/>
      <c r="J158" s="19">
        <f t="shared" si="27"/>
        <v>5.1936056635943574E-5</v>
      </c>
      <c r="K158" s="2"/>
      <c r="L158" s="2">
        <f t="shared" si="28"/>
        <v>6284.11</v>
      </c>
      <c r="M158" s="2"/>
      <c r="N158" s="19">
        <f t="shared" si="29"/>
        <v>161.08972058446551</v>
      </c>
      <c r="O158" s="11"/>
      <c r="P158" s="2">
        <v>6512.31</v>
      </c>
      <c r="Q158" s="2"/>
      <c r="R158" s="19">
        <f t="shared" si="30"/>
        <v>2.6391598252075901E-3</v>
      </c>
      <c r="S158" s="2"/>
      <c r="T158" s="2">
        <v>43.59</v>
      </c>
      <c r="U158" s="2"/>
      <c r="V158" s="19">
        <f t="shared" si="31"/>
        <v>6.7164822976354082E-6</v>
      </c>
      <c r="W158" s="2"/>
      <c r="X158" s="2">
        <f t="shared" si="32"/>
        <v>6468.72</v>
      </c>
      <c r="Y158" s="2"/>
      <c r="Z158" s="19">
        <f t="shared" si="33"/>
        <v>148.39917412250514</v>
      </c>
    </row>
    <row r="159" spans="1:26" s="24" customFormat="1" hidden="1" outlineLevel="1" x14ac:dyDescent="0.25">
      <c r="A159" s="44"/>
      <c r="B159" s="11" t="str">
        <f>CONCATENATE("          ", "5544", " - ", "FREIGHT-IN-ACCESSORIES")</f>
        <v xml:space="preserve">          5544 - FREIGHT-IN-ACCESSORIES</v>
      </c>
      <c r="C159" s="11"/>
      <c r="D159" s="2"/>
      <c r="E159" s="2"/>
      <c r="F159" s="19">
        <f t="shared" si="26"/>
        <v>0</v>
      </c>
      <c r="G159" s="2"/>
      <c r="H159" s="2">
        <v>54.82</v>
      </c>
      <c r="I159" s="2"/>
      <c r="J159" s="19">
        <f t="shared" si="27"/>
        <v>7.2984737882143724E-5</v>
      </c>
      <c r="K159" s="2"/>
      <c r="L159" s="2">
        <f t="shared" si="28"/>
        <v>-54.82</v>
      </c>
      <c r="M159" s="2"/>
      <c r="N159" s="19">
        <f t="shared" si="29"/>
        <v>-1</v>
      </c>
      <c r="O159" s="11"/>
      <c r="P159" s="2"/>
      <c r="Q159" s="2"/>
      <c r="R159" s="19">
        <f t="shared" si="30"/>
        <v>0</v>
      </c>
      <c r="S159" s="2"/>
      <c r="T159" s="2">
        <v>413.91</v>
      </c>
      <c r="U159" s="2"/>
      <c r="V159" s="19">
        <f t="shared" si="31"/>
        <v>6.3776535623176679E-5</v>
      </c>
      <c r="W159" s="2"/>
      <c r="X159" s="2">
        <f t="shared" si="32"/>
        <v>-413.91</v>
      </c>
      <c r="Y159" s="2"/>
      <c r="Z159" s="19">
        <f t="shared" si="33"/>
        <v>-1</v>
      </c>
    </row>
    <row r="160" spans="1:26" s="24" customFormat="1" hidden="1" outlineLevel="1" x14ac:dyDescent="0.25">
      <c r="A160" s="44"/>
      <c r="B160" s="11" t="str">
        <f>CONCATENATE("          ", "5545", " - ", "FREIGHT-IN-SPECIAL ORDERS")</f>
        <v xml:space="preserve">          5545 - FREIGHT-IN-SPECIAL ORDERS</v>
      </c>
      <c r="C160" s="11"/>
      <c r="D160" s="2">
        <v>37.590000000000003</v>
      </c>
      <c r="E160" s="2"/>
      <c r="F160" s="19">
        <f t="shared" si="26"/>
        <v>3.3873208049622303E-4</v>
      </c>
      <c r="G160" s="2"/>
      <c r="H160" s="2">
        <v>158.08000000000001</v>
      </c>
      <c r="I160" s="2"/>
      <c r="J160" s="19">
        <f t="shared" si="27"/>
        <v>2.1046018541425176E-4</v>
      </c>
      <c r="K160" s="2"/>
      <c r="L160" s="2">
        <f t="shared" si="28"/>
        <v>-120.49000000000001</v>
      </c>
      <c r="M160" s="2"/>
      <c r="N160" s="19">
        <f t="shared" si="29"/>
        <v>-0.76220900809716596</v>
      </c>
      <c r="O160" s="11"/>
      <c r="P160" s="2">
        <v>887.86</v>
      </c>
      <c r="Q160" s="2"/>
      <c r="R160" s="19">
        <f t="shared" si="30"/>
        <v>3.5981156339437328E-4</v>
      </c>
      <c r="S160" s="2"/>
      <c r="T160" s="2">
        <v>505.06</v>
      </c>
      <c r="U160" s="2"/>
      <c r="V160" s="19">
        <f t="shared" si="31"/>
        <v>7.782121012259093E-5</v>
      </c>
      <c r="W160" s="2"/>
      <c r="X160" s="2">
        <f t="shared" si="32"/>
        <v>382.8</v>
      </c>
      <c r="Y160" s="2"/>
      <c r="Z160" s="19">
        <f t="shared" si="33"/>
        <v>0.75792975092068271</v>
      </c>
    </row>
    <row r="161" spans="1:26" s="24" customFormat="1" hidden="1" outlineLevel="1" x14ac:dyDescent="0.25">
      <c r="A161" s="44"/>
      <c r="B161" s="11" t="str">
        <f>CONCATENATE("          ", "5592", " - ", "FREIGHT-IN-GRAD MERCH")</f>
        <v xml:space="preserve">          5592 - FREIGHT-IN-GRAD MERCH</v>
      </c>
      <c r="C161" s="11"/>
      <c r="D161" s="2"/>
      <c r="E161" s="2"/>
      <c r="F161" s="19">
        <f t="shared" si="26"/>
        <v>0</v>
      </c>
      <c r="G161" s="2"/>
      <c r="H161" s="2">
        <v>35</v>
      </c>
      <c r="I161" s="2"/>
      <c r="J161" s="19">
        <f t="shared" si="27"/>
        <v>4.6597333562112923E-5</v>
      </c>
      <c r="K161" s="2"/>
      <c r="L161" s="2">
        <f t="shared" si="28"/>
        <v>-35</v>
      </c>
      <c r="M161" s="2"/>
      <c r="N161" s="19">
        <f t="shared" si="29"/>
        <v>-1</v>
      </c>
      <c r="O161" s="11"/>
      <c r="P161" s="2"/>
      <c r="Q161" s="2"/>
      <c r="R161" s="19">
        <f t="shared" si="30"/>
        <v>0</v>
      </c>
      <c r="S161" s="2"/>
      <c r="T161" s="2">
        <v>105.78</v>
      </c>
      <c r="U161" s="2"/>
      <c r="V161" s="19">
        <f t="shared" si="31"/>
        <v>1.6298910241887437E-5</v>
      </c>
      <c r="W161" s="2"/>
      <c r="X161" s="2">
        <f t="shared" si="32"/>
        <v>-105.78</v>
      </c>
      <c r="Y161" s="2"/>
      <c r="Z161" s="19">
        <f t="shared" si="33"/>
        <v>-1</v>
      </c>
    </row>
    <row r="162" spans="1:26" x14ac:dyDescent="0.25">
      <c r="A162" s="9"/>
      <c r="B162" s="10"/>
      <c r="C162" s="10"/>
      <c r="D162" s="3"/>
      <c r="E162" s="3"/>
      <c r="F162" s="8"/>
      <c r="G162" s="3"/>
      <c r="H162" s="3"/>
      <c r="I162" s="3"/>
      <c r="J162" s="8"/>
      <c r="K162" s="3"/>
      <c r="L162" s="3"/>
      <c r="M162" s="3"/>
      <c r="N162" s="8"/>
      <c r="O162" s="10"/>
      <c r="P162" s="3"/>
      <c r="Q162" s="3"/>
      <c r="R162" s="8"/>
      <c r="S162" s="3"/>
      <c r="T162" s="3"/>
      <c r="U162" s="3"/>
      <c r="V162" s="8"/>
      <c r="W162" s="3"/>
      <c r="X162" s="3"/>
      <c r="Y162" s="3"/>
      <c r="Z162" s="8"/>
    </row>
    <row r="163" spans="1:26" s="23" customFormat="1" x14ac:dyDescent="0.25">
      <c r="A163" s="10"/>
      <c r="B163" s="28" t="s">
        <v>6</v>
      </c>
      <c r="C163" s="28"/>
      <c r="D163" s="20">
        <f>D12-D109</f>
        <v>49628.560000000019</v>
      </c>
      <c r="E163" s="14"/>
      <c r="F163" s="22">
        <f>IF(D$12=0,0,D163/D$12)</f>
        <v>0.44721429584548128</v>
      </c>
      <c r="G163" s="14"/>
      <c r="H163" s="20">
        <f>H12-H109</f>
        <v>394729.27999999985</v>
      </c>
      <c r="I163" s="14"/>
      <c r="J163" s="22">
        <f>IF(H$12=0,0,H163/H$12)</f>
        <v>0.52552376933979039</v>
      </c>
      <c r="K163" s="15"/>
      <c r="L163" s="20">
        <f>+D163-H163</f>
        <v>-345100.71999999986</v>
      </c>
      <c r="M163" s="15"/>
      <c r="N163" s="22">
        <f>IF(H163=0,0,L163/H163)</f>
        <v>-0.8742719060516615</v>
      </c>
      <c r="O163" s="29"/>
      <c r="P163" s="20">
        <f>P12-P109</f>
        <v>856953.01999999979</v>
      </c>
      <c r="Q163" s="14"/>
      <c r="R163" s="22">
        <f>IF(P$12=0,0,P163/P$12)</f>
        <v>0.34728629049819737</v>
      </c>
      <c r="S163" s="14"/>
      <c r="T163" s="20">
        <f>T12-T109</f>
        <v>2784885.9699999965</v>
      </c>
      <c r="U163" s="14"/>
      <c r="V163" s="22">
        <f>IF(T$12=0,0,T163/T$12)</f>
        <v>0.42910386140027956</v>
      </c>
      <c r="W163" s="15"/>
      <c r="X163" s="20">
        <f>+P163-T163</f>
        <v>-1927932.9499999967</v>
      </c>
      <c r="Y163" s="15"/>
      <c r="Z163" s="22">
        <f>IF(T163=0,0,X163/T163)</f>
        <v>-0.69228434153804841</v>
      </c>
    </row>
    <row r="164" spans="1:26" x14ac:dyDescent="0.25">
      <c r="A164" s="9"/>
      <c r="B164" s="10"/>
      <c r="C164" s="9"/>
      <c r="D164" s="1"/>
      <c r="E164" s="1"/>
      <c r="F164" s="5"/>
      <c r="G164" s="1"/>
      <c r="H164" s="1"/>
      <c r="I164" s="1"/>
      <c r="J164" s="5"/>
      <c r="K164" s="1"/>
      <c r="L164" s="1"/>
      <c r="M164" s="1"/>
      <c r="N164" s="5"/>
      <c r="O164" s="37"/>
      <c r="P164" s="1"/>
      <c r="Q164" s="1"/>
      <c r="R164" s="5"/>
      <c r="S164" s="1"/>
      <c r="T164" s="1"/>
      <c r="U164" s="1"/>
      <c r="V164" s="5"/>
      <c r="W164" s="1"/>
      <c r="X164" s="1"/>
      <c r="Y164" s="1"/>
      <c r="Z164" s="5"/>
    </row>
    <row r="165" spans="1:26" s="23" customFormat="1" x14ac:dyDescent="0.25">
      <c r="A165" s="10"/>
      <c r="B165" s="29" t="s">
        <v>9</v>
      </c>
      <c r="C165" s="10"/>
      <c r="D165" s="21">
        <f>SUM(OSRRefD22x_0)</f>
        <v>261303.51</v>
      </c>
      <c r="E165" s="21"/>
      <c r="F165" s="35">
        <f t="shared" ref="F165:F176" si="34">IF(D$12=0,0,D165/D$12)</f>
        <v>2.3546656446732008</v>
      </c>
      <c r="G165" s="21"/>
      <c r="H165" s="21">
        <f>SUM(OSRRefH22x_0)</f>
        <v>474736.25999999995</v>
      </c>
      <c r="I165" s="21"/>
      <c r="J165" s="35">
        <f t="shared" ref="J165:J176" si="35">IF(H$12=0,0,H165/H$12)</f>
        <v>0.63204125317857041</v>
      </c>
      <c r="K165" s="4"/>
      <c r="L165" s="21">
        <f t="shared" ref="L165:L176" si="36">+D165-H165</f>
        <v>-213432.74999999994</v>
      </c>
      <c r="M165" s="4"/>
      <c r="N165" s="35">
        <f t="shared" ref="N165:N176" si="37">IF(H165=0,0,L165/H165)</f>
        <v>-0.44958173197050499</v>
      </c>
      <c r="O165" s="10"/>
      <c r="P165" s="21">
        <f>SUM(OSRRefP22x_0)</f>
        <v>1510379.6199999992</v>
      </c>
      <c r="Q165" s="21"/>
      <c r="R165" s="35">
        <f t="shared" ref="R165:R176" si="38">IF(P$12=0,0,P165/P$12)</f>
        <v>0.61209205549433365</v>
      </c>
      <c r="S165" s="21"/>
      <c r="T165" s="21">
        <f>SUM(OSRRefT22x_0)</f>
        <v>2434936.11</v>
      </c>
      <c r="U165" s="21"/>
      <c r="V165" s="35">
        <f t="shared" ref="V165:V176" si="39">IF(T$12=0,0,T165/T$12)</f>
        <v>0.37518250237871575</v>
      </c>
      <c r="W165" s="4"/>
      <c r="X165" s="21">
        <f t="shared" ref="X165:X176" si="40">+P165-T165</f>
        <v>-924556.49000000069</v>
      </c>
      <c r="Y165" s="4"/>
      <c r="Z165" s="35">
        <f t="shared" ref="Z165:Z176" si="41">IF(T165=0,0,X165/T165)</f>
        <v>-0.37970461984729476</v>
      </c>
    </row>
    <row r="166" spans="1:26" s="26" customFormat="1" outlineLevel="1" collapsed="1" x14ac:dyDescent="0.25">
      <c r="A166" s="27"/>
      <c r="B166" s="13" t="str">
        <f>CONCATENATE("     ","*Benefits                                         ")</f>
        <v xml:space="preserve">     *Benefits                                         </v>
      </c>
      <c r="C166" s="13"/>
      <c r="D166" s="1">
        <f>SUM(OSRRefD22_0x_0)</f>
        <v>48664.140000000007</v>
      </c>
      <c r="E166" s="1"/>
      <c r="F166" s="5">
        <f t="shared" si="34"/>
        <v>0.43852368682520537</v>
      </c>
      <c r="G166" s="1"/>
      <c r="H166" s="1">
        <f>SUM(OSRRefH22_0x_0)</f>
        <v>56989.969999999994</v>
      </c>
      <c r="I166" s="1"/>
      <c r="J166" s="5">
        <f t="shared" si="35"/>
        <v>7.5873732622423098E-2</v>
      </c>
      <c r="K166" s="1"/>
      <c r="L166" s="1">
        <f t="shared" si="36"/>
        <v>-8325.8299999999872</v>
      </c>
      <c r="M166" s="1"/>
      <c r="N166" s="5">
        <f t="shared" si="37"/>
        <v>-0.14609290020682567</v>
      </c>
      <c r="O166" s="13"/>
      <c r="P166" s="1">
        <f>SUM(OSRRefP22_0x_0)</f>
        <v>256939.63999999996</v>
      </c>
      <c r="Q166" s="1"/>
      <c r="R166" s="5">
        <f t="shared" si="38"/>
        <v>0.10412661181536213</v>
      </c>
      <c r="S166" s="1"/>
      <c r="T166" s="1">
        <f>SUM(OSRRefT22_0x_0)</f>
        <v>332991.80000000005</v>
      </c>
      <c r="U166" s="1"/>
      <c r="V166" s="5">
        <f t="shared" si="39"/>
        <v>5.130840857898028E-2</v>
      </c>
      <c r="W166" s="1"/>
      <c r="X166" s="1">
        <f t="shared" si="40"/>
        <v>-76052.160000000091</v>
      </c>
      <c r="Y166" s="1"/>
      <c r="Z166" s="5">
        <f t="shared" si="41"/>
        <v>-0.22839048889492197</v>
      </c>
    </row>
    <row r="167" spans="1:26" s="24" customFormat="1" hidden="1" outlineLevel="2" x14ac:dyDescent="0.25">
      <c r="A167" s="25"/>
      <c r="B167" s="11" t="str">
        <f>CONCATENATE("          ", "6111", " - ", "F.I.C.A.")</f>
        <v xml:space="preserve">          6111 - F.I.C.A.</v>
      </c>
      <c r="C167" s="11"/>
      <c r="D167" s="6">
        <v>6830.29</v>
      </c>
      <c r="E167" s="2"/>
      <c r="F167" s="7">
        <f t="shared" si="34"/>
        <v>6.1549304125899103E-2</v>
      </c>
      <c r="G167" s="2"/>
      <c r="H167" s="6">
        <v>7965.66</v>
      </c>
      <c r="I167" s="2"/>
      <c r="J167" s="7">
        <f t="shared" si="35"/>
        <v>1.0605100458925156E-2</v>
      </c>
      <c r="K167" s="2"/>
      <c r="L167" s="6">
        <f t="shared" si="36"/>
        <v>-1135.3699999999999</v>
      </c>
      <c r="M167" s="2"/>
      <c r="N167" s="7">
        <f t="shared" si="37"/>
        <v>-0.14253307321678302</v>
      </c>
      <c r="O167" s="11"/>
      <c r="P167" s="6">
        <v>52109.88</v>
      </c>
      <c r="Q167" s="2"/>
      <c r="R167" s="7">
        <f t="shared" si="38"/>
        <v>2.1117898532531234E-2</v>
      </c>
      <c r="S167" s="2"/>
      <c r="T167" s="6">
        <v>67008.37000000001</v>
      </c>
      <c r="U167" s="2"/>
      <c r="V167" s="7">
        <f t="shared" si="39"/>
        <v>1.0324857327332038E-2</v>
      </c>
      <c r="W167" s="2"/>
      <c r="X167" s="6">
        <f t="shared" si="40"/>
        <v>-14898.490000000013</v>
      </c>
      <c r="Y167" s="2"/>
      <c r="Z167" s="7">
        <f t="shared" si="41"/>
        <v>-0.22233774676208376</v>
      </c>
    </row>
    <row r="168" spans="1:26" s="24" customFormat="1" hidden="1" outlineLevel="2" x14ac:dyDescent="0.25">
      <c r="A168" s="25"/>
      <c r="B168" s="11" t="str">
        <f>CONCATENATE("          ", "6112", " - ", "COMPENSATION INSURANCE")</f>
        <v xml:space="preserve">          6112 - COMPENSATION INSURANCE</v>
      </c>
      <c r="C168" s="11"/>
      <c r="D168" s="6">
        <v>2948.75</v>
      </c>
      <c r="E168" s="2"/>
      <c r="F168" s="7">
        <f t="shared" si="34"/>
        <v>2.6571860132036117E-2</v>
      </c>
      <c r="G168" s="2"/>
      <c r="H168" s="6">
        <v>3329.25</v>
      </c>
      <c r="I168" s="2"/>
      <c r="J168" s="7">
        <f t="shared" si="35"/>
        <v>4.4324049360475555E-3</v>
      </c>
      <c r="K168" s="2"/>
      <c r="L168" s="6">
        <f t="shared" si="36"/>
        <v>-380.5</v>
      </c>
      <c r="M168" s="2"/>
      <c r="N168" s="7">
        <f t="shared" si="37"/>
        <v>-0.11429000525643913</v>
      </c>
      <c r="O168" s="11"/>
      <c r="P168" s="6">
        <v>13567.33</v>
      </c>
      <c r="Q168" s="2"/>
      <c r="R168" s="7">
        <f t="shared" si="38"/>
        <v>5.4982567278482894E-3</v>
      </c>
      <c r="S168" s="2"/>
      <c r="T168" s="6">
        <v>14445.89</v>
      </c>
      <c r="U168" s="2"/>
      <c r="V168" s="7">
        <f t="shared" si="39"/>
        <v>2.2258675030646558E-3</v>
      </c>
      <c r="W168" s="2"/>
      <c r="X168" s="6">
        <f t="shared" si="40"/>
        <v>-878.55999999999949</v>
      </c>
      <c r="Y168" s="2"/>
      <c r="Z168" s="7">
        <f t="shared" si="41"/>
        <v>-6.081729820731014E-2</v>
      </c>
    </row>
    <row r="169" spans="1:26" s="24" customFormat="1" hidden="1" outlineLevel="2" x14ac:dyDescent="0.25">
      <c r="A169" s="25"/>
      <c r="B169" s="11" t="str">
        <f>CONCATENATE("          ", "6113", " - ", "GROUP INSURANCE")</f>
        <v xml:space="preserve">          6113 - GROUP INSURANCE</v>
      </c>
      <c r="C169" s="11"/>
      <c r="D169" s="6">
        <v>17506.16</v>
      </c>
      <c r="E169" s="2"/>
      <c r="F169" s="7">
        <f t="shared" si="34"/>
        <v>0.15775200846767118</v>
      </c>
      <c r="G169" s="2"/>
      <c r="H169" s="6">
        <v>25060.9</v>
      </c>
      <c r="I169" s="2"/>
      <c r="J169" s="7">
        <f t="shared" si="35"/>
        <v>3.3364889047621596E-2</v>
      </c>
      <c r="K169" s="2"/>
      <c r="L169" s="6">
        <f t="shared" si="36"/>
        <v>-7554.7400000000016</v>
      </c>
      <c r="M169" s="2"/>
      <c r="N169" s="7">
        <f t="shared" si="37"/>
        <v>-0.30145525499882292</v>
      </c>
      <c r="O169" s="11"/>
      <c r="P169" s="6">
        <v>88827.76</v>
      </c>
      <c r="Q169" s="2"/>
      <c r="R169" s="7">
        <f t="shared" si="38"/>
        <v>3.5998079875678789E-2</v>
      </c>
      <c r="S169" s="2"/>
      <c r="T169" s="6">
        <v>126610.83</v>
      </c>
      <c r="U169" s="2"/>
      <c r="V169" s="7">
        <f t="shared" si="39"/>
        <v>1.9508589088871896E-2</v>
      </c>
      <c r="W169" s="2"/>
      <c r="X169" s="6">
        <f t="shared" si="40"/>
        <v>-37783.070000000007</v>
      </c>
      <c r="Y169" s="2"/>
      <c r="Z169" s="7">
        <f t="shared" si="41"/>
        <v>-0.29841894251858236</v>
      </c>
    </row>
    <row r="170" spans="1:26" s="24" customFormat="1" hidden="1" outlineLevel="2" x14ac:dyDescent="0.25">
      <c r="A170" s="25"/>
      <c r="B170" s="11" t="str">
        <f>CONCATENATE("          ", "6114", " - ", "STATE UNEMPLOYMENT INSURANCE")</f>
        <v xml:space="preserve">          6114 - STATE UNEMPLOYMENT INSURANCE</v>
      </c>
      <c r="C170" s="11"/>
      <c r="D170" s="6">
        <v>549.53</v>
      </c>
      <c r="E170" s="2"/>
      <c r="F170" s="7">
        <f t="shared" si="34"/>
        <v>4.9519404148733554E-3</v>
      </c>
      <c r="G170" s="2"/>
      <c r="H170" s="6">
        <v>553.22</v>
      </c>
      <c r="I170" s="2"/>
      <c r="J170" s="7">
        <f t="shared" si="35"/>
        <v>7.3653076780663175E-4</v>
      </c>
      <c r="K170" s="2"/>
      <c r="L170" s="6">
        <f t="shared" si="36"/>
        <v>-3.6900000000000546</v>
      </c>
      <c r="M170" s="2"/>
      <c r="N170" s="7">
        <f t="shared" si="37"/>
        <v>-6.6700408517408162E-3</v>
      </c>
      <c r="O170" s="11"/>
      <c r="P170" s="6">
        <v>2080.42</v>
      </c>
      <c r="Q170" s="2"/>
      <c r="R170" s="7">
        <f t="shared" si="38"/>
        <v>8.4310496330155887E-4</v>
      </c>
      <c r="S170" s="2"/>
      <c r="T170" s="6">
        <v>3090.35</v>
      </c>
      <c r="U170" s="2"/>
      <c r="V170" s="7">
        <f t="shared" si="39"/>
        <v>4.7617070586138062E-4</v>
      </c>
      <c r="W170" s="2"/>
      <c r="X170" s="6">
        <f t="shared" si="40"/>
        <v>-1009.9299999999998</v>
      </c>
      <c r="Y170" s="2"/>
      <c r="Z170" s="7">
        <f t="shared" si="41"/>
        <v>-0.32680117138835402</v>
      </c>
    </row>
    <row r="171" spans="1:26" s="24" customFormat="1" hidden="1" outlineLevel="2" x14ac:dyDescent="0.25">
      <c r="A171" s="25"/>
      <c r="B171" s="11" t="str">
        <f>CONCATENATE("          ", "6115", " - ", "P.E.R.S.")</f>
        <v xml:space="preserve">          6115 - P.E.R.S.</v>
      </c>
      <c r="C171" s="11"/>
      <c r="D171" s="6">
        <v>9608.6200000000008</v>
      </c>
      <c r="E171" s="2"/>
      <c r="F171" s="7">
        <f t="shared" si="34"/>
        <v>8.6585470691609975E-2</v>
      </c>
      <c r="G171" s="2"/>
      <c r="H171" s="6">
        <v>7679.33</v>
      </c>
      <c r="I171" s="2"/>
      <c r="J171" s="7">
        <f t="shared" si="35"/>
        <v>1.0223894329815447E-2</v>
      </c>
      <c r="K171" s="2"/>
      <c r="L171" s="6">
        <f t="shared" si="36"/>
        <v>1929.2900000000009</v>
      </c>
      <c r="M171" s="2"/>
      <c r="N171" s="7">
        <f t="shared" si="37"/>
        <v>0.25123155275264913</v>
      </c>
      <c r="O171" s="11"/>
      <c r="P171" s="6">
        <v>39086.75</v>
      </c>
      <c r="Q171" s="2"/>
      <c r="R171" s="7">
        <f t="shared" si="38"/>
        <v>1.5840182715185974E-2</v>
      </c>
      <c r="S171" s="2"/>
      <c r="T171" s="6">
        <v>44110.34</v>
      </c>
      <c r="U171" s="2"/>
      <c r="V171" s="7">
        <f t="shared" si="39"/>
        <v>6.7966578975150035E-3</v>
      </c>
      <c r="W171" s="2"/>
      <c r="X171" s="6">
        <f t="shared" si="40"/>
        <v>-5023.5899999999965</v>
      </c>
      <c r="Y171" s="2"/>
      <c r="Z171" s="7">
        <f t="shared" si="41"/>
        <v>-0.11388690270807246</v>
      </c>
    </row>
    <row r="172" spans="1:26" s="24" customFormat="1" hidden="1" outlineLevel="2" x14ac:dyDescent="0.25">
      <c r="A172" s="25"/>
      <c r="B172" s="11" t="str">
        <f>CONCATENATE("          ", "6116", " - ", "EDUCATIONAL BENEFITS")</f>
        <v xml:space="preserve">          6116 - EDUCATIONAL BENEFITS</v>
      </c>
      <c r="C172" s="11"/>
      <c r="D172" s="6"/>
      <c r="E172" s="2"/>
      <c r="F172" s="7">
        <f t="shared" si="34"/>
        <v>0</v>
      </c>
      <c r="G172" s="2"/>
      <c r="H172" s="6"/>
      <c r="I172" s="2"/>
      <c r="J172" s="7">
        <f t="shared" si="35"/>
        <v>0</v>
      </c>
      <c r="K172" s="2"/>
      <c r="L172" s="6">
        <f t="shared" si="36"/>
        <v>0</v>
      </c>
      <c r="M172" s="2"/>
      <c r="N172" s="7">
        <f t="shared" si="37"/>
        <v>0</v>
      </c>
      <c r="O172" s="11"/>
      <c r="P172" s="6">
        <v>0</v>
      </c>
      <c r="Q172" s="2"/>
      <c r="R172" s="7">
        <f t="shared" si="38"/>
        <v>0</v>
      </c>
      <c r="S172" s="2"/>
      <c r="T172" s="6"/>
      <c r="U172" s="2"/>
      <c r="V172" s="7">
        <f t="shared" si="39"/>
        <v>0</v>
      </c>
      <c r="W172" s="2"/>
      <c r="X172" s="6">
        <f t="shared" si="40"/>
        <v>0</v>
      </c>
      <c r="Y172" s="2"/>
      <c r="Z172" s="7">
        <f t="shared" si="41"/>
        <v>0</v>
      </c>
    </row>
    <row r="173" spans="1:26" s="24" customFormat="1" hidden="1" outlineLevel="2" x14ac:dyDescent="0.25">
      <c r="A173" s="25"/>
      <c r="B173" s="11" t="str">
        <f>CONCATENATE("          ", "6117", " - ", "RETIREMENT STAFF HOURLY")</f>
        <v xml:space="preserve">          6117 - RETIREMENT STAFF HOURLY</v>
      </c>
      <c r="C173" s="11"/>
      <c r="D173" s="6">
        <v>232.91</v>
      </c>
      <c r="E173" s="2"/>
      <c r="F173" s="7">
        <f t="shared" si="34"/>
        <v>2.0988052372539318E-3</v>
      </c>
      <c r="G173" s="2"/>
      <c r="H173" s="6">
        <v>93.57</v>
      </c>
      <c r="I173" s="2"/>
      <c r="J173" s="7">
        <f t="shared" si="35"/>
        <v>1.2457464289734017E-4</v>
      </c>
      <c r="K173" s="2"/>
      <c r="L173" s="6">
        <f t="shared" si="36"/>
        <v>139.34</v>
      </c>
      <c r="M173" s="2"/>
      <c r="N173" s="7">
        <f t="shared" si="37"/>
        <v>1.4891525061451321</v>
      </c>
      <c r="O173" s="11"/>
      <c r="P173" s="6">
        <v>1293.6500000000001</v>
      </c>
      <c r="Q173" s="2"/>
      <c r="R173" s="7">
        <f t="shared" si="38"/>
        <v>5.2426083953002842E-4</v>
      </c>
      <c r="S173" s="2"/>
      <c r="T173" s="6">
        <v>646.20000000000005</v>
      </c>
      <c r="U173" s="2"/>
      <c r="V173" s="7">
        <f t="shared" si="39"/>
        <v>9.9568498755035569E-5</v>
      </c>
      <c r="W173" s="2"/>
      <c r="X173" s="6">
        <f t="shared" si="40"/>
        <v>647.45000000000005</v>
      </c>
      <c r="Y173" s="2"/>
      <c r="Z173" s="7">
        <f t="shared" si="41"/>
        <v>1.001934385639121</v>
      </c>
    </row>
    <row r="174" spans="1:26" s="24" customFormat="1" hidden="1" outlineLevel="2" x14ac:dyDescent="0.25">
      <c r="A174" s="25"/>
      <c r="B174" s="11" t="str">
        <f>CONCATENATE("          ", "6118", " - ", "VACATION")</f>
        <v xml:space="preserve">          6118 - VACATION</v>
      </c>
      <c r="C174" s="11"/>
      <c r="D174" s="6">
        <v>5484.99</v>
      </c>
      <c r="E174" s="2"/>
      <c r="F174" s="7">
        <f t="shared" si="34"/>
        <v>4.9426498382574575E-2</v>
      </c>
      <c r="G174" s="2"/>
      <c r="H174" s="6">
        <v>6634.53</v>
      </c>
      <c r="I174" s="2"/>
      <c r="J174" s="7">
        <f t="shared" si="35"/>
        <v>8.8328973553670007E-3</v>
      </c>
      <c r="K174" s="2"/>
      <c r="L174" s="6">
        <f t="shared" si="36"/>
        <v>-1149.54</v>
      </c>
      <c r="M174" s="2"/>
      <c r="N174" s="7">
        <f t="shared" si="37"/>
        <v>-0.17326622986104517</v>
      </c>
      <c r="O174" s="11"/>
      <c r="P174" s="6">
        <v>29821.31</v>
      </c>
      <c r="Q174" s="2"/>
      <c r="R174" s="7">
        <f t="shared" si="38"/>
        <v>1.2085297427036084E-2</v>
      </c>
      <c r="S174" s="2"/>
      <c r="T174" s="6">
        <v>36397.81</v>
      </c>
      <c r="U174" s="2"/>
      <c r="V174" s="7">
        <f t="shared" si="39"/>
        <v>5.6082873718214495E-3</v>
      </c>
      <c r="W174" s="2"/>
      <c r="X174" s="6">
        <f t="shared" si="40"/>
        <v>-6576.4999999999964</v>
      </c>
      <c r="Y174" s="2"/>
      <c r="Z174" s="7">
        <f t="shared" si="41"/>
        <v>-0.18068394774300972</v>
      </c>
    </row>
    <row r="175" spans="1:26" s="24" customFormat="1" hidden="1" outlineLevel="2" x14ac:dyDescent="0.25">
      <c r="A175" s="25"/>
      <c r="B175" s="11" t="str">
        <f>CONCATENATE("          ", "6119", " - ", "SICK LEAVE")</f>
        <v xml:space="preserve">          6119 - SICK LEAVE</v>
      </c>
      <c r="C175" s="11"/>
      <c r="D175" s="6">
        <v>3953.98</v>
      </c>
      <c r="E175" s="2"/>
      <c r="F175" s="7">
        <f t="shared" si="34"/>
        <v>3.5630217388679331E-2</v>
      </c>
      <c r="G175" s="2"/>
      <c r="H175" s="6">
        <v>3271.27</v>
      </c>
      <c r="I175" s="2"/>
      <c r="J175" s="7">
        <f t="shared" si="35"/>
        <v>4.3552131246209474E-3</v>
      </c>
      <c r="K175" s="2"/>
      <c r="L175" s="6">
        <f t="shared" si="36"/>
        <v>682.71</v>
      </c>
      <c r="M175" s="2"/>
      <c r="N175" s="7">
        <f t="shared" si="37"/>
        <v>0.20869876225441497</v>
      </c>
      <c r="O175" s="11"/>
      <c r="P175" s="6">
        <v>21796.3</v>
      </c>
      <c r="Q175" s="2"/>
      <c r="R175" s="7">
        <f t="shared" si="38"/>
        <v>8.8331051958786041E-3</v>
      </c>
      <c r="S175" s="2"/>
      <c r="T175" s="6">
        <v>27793.58</v>
      </c>
      <c r="U175" s="2"/>
      <c r="V175" s="7">
        <f t="shared" si="39"/>
        <v>4.282520946499507E-3</v>
      </c>
      <c r="W175" s="2"/>
      <c r="X175" s="6">
        <f t="shared" si="40"/>
        <v>-5997.2800000000025</v>
      </c>
      <c r="Y175" s="2"/>
      <c r="Z175" s="7">
        <f t="shared" si="41"/>
        <v>-0.2157793274561968</v>
      </c>
    </row>
    <row r="176" spans="1:26" s="24" customFormat="1" hidden="1" outlineLevel="2" x14ac:dyDescent="0.25">
      <c r="A176" s="25"/>
      <c r="B176" s="11" t="str">
        <f>CONCATENATE("          ", "6156", " - ", "EMPLOYEE MEALS")</f>
        <v xml:space="preserve">          6156 - EMPLOYEE MEALS</v>
      </c>
      <c r="C176" s="11"/>
      <c r="D176" s="6">
        <v>1548.91</v>
      </c>
      <c r="E176" s="2"/>
      <c r="F176" s="7">
        <f t="shared" si="34"/>
        <v>1.3957581984607738E-2</v>
      </c>
      <c r="G176" s="2"/>
      <c r="H176" s="6">
        <v>2402.2399999999998</v>
      </c>
      <c r="I176" s="2"/>
      <c r="J176" s="7">
        <f t="shared" si="35"/>
        <v>3.1982279593214327E-3</v>
      </c>
      <c r="K176" s="2"/>
      <c r="L176" s="6">
        <f t="shared" si="36"/>
        <v>-853.3299999999997</v>
      </c>
      <c r="M176" s="2"/>
      <c r="N176" s="7">
        <f t="shared" si="37"/>
        <v>-0.35522262554948703</v>
      </c>
      <c r="O176" s="11"/>
      <c r="P176" s="6">
        <v>8356.24</v>
      </c>
      <c r="Q176" s="2"/>
      <c r="R176" s="7">
        <f t="shared" si="38"/>
        <v>3.3864255383715875E-3</v>
      </c>
      <c r="S176" s="2"/>
      <c r="T176" s="6">
        <v>12888.43</v>
      </c>
      <c r="U176" s="2"/>
      <c r="V176" s="7">
        <f t="shared" si="39"/>
        <v>1.9858892392593053E-3</v>
      </c>
      <c r="W176" s="2"/>
      <c r="X176" s="6">
        <f t="shared" si="40"/>
        <v>-4532.1900000000005</v>
      </c>
      <c r="Y176" s="2"/>
      <c r="Z176" s="7">
        <f t="shared" si="41"/>
        <v>-0.35164795091411449</v>
      </c>
    </row>
    <row r="177" spans="1:26" s="26" customFormat="1" outlineLevel="1" collapsed="1" x14ac:dyDescent="0.25">
      <c r="A177" s="27"/>
      <c r="B177" s="13" t="str">
        <f>CONCATENATE("     ","*Payroll                                          ")</f>
        <v xml:space="preserve">     *Payroll                                          </v>
      </c>
      <c r="C177" s="13"/>
      <c r="D177" s="1">
        <f>SUM(OSRRefD22_1x_0)</f>
        <v>96374.430000000008</v>
      </c>
      <c r="E177" s="1"/>
      <c r="F177" s="5">
        <f t="shared" ref="F177:F184" si="42">IF(D$12=0,0,D177/D$12)</f>
        <v>0.86845201331571198</v>
      </c>
      <c r="G177" s="1"/>
      <c r="H177" s="1">
        <f>SUM(OSRRefH22_1x_0)</f>
        <v>192230.46999999997</v>
      </c>
      <c r="I177" s="1"/>
      <c r="J177" s="5">
        <f t="shared" ref="J177:J184" si="43">IF(H$12=0,0,H177/H$12)</f>
        <v>0.25592649518262117</v>
      </c>
      <c r="K177" s="1"/>
      <c r="L177" s="1">
        <f t="shared" ref="L177:L184" si="44">+D177-H177</f>
        <v>-95856.039999999964</v>
      </c>
      <c r="M177" s="1"/>
      <c r="N177" s="5">
        <f t="shared" ref="N177:N184" si="45">IF(H177=0,0,L177/H177)</f>
        <v>-0.49865164455978273</v>
      </c>
      <c r="O177" s="13"/>
      <c r="P177" s="1">
        <f>SUM(OSRRefP22_1x_0)</f>
        <v>652370.24</v>
      </c>
      <c r="Q177" s="1"/>
      <c r="R177" s="5">
        <f t="shared" ref="R177:R184" si="46">IF(P$12=0,0,P177/P$12)</f>
        <v>0.26437766761241915</v>
      </c>
      <c r="S177" s="1"/>
      <c r="T177" s="1">
        <f>SUM(OSRRefT22_1x_0)</f>
        <v>1163900.44</v>
      </c>
      <c r="U177" s="1"/>
      <c r="V177" s="5">
        <f t="shared" ref="V177:V184" si="47">IF(T$12=0,0,T177/T$12)</f>
        <v>0.17933738704909524</v>
      </c>
      <c r="W177" s="1"/>
      <c r="X177" s="1">
        <f t="shared" ref="X177:X184" si="48">+P177-T177</f>
        <v>-511530.19999999995</v>
      </c>
      <c r="Y177" s="1"/>
      <c r="Z177" s="5">
        <f t="shared" ref="Z177:Z184" si="49">IF(T177=0,0,X177/T177)</f>
        <v>-0.43949652600870226</v>
      </c>
    </row>
    <row r="178" spans="1:26" s="24" customFormat="1" hidden="1" outlineLevel="2" x14ac:dyDescent="0.25">
      <c r="A178" s="25"/>
      <c r="B178" s="11" t="str">
        <f>CONCATENATE("          ", "6001", " - ", "ADMINISTRATIVE SALARIES")</f>
        <v xml:space="preserve">          6001 - ADMINISTRATIVE SALARIES</v>
      </c>
      <c r="C178" s="11"/>
      <c r="D178" s="6">
        <v>3995.45</v>
      </c>
      <c r="E178" s="2"/>
      <c r="F178" s="7">
        <f t="shared" si="42"/>
        <v>3.6003913035877473E-2</v>
      </c>
      <c r="G178" s="2"/>
      <c r="H178" s="6">
        <v>10717.14</v>
      </c>
      <c r="I178" s="2"/>
      <c r="J178" s="7">
        <f t="shared" si="43"/>
        <v>1.4268289926053225E-2</v>
      </c>
      <c r="K178" s="2"/>
      <c r="L178" s="6">
        <f t="shared" si="44"/>
        <v>-6721.69</v>
      </c>
      <c r="M178" s="2"/>
      <c r="N178" s="7">
        <f t="shared" si="45"/>
        <v>-0.62719064974424144</v>
      </c>
      <c r="O178" s="11"/>
      <c r="P178" s="6">
        <v>21137.95</v>
      </c>
      <c r="Q178" s="2"/>
      <c r="R178" s="7">
        <f t="shared" si="46"/>
        <v>8.5663041881063363E-3</v>
      </c>
      <c r="S178" s="2"/>
      <c r="T178" s="6">
        <v>56800.83</v>
      </c>
      <c r="U178" s="2"/>
      <c r="V178" s="7">
        <f t="shared" si="47"/>
        <v>8.7520479281027342E-3</v>
      </c>
      <c r="W178" s="2"/>
      <c r="X178" s="6">
        <f t="shared" si="48"/>
        <v>-35662.880000000005</v>
      </c>
      <c r="Y178" s="2"/>
      <c r="Z178" s="7">
        <f t="shared" si="49"/>
        <v>-0.62785843094194227</v>
      </c>
    </row>
    <row r="179" spans="1:26" s="24" customFormat="1" hidden="1" outlineLevel="2" x14ac:dyDescent="0.25">
      <c r="A179" s="25"/>
      <c r="B179" s="11" t="str">
        <f>CONCATENATE("          ", "6002", " - ", "STAFF SALARIES")</f>
        <v xml:space="preserve">          6002 - STAFF SALARIES</v>
      </c>
      <c r="C179" s="11"/>
      <c r="D179" s="6">
        <v>52152.77</v>
      </c>
      <c r="E179" s="2"/>
      <c r="F179" s="7">
        <f t="shared" si="42"/>
        <v>0.46996052901678648</v>
      </c>
      <c r="G179" s="2"/>
      <c r="H179" s="6">
        <v>67670.909999999989</v>
      </c>
      <c r="I179" s="2"/>
      <c r="J179" s="7">
        <f t="shared" si="43"/>
        <v>9.0093827592049217E-2</v>
      </c>
      <c r="K179" s="2"/>
      <c r="L179" s="6">
        <f t="shared" si="44"/>
        <v>-15518.139999999992</v>
      </c>
      <c r="M179" s="2"/>
      <c r="N179" s="7">
        <f t="shared" si="45"/>
        <v>-0.22931773785811355</v>
      </c>
      <c r="O179" s="11"/>
      <c r="P179" s="6">
        <v>314786.36</v>
      </c>
      <c r="Q179" s="2"/>
      <c r="R179" s="7">
        <f t="shared" si="46"/>
        <v>0.12756940545449058</v>
      </c>
      <c r="S179" s="2"/>
      <c r="T179" s="6">
        <v>383781.85000000003</v>
      </c>
      <c r="U179" s="2"/>
      <c r="V179" s="7">
        <f t="shared" si="47"/>
        <v>5.9134296895589987E-2</v>
      </c>
      <c r="W179" s="2"/>
      <c r="X179" s="6">
        <f t="shared" si="48"/>
        <v>-68995.490000000049</v>
      </c>
      <c r="Y179" s="2"/>
      <c r="Z179" s="7">
        <f t="shared" si="49"/>
        <v>-0.17977788683857782</v>
      </c>
    </row>
    <row r="180" spans="1:26" s="24" customFormat="1" hidden="1" outlineLevel="2" x14ac:dyDescent="0.25">
      <c r="A180" s="25"/>
      <c r="B180" s="11" t="str">
        <f>CONCATENATE("          ", "6004", " - ", "STAFF HOURLY")</f>
        <v xml:space="preserve">          6004 - STAFF HOURLY</v>
      </c>
      <c r="C180" s="11"/>
      <c r="D180" s="6">
        <v>11939.34</v>
      </c>
      <c r="E180" s="2"/>
      <c r="F180" s="7">
        <f t="shared" si="42"/>
        <v>0.10758812125437019</v>
      </c>
      <c r="G180" s="2"/>
      <c r="H180" s="6">
        <v>2163.25</v>
      </c>
      <c r="I180" s="2"/>
      <c r="J180" s="7">
        <f t="shared" si="43"/>
        <v>2.8800480522354508E-3</v>
      </c>
      <c r="K180" s="2"/>
      <c r="L180" s="6">
        <f t="shared" si="44"/>
        <v>9776.09</v>
      </c>
      <c r="M180" s="2"/>
      <c r="N180" s="7">
        <f t="shared" si="45"/>
        <v>4.5191679186409335</v>
      </c>
      <c r="O180" s="11"/>
      <c r="P180" s="6">
        <v>75516.14</v>
      </c>
      <c r="Q180" s="2"/>
      <c r="R180" s="7">
        <f t="shared" si="46"/>
        <v>3.0603451439312916E-2</v>
      </c>
      <c r="S180" s="2"/>
      <c r="T180" s="6">
        <v>12960.05</v>
      </c>
      <c r="U180" s="2"/>
      <c r="V180" s="7">
        <f t="shared" si="47"/>
        <v>1.9969246708297717E-3</v>
      </c>
      <c r="W180" s="2"/>
      <c r="X180" s="6">
        <f t="shared" si="48"/>
        <v>62556.09</v>
      </c>
      <c r="Y180" s="2"/>
      <c r="Z180" s="7">
        <f t="shared" si="49"/>
        <v>4.8268401742277227</v>
      </c>
    </row>
    <row r="181" spans="1:26" s="24" customFormat="1" hidden="1" outlineLevel="2" x14ac:dyDescent="0.25">
      <c r="A181" s="25"/>
      <c r="B181" s="11" t="str">
        <f>CONCATENATE("          ", "6005", " - ", "TEMPORARY WAGES-HOURLY")</f>
        <v xml:space="preserve">          6005 - TEMPORARY WAGES-HOURLY</v>
      </c>
      <c r="C181" s="11"/>
      <c r="D181" s="6">
        <v>7697.23</v>
      </c>
      <c r="E181" s="2"/>
      <c r="F181" s="7">
        <f t="shared" si="42"/>
        <v>6.9361498588931703E-2</v>
      </c>
      <c r="G181" s="2"/>
      <c r="H181" s="6">
        <v>22314.84</v>
      </c>
      <c r="I181" s="2"/>
      <c r="J181" s="7">
        <f t="shared" si="43"/>
        <v>2.9708915510433712E-2</v>
      </c>
      <c r="K181" s="2"/>
      <c r="L181" s="6">
        <f t="shared" si="44"/>
        <v>-14617.61</v>
      </c>
      <c r="M181" s="2"/>
      <c r="N181" s="7">
        <f t="shared" si="45"/>
        <v>-0.65506228142348322</v>
      </c>
      <c r="O181" s="11"/>
      <c r="P181" s="6">
        <v>90198.09</v>
      </c>
      <c r="Q181" s="2"/>
      <c r="R181" s="7">
        <f t="shared" si="46"/>
        <v>3.6553415829169447E-2</v>
      </c>
      <c r="S181" s="2"/>
      <c r="T181" s="6">
        <v>124246.17</v>
      </c>
      <c r="U181" s="2"/>
      <c r="V181" s="7">
        <f t="shared" si="47"/>
        <v>1.9144234947327355E-2</v>
      </c>
      <c r="W181" s="2"/>
      <c r="X181" s="6">
        <f t="shared" si="48"/>
        <v>-34048.080000000002</v>
      </c>
      <c r="Y181" s="2"/>
      <c r="Z181" s="7">
        <f t="shared" si="49"/>
        <v>-0.27403726006202045</v>
      </c>
    </row>
    <row r="182" spans="1:26" s="24" customFormat="1" hidden="1" outlineLevel="2" x14ac:dyDescent="0.25">
      <c r="A182" s="25"/>
      <c r="B182" s="11" t="str">
        <f>CONCATENATE("          ", "6006", " - ", "TEMPORARY PART TIME")</f>
        <v xml:space="preserve">          6006 - TEMPORARY PART TIME</v>
      </c>
      <c r="C182" s="11"/>
      <c r="D182" s="6">
        <v>1048.44</v>
      </c>
      <c r="E182" s="2"/>
      <c r="F182" s="7">
        <f t="shared" si="42"/>
        <v>9.4477324414860356E-3</v>
      </c>
      <c r="G182" s="2"/>
      <c r="H182" s="6">
        <v>3089.98</v>
      </c>
      <c r="I182" s="2"/>
      <c r="J182" s="7">
        <f t="shared" si="43"/>
        <v>4.1138522502930774E-3</v>
      </c>
      <c r="K182" s="2"/>
      <c r="L182" s="6">
        <f t="shared" si="44"/>
        <v>-2041.54</v>
      </c>
      <c r="M182" s="2"/>
      <c r="N182" s="7">
        <f t="shared" si="45"/>
        <v>-0.66069683298921023</v>
      </c>
      <c r="O182" s="11"/>
      <c r="P182" s="6">
        <v>8555.61</v>
      </c>
      <c r="Q182" s="2"/>
      <c r="R182" s="7">
        <f t="shared" si="46"/>
        <v>3.4672216451834006E-3</v>
      </c>
      <c r="S182" s="2"/>
      <c r="T182" s="6">
        <v>28317.05</v>
      </c>
      <c r="U182" s="2"/>
      <c r="V182" s="7">
        <f t="shared" si="47"/>
        <v>4.3631788264798512E-3</v>
      </c>
      <c r="W182" s="2"/>
      <c r="X182" s="6">
        <f t="shared" si="48"/>
        <v>-19761.439999999999</v>
      </c>
      <c r="Y182" s="2"/>
      <c r="Z182" s="7">
        <f t="shared" si="49"/>
        <v>-0.69786365458266308</v>
      </c>
    </row>
    <row r="183" spans="1:26" s="24" customFormat="1" hidden="1" outlineLevel="2" x14ac:dyDescent="0.25">
      <c r="A183" s="25"/>
      <c r="B183" s="11" t="str">
        <f>CONCATENATE("          ", "6007", " - ", "STUDENT HOURLY")</f>
        <v xml:space="preserve">          6007 - STUDENT HOURLY</v>
      </c>
      <c r="C183" s="11"/>
      <c r="D183" s="6">
        <v>18658.63</v>
      </c>
      <c r="E183" s="2"/>
      <c r="F183" s="7">
        <f t="shared" si="42"/>
        <v>0.16813717901328126</v>
      </c>
      <c r="G183" s="2"/>
      <c r="H183" s="6">
        <v>84786.349999999991</v>
      </c>
      <c r="I183" s="2"/>
      <c r="J183" s="7">
        <f t="shared" si="43"/>
        <v>0.11288050949897294</v>
      </c>
      <c r="K183" s="2"/>
      <c r="L183" s="6">
        <f t="shared" si="44"/>
        <v>-66127.719999999987</v>
      </c>
      <c r="M183" s="2"/>
      <c r="N183" s="7">
        <f t="shared" si="45"/>
        <v>-0.77993356241895062</v>
      </c>
      <c r="O183" s="11"/>
      <c r="P183" s="6">
        <v>138328.79999999999</v>
      </c>
      <c r="Q183" s="2"/>
      <c r="R183" s="7">
        <f t="shared" si="46"/>
        <v>5.6058727491347257E-2</v>
      </c>
      <c r="S183" s="2"/>
      <c r="T183" s="6">
        <v>544727.69999999995</v>
      </c>
      <c r="U183" s="2"/>
      <c r="V183" s="7">
        <f t="shared" si="47"/>
        <v>8.3933332279918574E-2</v>
      </c>
      <c r="W183" s="2"/>
      <c r="X183" s="6">
        <f t="shared" si="48"/>
        <v>-406398.89999999997</v>
      </c>
      <c r="Y183" s="2"/>
      <c r="Z183" s="7">
        <f t="shared" si="49"/>
        <v>-0.74605881066815583</v>
      </c>
    </row>
    <row r="184" spans="1:26" s="24" customFormat="1" hidden="1" outlineLevel="2" x14ac:dyDescent="0.25">
      <c r="A184" s="25"/>
      <c r="B184" s="11" t="str">
        <f>CONCATENATE("          ", "6008", " - ", "STUDENT HOURLY-FICA EXEMPT")</f>
        <v xml:space="preserve">          6008 - STUDENT HOURLY-FICA EXEMPT</v>
      </c>
      <c r="C184" s="11"/>
      <c r="D184" s="6">
        <v>882.57</v>
      </c>
      <c r="E184" s="2"/>
      <c r="F184" s="7">
        <f t="shared" si="42"/>
        <v>7.9530399649787604E-3</v>
      </c>
      <c r="G184" s="2"/>
      <c r="H184" s="6">
        <v>1488</v>
      </c>
      <c r="I184" s="2"/>
      <c r="J184" s="7">
        <f t="shared" si="43"/>
        <v>1.9810523525835436E-3</v>
      </c>
      <c r="K184" s="2"/>
      <c r="L184" s="6">
        <f t="shared" si="44"/>
        <v>-605.42999999999995</v>
      </c>
      <c r="M184" s="2"/>
      <c r="N184" s="7">
        <f t="shared" si="45"/>
        <v>-0.40687499999999999</v>
      </c>
      <c r="O184" s="11"/>
      <c r="P184" s="6">
        <v>3847.29</v>
      </c>
      <c r="Q184" s="2"/>
      <c r="R184" s="7">
        <f t="shared" si="46"/>
        <v>1.5591415648092473E-3</v>
      </c>
      <c r="S184" s="2"/>
      <c r="T184" s="6">
        <v>13066.79</v>
      </c>
      <c r="U184" s="2"/>
      <c r="V184" s="7">
        <f t="shared" si="47"/>
        <v>2.0133715008469688E-3</v>
      </c>
      <c r="W184" s="2"/>
      <c r="X184" s="6">
        <f t="shared" si="48"/>
        <v>-9219.5</v>
      </c>
      <c r="Y184" s="2"/>
      <c r="Z184" s="7">
        <f t="shared" si="49"/>
        <v>-0.70556731990029686</v>
      </c>
    </row>
    <row r="185" spans="1:26" s="26" customFormat="1" outlineLevel="1" collapsed="1" x14ac:dyDescent="0.25">
      <c r="A185" s="27"/>
      <c r="B185" s="13" t="str">
        <f>CONCATENATE("     ","Advertising/Promo                                 ")</f>
        <v xml:space="preserve">     Advertising/Promo                                 </v>
      </c>
      <c r="C185" s="13"/>
      <c r="D185" s="1">
        <f>SUM(OSRRefD22_2x_0)</f>
        <v>648.78</v>
      </c>
      <c r="E185" s="1"/>
      <c r="F185" s="5">
        <f t="shared" ref="F185:F189" si="50">IF(D$12=0,0,D185/D$12)</f>
        <v>5.846304846617174E-3</v>
      </c>
      <c r="G185" s="1"/>
      <c r="H185" s="1">
        <f>SUM(OSRRefH22_2x_0)</f>
        <v>15615.710000000001</v>
      </c>
      <c r="I185" s="1"/>
      <c r="J185" s="5">
        <f t="shared" ref="J185:J189" si="51">IF(H$12=0,0,H185/H$12)</f>
        <v>2.0790012790834929E-2</v>
      </c>
      <c r="K185" s="1"/>
      <c r="L185" s="1">
        <f t="shared" ref="L185:L189" si="52">+D185-H185</f>
        <v>-14966.93</v>
      </c>
      <c r="M185" s="1"/>
      <c r="N185" s="5">
        <f t="shared" ref="N185:N189" si="53">IF(H185=0,0,L185/H185)</f>
        <v>-0.95845337804044772</v>
      </c>
      <c r="O185" s="13"/>
      <c r="P185" s="1">
        <f>SUM(OSRRefP22_2x_0)</f>
        <v>14358.53</v>
      </c>
      <c r="Q185" s="1"/>
      <c r="R185" s="5">
        <f t="shared" ref="R185:R189" si="54">IF(P$12=0,0,P185/P$12)</f>
        <v>5.8188961405458185E-3</v>
      </c>
      <c r="S185" s="1"/>
      <c r="T185" s="1">
        <f>SUM(OSRRefT22_2x_0)</f>
        <v>34435.449999999997</v>
      </c>
      <c r="U185" s="1"/>
      <c r="V185" s="5">
        <f t="shared" ref="V185:V189" si="55">IF(T$12=0,0,T185/T$12)</f>
        <v>5.3059208611174391E-3</v>
      </c>
      <c r="W185" s="1"/>
      <c r="X185" s="1">
        <f t="shared" ref="X185:X189" si="56">+P185-T185</f>
        <v>-20076.919999999998</v>
      </c>
      <c r="Y185" s="1"/>
      <c r="Z185" s="5">
        <f t="shared" ref="Z185:Z189" si="57">IF(T185=0,0,X185/T185)</f>
        <v>-0.58303056878884985</v>
      </c>
    </row>
    <row r="186" spans="1:26" s="24" customFormat="1" hidden="1" outlineLevel="2" x14ac:dyDescent="0.25">
      <c r="A186" s="25"/>
      <c r="B186" s="11" t="str">
        <f>CONCATENATE("          ", "6362", " - ", "ADVERTISING EXPENSE")</f>
        <v xml:space="preserve">          6362 - ADVERTISING EXPENSE</v>
      </c>
      <c r="C186" s="11"/>
      <c r="D186" s="6">
        <v>648.78</v>
      </c>
      <c r="E186" s="2"/>
      <c r="F186" s="7">
        <f t="shared" si="50"/>
        <v>5.846304846617174E-3</v>
      </c>
      <c r="G186" s="2"/>
      <c r="H186" s="6">
        <v>15615.710000000001</v>
      </c>
      <c r="I186" s="2"/>
      <c r="J186" s="7">
        <f t="shared" si="51"/>
        <v>2.0790012790834929E-2</v>
      </c>
      <c r="K186" s="2"/>
      <c r="L186" s="6">
        <f t="shared" si="52"/>
        <v>-14966.93</v>
      </c>
      <c r="M186" s="2"/>
      <c r="N186" s="7">
        <f t="shared" si="53"/>
        <v>-0.95845337804044772</v>
      </c>
      <c r="O186" s="11"/>
      <c r="P186" s="6">
        <v>14358.53</v>
      </c>
      <c r="Q186" s="2"/>
      <c r="R186" s="7">
        <f t="shared" si="54"/>
        <v>5.8188961405458185E-3</v>
      </c>
      <c r="S186" s="2"/>
      <c r="T186" s="6">
        <v>34435.449999999997</v>
      </c>
      <c r="U186" s="2"/>
      <c r="V186" s="7">
        <f t="shared" si="55"/>
        <v>5.3059208611174391E-3</v>
      </c>
      <c r="W186" s="2"/>
      <c r="X186" s="6">
        <f t="shared" si="56"/>
        <v>-20076.919999999998</v>
      </c>
      <c r="Y186" s="2"/>
      <c r="Z186" s="7">
        <f t="shared" si="57"/>
        <v>-0.58303056878884985</v>
      </c>
    </row>
    <row r="187" spans="1:26" s="26" customFormat="1" outlineLevel="1" collapsed="1" x14ac:dyDescent="0.25">
      <c r="A187" s="27"/>
      <c r="B187" s="13" t="str">
        <f>CONCATENATE("     ","Bad Debts/Over/Short                              ")</f>
        <v xml:space="preserve">     Bad Debts/Over/Short                              </v>
      </c>
      <c r="C187" s="13"/>
      <c r="D187" s="1">
        <f>SUM(OSRRefD22_3x_0)</f>
        <v>0.74</v>
      </c>
      <c r="E187" s="1"/>
      <c r="F187" s="5">
        <f t="shared" si="50"/>
        <v>6.6683091132536589E-6</v>
      </c>
      <c r="G187" s="1"/>
      <c r="H187" s="1">
        <f>SUM(OSRRefH22_3x_0)</f>
        <v>85.97</v>
      </c>
      <c r="I187" s="1"/>
      <c r="J187" s="5">
        <f t="shared" si="51"/>
        <v>1.1445636475242423E-4</v>
      </c>
      <c r="K187" s="1"/>
      <c r="L187" s="1">
        <f t="shared" si="52"/>
        <v>-85.23</v>
      </c>
      <c r="M187" s="1"/>
      <c r="N187" s="5">
        <f t="shared" si="53"/>
        <v>-0.99139234616726768</v>
      </c>
      <c r="O187" s="13"/>
      <c r="P187" s="1">
        <f>SUM(OSRRefP22_3x_0)</f>
        <v>54.61</v>
      </c>
      <c r="Q187" s="1"/>
      <c r="R187" s="5">
        <f t="shared" si="54"/>
        <v>2.2131089898144666E-5</v>
      </c>
      <c r="S187" s="1"/>
      <c r="T187" s="1">
        <f>SUM(OSRRefT22_3x_0)</f>
        <v>-182.63</v>
      </c>
      <c r="U187" s="1"/>
      <c r="V187" s="5">
        <f t="shared" si="55"/>
        <v>-2.814019642159106E-5</v>
      </c>
      <c r="W187" s="1"/>
      <c r="X187" s="1">
        <f t="shared" si="56"/>
        <v>237.24</v>
      </c>
      <c r="Y187" s="1"/>
      <c r="Z187" s="5">
        <f t="shared" si="57"/>
        <v>-1.2990198762525325</v>
      </c>
    </row>
    <row r="188" spans="1:26" s="24" customFormat="1" hidden="1" outlineLevel="2" x14ac:dyDescent="0.25">
      <c r="A188" s="25"/>
      <c r="B188" s="11" t="str">
        <f>CONCATENATE("          ", "6272", " - ", "CASH (OVER/SHORT)")</f>
        <v xml:space="preserve">          6272 - CASH (OVER/SHORT)</v>
      </c>
      <c r="C188" s="11"/>
      <c r="D188" s="6">
        <v>0.74</v>
      </c>
      <c r="E188" s="2"/>
      <c r="F188" s="7">
        <f t="shared" si="50"/>
        <v>6.6683091132536589E-6</v>
      </c>
      <c r="G188" s="2"/>
      <c r="H188" s="6">
        <v>85.97</v>
      </c>
      <c r="I188" s="2"/>
      <c r="J188" s="7">
        <f t="shared" si="51"/>
        <v>1.1445636475242423E-4</v>
      </c>
      <c r="K188" s="2"/>
      <c r="L188" s="6">
        <f t="shared" si="52"/>
        <v>-85.23</v>
      </c>
      <c r="M188" s="2"/>
      <c r="N188" s="7">
        <f t="shared" si="53"/>
        <v>-0.99139234616726768</v>
      </c>
      <c r="O188" s="11"/>
      <c r="P188" s="6">
        <v>54.61</v>
      </c>
      <c r="Q188" s="2"/>
      <c r="R188" s="7">
        <f t="shared" si="54"/>
        <v>2.2131089898144666E-5</v>
      </c>
      <c r="S188" s="2"/>
      <c r="T188" s="6">
        <v>-227.43</v>
      </c>
      <c r="U188" s="2"/>
      <c r="V188" s="7">
        <f t="shared" si="55"/>
        <v>-3.5043119269355829E-5</v>
      </c>
      <c r="W188" s="2"/>
      <c r="X188" s="6">
        <f t="shared" si="56"/>
        <v>282.04000000000002</v>
      </c>
      <c r="Y188" s="2"/>
      <c r="Z188" s="7">
        <f t="shared" si="57"/>
        <v>-1.2401178384557887</v>
      </c>
    </row>
    <row r="189" spans="1:26" s="24" customFormat="1" hidden="1" outlineLevel="2" x14ac:dyDescent="0.25">
      <c r="A189" s="25"/>
      <c r="B189" s="11" t="str">
        <f>CONCATENATE("          ", "6342", " - ", "BAD DEBT")</f>
        <v xml:space="preserve">          6342 - BAD DEBT</v>
      </c>
      <c r="C189" s="11"/>
      <c r="D189" s="6"/>
      <c r="E189" s="2"/>
      <c r="F189" s="7">
        <f t="shared" si="50"/>
        <v>0</v>
      </c>
      <c r="G189" s="2"/>
      <c r="H189" s="6"/>
      <c r="I189" s="2"/>
      <c r="J189" s="7">
        <f t="shared" si="51"/>
        <v>0</v>
      </c>
      <c r="K189" s="2"/>
      <c r="L189" s="6">
        <f t="shared" si="52"/>
        <v>0</v>
      </c>
      <c r="M189" s="2"/>
      <c r="N189" s="7">
        <f t="shared" si="53"/>
        <v>0</v>
      </c>
      <c r="O189" s="11"/>
      <c r="P189" s="6"/>
      <c r="Q189" s="2"/>
      <c r="R189" s="7">
        <f t="shared" si="54"/>
        <v>0</v>
      </c>
      <c r="S189" s="2"/>
      <c r="T189" s="6">
        <v>44.8</v>
      </c>
      <c r="U189" s="2"/>
      <c r="V189" s="7">
        <f t="shared" si="55"/>
        <v>6.9029228477647674E-6</v>
      </c>
      <c r="W189" s="2"/>
      <c r="X189" s="6">
        <f t="shared" si="56"/>
        <v>-44.8</v>
      </c>
      <c r="Y189" s="2"/>
      <c r="Z189" s="7">
        <f t="shared" si="57"/>
        <v>-1</v>
      </c>
    </row>
    <row r="190" spans="1:26" s="26" customFormat="1" outlineLevel="1" collapsed="1" x14ac:dyDescent="0.25">
      <c r="A190" s="27"/>
      <c r="B190" s="13" t="str">
        <f>CONCATENATE("     ","Bank/card Fees                                    ")</f>
        <v xml:space="preserve">     Bank/card Fees                                    </v>
      </c>
      <c r="C190" s="13"/>
      <c r="D190" s="1">
        <f>SUM(OSRRefD22_4x_0)</f>
        <v>2647.72</v>
      </c>
      <c r="E190" s="1"/>
      <c r="F190" s="5">
        <f t="shared" ref="F190:F194" si="58">IF(D$12=0,0,D190/D$12)</f>
        <v>2.385921000722159E-2</v>
      </c>
      <c r="G190" s="1"/>
      <c r="H190" s="1">
        <f>SUM(OSRRefH22_4x_0)</f>
        <v>22447.86</v>
      </c>
      <c r="I190" s="1"/>
      <c r="J190" s="5">
        <f t="shared" ref="J190:J194" si="59">IF(H$12=0,0,H190/H$12)</f>
        <v>2.9886012005017493E-2</v>
      </c>
      <c r="K190" s="1"/>
      <c r="L190" s="1">
        <f t="shared" ref="L190:L194" si="60">+D190-H190</f>
        <v>-19800.14</v>
      </c>
      <c r="M190" s="1"/>
      <c r="N190" s="5">
        <f t="shared" ref="N190:N194" si="61">IF(H190=0,0,L190/H190)</f>
        <v>-0.8820502266140291</v>
      </c>
      <c r="O190" s="13"/>
      <c r="P190" s="1">
        <f>SUM(OSRRefP22_4x_0)</f>
        <v>42221.71</v>
      </c>
      <c r="Q190" s="1"/>
      <c r="R190" s="5">
        <f t="shared" ref="R190:R194" si="62">IF(P$12=0,0,P190/P$12)</f>
        <v>1.711064749429397E-2</v>
      </c>
      <c r="S190" s="1"/>
      <c r="T190" s="1">
        <f>SUM(OSRRefT22_4x_0)</f>
        <v>131556.23000000001</v>
      </c>
      <c r="U190" s="1"/>
      <c r="V190" s="5">
        <f t="shared" ref="V190:V194" si="63">IF(T$12=0,0,T190/T$12)</f>
        <v>2.0270591648053501E-2</v>
      </c>
      <c r="W190" s="1"/>
      <c r="X190" s="1">
        <f t="shared" ref="X190:X194" si="64">+P190-T190</f>
        <v>-89334.520000000019</v>
      </c>
      <c r="Y190" s="1"/>
      <c r="Z190" s="5">
        <f t="shared" ref="Z190:Z194" si="65">IF(T190=0,0,X190/T190)</f>
        <v>-0.67905959299685015</v>
      </c>
    </row>
    <row r="191" spans="1:26" s="24" customFormat="1" hidden="1" outlineLevel="2" x14ac:dyDescent="0.25">
      <c r="A191" s="25"/>
      <c r="B191" s="11" t="str">
        <f>CONCATENATE("          ", "6381", " - ", "BANK/CREDIT CARD FEES")</f>
        <v xml:space="preserve">          6381 - BANK/CREDIT CARD FEES</v>
      </c>
      <c r="C191" s="11"/>
      <c r="D191" s="6">
        <v>2647.72</v>
      </c>
      <c r="E191" s="2"/>
      <c r="F191" s="7">
        <f t="shared" si="58"/>
        <v>2.385921000722159E-2</v>
      </c>
      <c r="G191" s="2"/>
      <c r="H191" s="6">
        <v>22447.86</v>
      </c>
      <c r="I191" s="2"/>
      <c r="J191" s="7">
        <f t="shared" si="59"/>
        <v>2.9886012005017493E-2</v>
      </c>
      <c r="K191" s="2"/>
      <c r="L191" s="6">
        <f t="shared" si="60"/>
        <v>-19800.14</v>
      </c>
      <c r="M191" s="2"/>
      <c r="N191" s="7">
        <f t="shared" si="61"/>
        <v>-0.8820502266140291</v>
      </c>
      <c r="O191" s="11"/>
      <c r="P191" s="6">
        <v>42221.71</v>
      </c>
      <c r="Q191" s="2"/>
      <c r="R191" s="7">
        <f t="shared" si="62"/>
        <v>1.711064749429397E-2</v>
      </c>
      <c r="S191" s="2"/>
      <c r="T191" s="6">
        <v>131556.23000000001</v>
      </c>
      <c r="U191" s="2"/>
      <c r="V191" s="7">
        <f t="shared" si="63"/>
        <v>2.0270591648053501E-2</v>
      </c>
      <c r="W191" s="2"/>
      <c r="X191" s="6">
        <f t="shared" si="64"/>
        <v>-89334.520000000019</v>
      </c>
      <c r="Y191" s="2"/>
      <c r="Z191" s="7">
        <f t="shared" si="65"/>
        <v>-0.67905959299685015</v>
      </c>
    </row>
    <row r="192" spans="1:26" s="26" customFormat="1" outlineLevel="1" collapsed="1" x14ac:dyDescent="0.25">
      <c r="A192" s="27"/>
      <c r="B192" s="13" t="str">
        <f>CONCATENATE("     ","Depreciation                                      ")</f>
        <v xml:space="preserve">     Depreciation                                      </v>
      </c>
      <c r="C192" s="13"/>
      <c r="D192" s="1">
        <f>SUM(OSRRefD22_5x_0)</f>
        <v>39887.94</v>
      </c>
      <c r="E192" s="1"/>
      <c r="F192" s="5">
        <f t="shared" si="58"/>
        <v>0.35943934298772318</v>
      </c>
      <c r="G192" s="1"/>
      <c r="H192" s="1">
        <f>SUM(OSRRefH22_5x_0)</f>
        <v>38010.910000000003</v>
      </c>
      <c r="I192" s="1"/>
      <c r="J192" s="5">
        <f t="shared" si="59"/>
        <v>5.0605915779127257E-2</v>
      </c>
      <c r="K192" s="1"/>
      <c r="L192" s="1">
        <f t="shared" si="60"/>
        <v>1877.0299999999988</v>
      </c>
      <c r="M192" s="1"/>
      <c r="N192" s="5">
        <f t="shared" si="61"/>
        <v>4.938134867068425E-2</v>
      </c>
      <c r="O192" s="13"/>
      <c r="P192" s="1">
        <f>SUM(OSRRefP22_5x_0)</f>
        <v>199916.47</v>
      </c>
      <c r="Q192" s="1"/>
      <c r="R192" s="5">
        <f t="shared" si="62"/>
        <v>8.1017567655919082E-2</v>
      </c>
      <c r="S192" s="1"/>
      <c r="T192" s="1">
        <f>SUM(OSRRefT22_5x_0)</f>
        <v>190054.55</v>
      </c>
      <c r="U192" s="1"/>
      <c r="V192" s="5">
        <f t="shared" si="63"/>
        <v>2.9284194096353827E-2</v>
      </c>
      <c r="W192" s="1"/>
      <c r="X192" s="1">
        <f t="shared" si="64"/>
        <v>9861.9200000000128</v>
      </c>
      <c r="Y192" s="1"/>
      <c r="Z192" s="5">
        <f t="shared" si="65"/>
        <v>5.1889944229170065E-2</v>
      </c>
    </row>
    <row r="193" spans="1:26" s="24" customFormat="1" hidden="1" outlineLevel="2" x14ac:dyDescent="0.25">
      <c r="A193" s="25"/>
      <c r="B193" s="11" t="str">
        <f>CONCATENATE("          ", "6321", " - ", "BUILDING DEPRECIATION")</f>
        <v xml:space="preserve">          6321 - BUILDING DEPRECIATION</v>
      </c>
      <c r="C193" s="11"/>
      <c r="D193" s="6">
        <v>21477.030000000002</v>
      </c>
      <c r="E193" s="2"/>
      <c r="F193" s="7">
        <f t="shared" si="58"/>
        <v>0.19353442550624628</v>
      </c>
      <c r="G193" s="2"/>
      <c r="H193" s="6">
        <v>21477.030000000002</v>
      </c>
      <c r="I193" s="2"/>
      <c r="J193" s="7">
        <f t="shared" si="59"/>
        <v>2.8593495166671607E-2</v>
      </c>
      <c r="K193" s="2"/>
      <c r="L193" s="6">
        <f t="shared" si="60"/>
        <v>0</v>
      </c>
      <c r="M193" s="2"/>
      <c r="N193" s="7">
        <f t="shared" si="61"/>
        <v>0</v>
      </c>
      <c r="O193" s="11"/>
      <c r="P193" s="6">
        <v>107385.15</v>
      </c>
      <c r="Q193" s="2"/>
      <c r="R193" s="7">
        <f t="shared" si="62"/>
        <v>4.351859381753799E-2</v>
      </c>
      <c r="S193" s="2"/>
      <c r="T193" s="6">
        <v>107385.15</v>
      </c>
      <c r="U193" s="2"/>
      <c r="V193" s="7">
        <f t="shared" si="63"/>
        <v>1.6546236728697473E-2</v>
      </c>
      <c r="W193" s="2"/>
      <c r="X193" s="6">
        <f t="shared" si="64"/>
        <v>0</v>
      </c>
      <c r="Y193" s="2"/>
      <c r="Z193" s="7">
        <f t="shared" si="65"/>
        <v>0</v>
      </c>
    </row>
    <row r="194" spans="1:26" s="24" customFormat="1" hidden="1" outlineLevel="2" x14ac:dyDescent="0.25">
      <c r="A194" s="25"/>
      <c r="B194" s="11" t="str">
        <f>CONCATENATE("          ", "6322", " - ", "EQUIPMENT DEPRECIATION EXPENSE")</f>
        <v xml:space="preserve">          6322 - EQUIPMENT DEPRECIATION EXPENSE</v>
      </c>
      <c r="C194" s="11"/>
      <c r="D194" s="6">
        <v>18410.91</v>
      </c>
      <c r="E194" s="2"/>
      <c r="F194" s="7">
        <f t="shared" si="58"/>
        <v>0.16590491748147693</v>
      </c>
      <c r="G194" s="2"/>
      <c r="H194" s="6">
        <v>16533.88</v>
      </c>
      <c r="I194" s="2"/>
      <c r="J194" s="7">
        <f t="shared" si="59"/>
        <v>2.2012420612455647E-2</v>
      </c>
      <c r="K194" s="2"/>
      <c r="L194" s="6">
        <f t="shared" si="60"/>
        <v>1877.0299999999988</v>
      </c>
      <c r="M194" s="2"/>
      <c r="N194" s="7">
        <f t="shared" si="61"/>
        <v>0.1135262866308452</v>
      </c>
      <c r="O194" s="11"/>
      <c r="P194" s="6">
        <v>92531.32</v>
      </c>
      <c r="Q194" s="2"/>
      <c r="R194" s="7">
        <f t="shared" si="62"/>
        <v>3.7498973838381099E-2</v>
      </c>
      <c r="S194" s="2"/>
      <c r="T194" s="6">
        <v>82669.400000000009</v>
      </c>
      <c r="U194" s="2"/>
      <c r="V194" s="7">
        <f t="shared" si="63"/>
        <v>1.2737957367656356E-2</v>
      </c>
      <c r="W194" s="2"/>
      <c r="X194" s="6">
        <f t="shared" si="64"/>
        <v>9861.9199999999983</v>
      </c>
      <c r="Y194" s="2"/>
      <c r="Z194" s="7">
        <f t="shared" si="65"/>
        <v>0.11929347497381132</v>
      </c>
    </row>
    <row r="195" spans="1:26" s="26" customFormat="1" outlineLevel="1" collapsed="1" x14ac:dyDescent="0.25">
      <c r="A195" s="27"/>
      <c r="B195" s="13" t="str">
        <f>CONCATENATE("     ","Discounts and Markdowns                           ")</f>
        <v xml:space="preserve">     Discounts and Markdowns                           </v>
      </c>
      <c r="C195" s="13"/>
      <c r="D195" s="1">
        <f>SUM(OSRRefD22_6x_0)</f>
        <v>418.85</v>
      </c>
      <c r="E195" s="1"/>
      <c r="F195" s="5">
        <f t="shared" ref="F195:F197" si="66">IF(D$12=0,0,D195/D$12)</f>
        <v>3.7743530703868854E-3</v>
      </c>
      <c r="G195" s="1"/>
      <c r="H195" s="1">
        <f>SUM(OSRRefH22_6x_0)</f>
        <v>49094.73</v>
      </c>
      <c r="I195" s="1"/>
      <c r="J195" s="5">
        <f t="shared" ref="J195:J197" si="67">IF(H$12=0,0,H195/H$12)</f>
        <v>6.5362385998624928E-2</v>
      </c>
      <c r="K195" s="1"/>
      <c r="L195" s="1">
        <f t="shared" ref="L195:L197" si="68">+D195-H195</f>
        <v>-48675.880000000005</v>
      </c>
      <c r="M195" s="1"/>
      <c r="N195" s="5">
        <f t="shared" ref="N195:N197" si="69">IF(H195=0,0,L195/H195)</f>
        <v>-0.99146853440277605</v>
      </c>
      <c r="O195" s="13"/>
      <c r="P195" s="1">
        <f>SUM(OSRRefP22_6x_0)</f>
        <v>0</v>
      </c>
      <c r="Q195" s="1"/>
      <c r="R195" s="5">
        <f t="shared" ref="R195:R197" si="70">IF(P$12=0,0,P195/P$12)</f>
        <v>0</v>
      </c>
      <c r="S195" s="1"/>
      <c r="T195" s="1">
        <f>SUM(OSRRefT22_6x_0)</f>
        <v>146944.68000000002</v>
      </c>
      <c r="U195" s="1"/>
      <c r="V195" s="5">
        <f t="shared" ref="V195:V197" si="71">IF(T$12=0,0,T195/T$12)</f>
        <v>2.2641691717175953E-2</v>
      </c>
      <c r="W195" s="1"/>
      <c r="X195" s="1">
        <f t="shared" ref="X195:X197" si="72">+P195-T195</f>
        <v>-146944.68000000002</v>
      </c>
      <c r="Y195" s="1"/>
      <c r="Z195" s="5">
        <f t="shared" ref="Z195:Z197" si="73">IF(T195=0,0,X195/T195)</f>
        <v>-1</v>
      </c>
    </row>
    <row r="196" spans="1:26" s="24" customFormat="1" hidden="1" outlineLevel="2" x14ac:dyDescent="0.25">
      <c r="A196" s="25"/>
      <c r="B196" s="11" t="str">
        <f>CONCATENATE("          ", "6382", " - ", "DISCOUNTS/MARK DOWNS")</f>
        <v xml:space="preserve">          6382 - DISCOUNTS/MARK DOWNS</v>
      </c>
      <c r="C196" s="11"/>
      <c r="D196" s="6"/>
      <c r="E196" s="2"/>
      <c r="F196" s="7">
        <f t="shared" si="66"/>
        <v>0</v>
      </c>
      <c r="G196" s="2"/>
      <c r="H196" s="6">
        <v>49342.23</v>
      </c>
      <c r="I196" s="2"/>
      <c r="J196" s="7">
        <f t="shared" si="67"/>
        <v>6.5691895714528437E-2</v>
      </c>
      <c r="K196" s="2"/>
      <c r="L196" s="6">
        <f t="shared" si="68"/>
        <v>-49342.23</v>
      </c>
      <c r="M196" s="2"/>
      <c r="N196" s="7">
        <f t="shared" si="69"/>
        <v>-1</v>
      </c>
      <c r="O196" s="11"/>
      <c r="P196" s="6">
        <v>0</v>
      </c>
      <c r="Q196" s="2"/>
      <c r="R196" s="7">
        <f t="shared" si="70"/>
        <v>0</v>
      </c>
      <c r="S196" s="2"/>
      <c r="T196" s="6">
        <v>149309.93000000002</v>
      </c>
      <c r="U196" s="2"/>
      <c r="V196" s="7">
        <f t="shared" si="71"/>
        <v>2.3006136767749069E-2</v>
      </c>
      <c r="W196" s="2"/>
      <c r="X196" s="6">
        <f t="shared" si="72"/>
        <v>-149309.93000000002</v>
      </c>
      <c r="Y196" s="2"/>
      <c r="Z196" s="7">
        <f t="shared" si="73"/>
        <v>-1</v>
      </c>
    </row>
    <row r="197" spans="1:26" s="24" customFormat="1" hidden="1" outlineLevel="2" x14ac:dyDescent="0.25">
      <c r="A197" s="25"/>
      <c r="B197" s="11" t="str">
        <f>CONCATENATE("          ", "9175", " - ", "EARNED DISCOUNTS")</f>
        <v xml:space="preserve">          9175 - EARNED DISCOUNTS</v>
      </c>
      <c r="C197" s="11"/>
      <c r="D197" s="6">
        <v>418.85</v>
      </c>
      <c r="E197" s="2"/>
      <c r="F197" s="7">
        <f t="shared" si="66"/>
        <v>3.7743530703868854E-3</v>
      </c>
      <c r="G197" s="2"/>
      <c r="H197" s="6">
        <v>-247.5</v>
      </c>
      <c r="I197" s="2"/>
      <c r="J197" s="7">
        <f t="shared" si="67"/>
        <v>-3.2950971590351281E-4</v>
      </c>
      <c r="K197" s="2"/>
      <c r="L197" s="6">
        <f t="shared" si="68"/>
        <v>666.35</v>
      </c>
      <c r="M197" s="2"/>
      <c r="N197" s="7">
        <f t="shared" si="69"/>
        <v>-2.6923232323232322</v>
      </c>
      <c r="O197" s="11"/>
      <c r="P197" s="6">
        <v>0</v>
      </c>
      <c r="Q197" s="2"/>
      <c r="R197" s="7">
        <f t="shared" si="70"/>
        <v>0</v>
      </c>
      <c r="S197" s="2"/>
      <c r="T197" s="6">
        <v>-2365.25</v>
      </c>
      <c r="U197" s="2"/>
      <c r="V197" s="7">
        <f t="shared" si="71"/>
        <v>-3.6444505057311647E-4</v>
      </c>
      <c r="W197" s="2"/>
      <c r="X197" s="6">
        <f t="shared" si="72"/>
        <v>2365.25</v>
      </c>
      <c r="Y197" s="2"/>
      <c r="Z197" s="7">
        <f t="shared" si="73"/>
        <v>-1</v>
      </c>
    </row>
    <row r="198" spans="1:26" s="26" customFormat="1" outlineLevel="1" collapsed="1" x14ac:dyDescent="0.25">
      <c r="A198" s="27"/>
      <c r="B198" s="13" t="str">
        <f>CONCATENATE("     ","Donations                                         ")</f>
        <v xml:space="preserve">     Donations                                         </v>
      </c>
      <c r="C198" s="13"/>
      <c r="D198" s="1">
        <f>SUM(OSRRefD22_7x_0)</f>
        <v>0</v>
      </c>
      <c r="E198" s="1"/>
      <c r="F198" s="5">
        <f t="shared" ref="F198:F206" si="74">IF(D$12=0,0,D198/D$12)</f>
        <v>0</v>
      </c>
      <c r="G198" s="1"/>
      <c r="H198" s="1">
        <f>SUM(OSRRefH22_7x_0)</f>
        <v>3415.9</v>
      </c>
      <c r="I198" s="1"/>
      <c r="J198" s="5">
        <f t="shared" ref="J198:J206" si="75">IF(H$12=0,0,H198/H$12)</f>
        <v>4.547766620423473E-3</v>
      </c>
      <c r="K198" s="1"/>
      <c r="L198" s="1">
        <f t="shared" ref="L198:L206" si="76">+D198-H198</f>
        <v>-3415.9</v>
      </c>
      <c r="M198" s="1"/>
      <c r="N198" s="5">
        <f t="shared" ref="N198:N206" si="77">IF(H198=0,0,L198/H198)</f>
        <v>-1</v>
      </c>
      <c r="O198" s="13"/>
      <c r="P198" s="1">
        <f>SUM(OSRRefP22_7x_0)</f>
        <v>0</v>
      </c>
      <c r="Q198" s="1"/>
      <c r="R198" s="5">
        <f t="shared" ref="R198:R206" si="78">IF(P$12=0,0,P198/P$12)</f>
        <v>0</v>
      </c>
      <c r="S198" s="1"/>
      <c r="T198" s="1">
        <f>SUM(OSRRefT22_7x_0)</f>
        <v>9647.3799999999992</v>
      </c>
      <c r="U198" s="1"/>
      <c r="V198" s="5">
        <f t="shared" ref="V198:V206" si="79">IF(T$12=0,0,T198/T$12)</f>
        <v>1.4864982103363585E-3</v>
      </c>
      <c r="W198" s="1"/>
      <c r="X198" s="1">
        <f t="shared" ref="X198:X206" si="80">+P198-T198</f>
        <v>-9647.3799999999992</v>
      </c>
      <c r="Y198" s="1"/>
      <c r="Z198" s="5">
        <f t="shared" ref="Z198:Z206" si="81">IF(T198=0,0,X198/T198)</f>
        <v>-1</v>
      </c>
    </row>
    <row r="199" spans="1:26" s="24" customFormat="1" hidden="1" outlineLevel="2" x14ac:dyDescent="0.25">
      <c r="A199" s="25"/>
      <c r="B199" s="11" t="str">
        <f>CONCATENATE("          ", "6399", " - ", "DONATION-ON CAMPUS")</f>
        <v xml:space="preserve">          6399 - DONATION-ON CAMPUS</v>
      </c>
      <c r="C199" s="11"/>
      <c r="D199" s="6"/>
      <c r="E199" s="2"/>
      <c r="F199" s="7">
        <f t="shared" si="74"/>
        <v>0</v>
      </c>
      <c r="G199" s="2"/>
      <c r="H199" s="6">
        <v>3415.9</v>
      </c>
      <c r="I199" s="2"/>
      <c r="J199" s="7">
        <f t="shared" si="75"/>
        <v>4.547766620423473E-3</v>
      </c>
      <c r="K199" s="2"/>
      <c r="L199" s="6">
        <f t="shared" si="76"/>
        <v>-3415.9</v>
      </c>
      <c r="M199" s="2"/>
      <c r="N199" s="7">
        <f t="shared" si="77"/>
        <v>-1</v>
      </c>
      <c r="O199" s="11"/>
      <c r="P199" s="6"/>
      <c r="Q199" s="2"/>
      <c r="R199" s="7">
        <f t="shared" si="78"/>
        <v>0</v>
      </c>
      <c r="S199" s="2"/>
      <c r="T199" s="6">
        <v>9647.3799999999992</v>
      </c>
      <c r="U199" s="2"/>
      <c r="V199" s="7">
        <f t="shared" si="79"/>
        <v>1.4864982103363585E-3</v>
      </c>
      <c r="W199" s="2"/>
      <c r="X199" s="6">
        <f t="shared" si="80"/>
        <v>-9647.3799999999992</v>
      </c>
      <c r="Y199" s="2"/>
      <c r="Z199" s="7">
        <f t="shared" si="81"/>
        <v>-1</v>
      </c>
    </row>
    <row r="200" spans="1:26" s="26" customFormat="1" outlineLevel="1" collapsed="1" x14ac:dyDescent="0.25">
      <c r="A200" s="27"/>
      <c r="B200" s="13" t="str">
        <f>CONCATENATE("     ","Employees' Appreciation                           ")</f>
        <v xml:space="preserve">     Employees' Appreciation                           </v>
      </c>
      <c r="C200" s="13"/>
      <c r="D200" s="1">
        <f>SUM(OSRRefD22_8x_0)</f>
        <v>0</v>
      </c>
      <c r="E200" s="1"/>
      <c r="F200" s="5">
        <f t="shared" si="74"/>
        <v>0</v>
      </c>
      <c r="G200" s="1"/>
      <c r="H200" s="1">
        <f>SUM(OSRRefH22_8x_0)</f>
        <v>425.17</v>
      </c>
      <c r="I200" s="1"/>
      <c r="J200" s="5">
        <f t="shared" si="75"/>
        <v>5.6605109458867297E-4</v>
      </c>
      <c r="K200" s="1"/>
      <c r="L200" s="1">
        <f t="shared" si="76"/>
        <v>-425.17</v>
      </c>
      <c r="M200" s="1"/>
      <c r="N200" s="5">
        <f t="shared" si="77"/>
        <v>-1</v>
      </c>
      <c r="O200" s="13"/>
      <c r="P200" s="1">
        <f>SUM(OSRRefP22_8x_0)</f>
        <v>107.7</v>
      </c>
      <c r="Q200" s="1"/>
      <c r="R200" s="5">
        <f t="shared" si="78"/>
        <v>4.3646189013553942E-5</v>
      </c>
      <c r="S200" s="1"/>
      <c r="T200" s="1">
        <f>SUM(OSRRefT22_8x_0)</f>
        <v>1103.58</v>
      </c>
      <c r="U200" s="1"/>
      <c r="V200" s="5">
        <f t="shared" si="79"/>
        <v>1.7004302670393397E-4</v>
      </c>
      <c r="W200" s="1"/>
      <c r="X200" s="1">
        <f t="shared" si="80"/>
        <v>-995.87999999999988</v>
      </c>
      <c r="Y200" s="1"/>
      <c r="Z200" s="5">
        <f t="shared" si="81"/>
        <v>-0.90240852498233015</v>
      </c>
    </row>
    <row r="201" spans="1:26" s="24" customFormat="1" hidden="1" outlineLevel="2" x14ac:dyDescent="0.25">
      <c r="A201" s="25"/>
      <c r="B201" s="11" t="str">
        <f>CONCATENATE("          ", "6277", " - ", "EMPLOYEE APPRECIATION")</f>
        <v xml:space="preserve">          6277 - EMPLOYEE APPRECIATION</v>
      </c>
      <c r="C201" s="11"/>
      <c r="D201" s="6"/>
      <c r="E201" s="2"/>
      <c r="F201" s="7">
        <f t="shared" si="74"/>
        <v>0</v>
      </c>
      <c r="G201" s="2"/>
      <c r="H201" s="6">
        <v>425.17</v>
      </c>
      <c r="I201" s="2"/>
      <c r="J201" s="7">
        <f t="shared" si="75"/>
        <v>5.6605109458867297E-4</v>
      </c>
      <c r="K201" s="2"/>
      <c r="L201" s="6">
        <f t="shared" si="76"/>
        <v>-425.17</v>
      </c>
      <c r="M201" s="2"/>
      <c r="N201" s="7">
        <f t="shared" si="77"/>
        <v>-1</v>
      </c>
      <c r="O201" s="11"/>
      <c r="P201" s="6">
        <v>107.7</v>
      </c>
      <c r="Q201" s="2"/>
      <c r="R201" s="7">
        <f t="shared" si="78"/>
        <v>4.3646189013553942E-5</v>
      </c>
      <c r="S201" s="2"/>
      <c r="T201" s="6">
        <v>1103.58</v>
      </c>
      <c r="U201" s="2"/>
      <c r="V201" s="7">
        <f t="shared" si="79"/>
        <v>1.7004302670393397E-4</v>
      </c>
      <c r="W201" s="2"/>
      <c r="X201" s="6">
        <f t="shared" si="80"/>
        <v>-995.87999999999988</v>
      </c>
      <c r="Y201" s="2"/>
      <c r="Z201" s="7">
        <f t="shared" si="81"/>
        <v>-0.90240852498233015</v>
      </c>
    </row>
    <row r="202" spans="1:26" s="26" customFormat="1" outlineLevel="1" collapsed="1" x14ac:dyDescent="0.25">
      <c r="A202" s="27"/>
      <c r="B202" s="13" t="str">
        <f>CONCATENATE("     ","Equipment Rental                                  ")</f>
        <v xml:space="preserve">     Equipment Rental                                  </v>
      </c>
      <c r="C202" s="13"/>
      <c r="D202" s="1">
        <f>SUM(OSRRefD22_9x_0)</f>
        <v>1712.05</v>
      </c>
      <c r="E202" s="1"/>
      <c r="F202" s="5">
        <f t="shared" si="74"/>
        <v>1.5427673807224224E-2</v>
      </c>
      <c r="G202" s="1"/>
      <c r="H202" s="1">
        <f>SUM(OSRRefH22_9x_0)</f>
        <v>4524.1099999999997</v>
      </c>
      <c r="I202" s="1"/>
      <c r="J202" s="5">
        <f t="shared" si="75"/>
        <v>6.023184649762591E-3</v>
      </c>
      <c r="K202" s="1"/>
      <c r="L202" s="1">
        <f t="shared" si="76"/>
        <v>-2812.0599999999995</v>
      </c>
      <c r="M202" s="1"/>
      <c r="N202" s="5">
        <f t="shared" si="77"/>
        <v>-0.62157197769285</v>
      </c>
      <c r="O202" s="13"/>
      <c r="P202" s="1">
        <f>SUM(OSRRefP22_9x_0)</f>
        <v>7679.84</v>
      </c>
      <c r="Q202" s="1"/>
      <c r="R202" s="5">
        <f t="shared" si="78"/>
        <v>3.112309640054337E-3</v>
      </c>
      <c r="S202" s="1"/>
      <c r="T202" s="1">
        <f>SUM(OSRRefT22_9x_0)</f>
        <v>11664.07</v>
      </c>
      <c r="U202" s="1"/>
      <c r="V202" s="5">
        <f t="shared" si="79"/>
        <v>1.7972360558242766E-3</v>
      </c>
      <c r="W202" s="1"/>
      <c r="X202" s="1">
        <f t="shared" si="80"/>
        <v>-3984.2299999999996</v>
      </c>
      <c r="Y202" s="1"/>
      <c r="Z202" s="5">
        <f t="shared" si="81"/>
        <v>-0.34158145484380664</v>
      </c>
    </row>
    <row r="203" spans="1:26" s="24" customFormat="1" hidden="1" outlineLevel="2" x14ac:dyDescent="0.25">
      <c r="A203" s="25"/>
      <c r="B203" s="11" t="str">
        <f>CONCATENATE("          ", "6351", " - ", "EQUIPMENT RENTAL")</f>
        <v xml:space="preserve">          6351 - EQUIPMENT RENTAL</v>
      </c>
      <c r="C203" s="11"/>
      <c r="D203" s="6">
        <v>1712.05</v>
      </c>
      <c r="E203" s="2"/>
      <c r="F203" s="7">
        <f t="shared" si="74"/>
        <v>1.5427673807224224E-2</v>
      </c>
      <c r="G203" s="2"/>
      <c r="H203" s="6">
        <v>4524.1099999999997</v>
      </c>
      <c r="I203" s="2"/>
      <c r="J203" s="7">
        <f t="shared" si="75"/>
        <v>6.023184649762591E-3</v>
      </c>
      <c r="K203" s="2"/>
      <c r="L203" s="6">
        <f t="shared" si="76"/>
        <v>-2812.0599999999995</v>
      </c>
      <c r="M203" s="2"/>
      <c r="N203" s="7">
        <f t="shared" si="77"/>
        <v>-0.62157197769285</v>
      </c>
      <c r="O203" s="11"/>
      <c r="P203" s="6">
        <v>7679.84</v>
      </c>
      <c r="Q203" s="2"/>
      <c r="R203" s="7">
        <f t="shared" si="78"/>
        <v>3.112309640054337E-3</v>
      </c>
      <c r="S203" s="2"/>
      <c r="T203" s="6">
        <v>11664.07</v>
      </c>
      <c r="U203" s="2"/>
      <c r="V203" s="7">
        <f t="shared" si="79"/>
        <v>1.7972360558242766E-3</v>
      </c>
      <c r="W203" s="2"/>
      <c r="X203" s="6">
        <f t="shared" si="80"/>
        <v>-3984.2299999999996</v>
      </c>
      <c r="Y203" s="2"/>
      <c r="Z203" s="7">
        <f t="shared" si="81"/>
        <v>-0.34158145484380664</v>
      </c>
    </row>
    <row r="204" spans="1:26" s="26" customFormat="1" outlineLevel="1" collapsed="1" x14ac:dyDescent="0.25">
      <c r="A204" s="27"/>
      <c r="B204" s="13" t="str">
        <f>CONCATENATE("     ","Freight out/Postage                               ")</f>
        <v xml:space="preserve">     Freight out/Postage                               </v>
      </c>
      <c r="C204" s="13"/>
      <c r="D204" s="1">
        <f>SUM(OSRRefD22_10x_0)</f>
        <v>12498.470000000001</v>
      </c>
      <c r="E204" s="1"/>
      <c r="F204" s="5">
        <f t="shared" si="74"/>
        <v>0.11262656946314523</v>
      </c>
      <c r="G204" s="1"/>
      <c r="H204" s="1">
        <f>SUM(OSRRefH22_10x_0)</f>
        <v>8770.06</v>
      </c>
      <c r="I204" s="1"/>
      <c r="J204" s="5">
        <f t="shared" si="75"/>
        <v>1.1676040319421259E-2</v>
      </c>
      <c r="K204" s="1"/>
      <c r="L204" s="1">
        <f t="shared" si="76"/>
        <v>3728.4100000000017</v>
      </c>
      <c r="M204" s="1"/>
      <c r="N204" s="5">
        <f t="shared" si="77"/>
        <v>0.42512936057450029</v>
      </c>
      <c r="O204" s="13"/>
      <c r="P204" s="1">
        <f>SUM(OSRRefP22_10x_0)</f>
        <v>-19249.450000000012</v>
      </c>
      <c r="Q204" s="1"/>
      <c r="R204" s="5">
        <f t="shared" si="78"/>
        <v>-7.8009761662670048E-3</v>
      </c>
      <c r="S204" s="1"/>
      <c r="T204" s="1">
        <f>SUM(OSRRefT22_10x_0)</f>
        <v>4862.93</v>
      </c>
      <c r="U204" s="1"/>
      <c r="V204" s="5">
        <f t="shared" si="79"/>
        <v>7.4929532598394478E-4</v>
      </c>
      <c r="W204" s="1"/>
      <c r="X204" s="1">
        <f t="shared" si="80"/>
        <v>-24112.380000000012</v>
      </c>
      <c r="Y204" s="1"/>
      <c r="Z204" s="5">
        <f t="shared" si="81"/>
        <v>-4.9584057348141988</v>
      </c>
    </row>
    <row r="205" spans="1:26" s="24" customFormat="1" hidden="1" outlineLevel="2" x14ac:dyDescent="0.25">
      <c r="A205" s="25"/>
      <c r="B205" s="11" t="str">
        <f>CONCATENATE("          ", "6305", " - ", "FREIGHT OUT")</f>
        <v xml:space="preserve">          6305 - FREIGHT OUT</v>
      </c>
      <c r="C205" s="11"/>
      <c r="D205" s="6">
        <v>16818.18</v>
      </c>
      <c r="E205" s="2"/>
      <c r="F205" s="7">
        <f t="shared" si="74"/>
        <v>0.15155246346262219</v>
      </c>
      <c r="G205" s="2"/>
      <c r="H205" s="6">
        <v>9229.43</v>
      </c>
      <c r="I205" s="2"/>
      <c r="J205" s="7">
        <f t="shared" si="75"/>
        <v>1.2287623665662054E-2</v>
      </c>
      <c r="K205" s="2"/>
      <c r="L205" s="6">
        <f t="shared" si="76"/>
        <v>7588.75</v>
      </c>
      <c r="M205" s="2"/>
      <c r="N205" s="7">
        <f t="shared" si="77"/>
        <v>0.82223387576480889</v>
      </c>
      <c r="O205" s="11"/>
      <c r="P205" s="6">
        <v>103166.34999999999</v>
      </c>
      <c r="Q205" s="2"/>
      <c r="R205" s="7">
        <f t="shared" si="78"/>
        <v>4.1808895189772148E-2</v>
      </c>
      <c r="S205" s="2"/>
      <c r="T205" s="6">
        <v>28910.53</v>
      </c>
      <c r="U205" s="2"/>
      <c r="V205" s="7">
        <f t="shared" si="79"/>
        <v>4.45462406424082E-3</v>
      </c>
      <c r="W205" s="2"/>
      <c r="X205" s="6">
        <f t="shared" si="80"/>
        <v>74255.819999999992</v>
      </c>
      <c r="Y205" s="2"/>
      <c r="Z205" s="7">
        <f t="shared" si="81"/>
        <v>2.5684696890717671</v>
      </c>
    </row>
    <row r="206" spans="1:26" s="24" customFormat="1" hidden="1" outlineLevel="2" x14ac:dyDescent="0.25">
      <c r="A206" s="25"/>
      <c r="B206" s="11" t="str">
        <f>CONCATENATE("          ", "6307", " - ", "POSTAGE")</f>
        <v xml:space="preserve">          6307 - POSTAGE</v>
      </c>
      <c r="C206" s="11"/>
      <c r="D206" s="6">
        <v>-4319.71</v>
      </c>
      <c r="E206" s="2"/>
      <c r="F206" s="7">
        <f t="shared" si="74"/>
        <v>-3.8925893999476976E-2</v>
      </c>
      <c r="G206" s="2"/>
      <c r="H206" s="6">
        <v>-459.37</v>
      </c>
      <c r="I206" s="2"/>
      <c r="J206" s="7">
        <f t="shared" si="75"/>
        <v>-6.1158334624079468E-4</v>
      </c>
      <c r="K206" s="2"/>
      <c r="L206" s="6">
        <f t="shared" si="76"/>
        <v>-3860.34</v>
      </c>
      <c r="M206" s="2"/>
      <c r="N206" s="7">
        <f t="shared" si="77"/>
        <v>8.4035526917299777</v>
      </c>
      <c r="O206" s="11"/>
      <c r="P206" s="6">
        <v>-122415.8</v>
      </c>
      <c r="Q206" s="2"/>
      <c r="R206" s="7">
        <f t="shared" si="78"/>
        <v>-4.9609871356039149E-2</v>
      </c>
      <c r="S206" s="2"/>
      <c r="T206" s="6">
        <v>-24047.599999999999</v>
      </c>
      <c r="U206" s="2"/>
      <c r="V206" s="7">
        <f t="shared" si="79"/>
        <v>-3.7053287382568757E-3</v>
      </c>
      <c r="W206" s="2"/>
      <c r="X206" s="6">
        <f t="shared" si="80"/>
        <v>-98368.200000000012</v>
      </c>
      <c r="Y206" s="2"/>
      <c r="Z206" s="7">
        <f t="shared" si="81"/>
        <v>4.0905620519303385</v>
      </c>
    </row>
    <row r="207" spans="1:26" s="26" customFormat="1" outlineLevel="1" collapsed="1" x14ac:dyDescent="0.25">
      <c r="A207" s="27"/>
      <c r="B207" s="13" t="str">
        <f>CONCATENATE("     ","General                                           ")</f>
        <v xml:space="preserve">     General                                           </v>
      </c>
      <c r="C207" s="13"/>
      <c r="D207" s="1">
        <f>SUM(OSRRefD22_11x_0)</f>
        <v>4207.7299999999996</v>
      </c>
      <c r="E207" s="1"/>
      <c r="F207" s="5">
        <f t="shared" ref="F207:F223" si="82">IF(D$12=0,0,D207/D$12)</f>
        <v>3.7916816628528131E-2</v>
      </c>
      <c r="G207" s="1"/>
      <c r="H207" s="1">
        <f>SUM(OSRRefH22_11x_0)</f>
        <v>12609.15</v>
      </c>
      <c r="I207" s="1"/>
      <c r="J207" s="5">
        <f t="shared" ref="J207:J223" si="83">IF(H$12=0,0,H207/H$12)</f>
        <v>1.6787221956706178E-2</v>
      </c>
      <c r="K207" s="1"/>
      <c r="L207" s="1">
        <f t="shared" ref="L207:L223" si="84">+D207-H207</f>
        <v>-8401.42</v>
      </c>
      <c r="M207" s="1"/>
      <c r="N207" s="5">
        <f t="shared" ref="N207:N223" si="85">IF(H207=0,0,L207/H207)</f>
        <v>-0.66629550762739764</v>
      </c>
      <c r="O207" s="13"/>
      <c r="P207" s="1">
        <f>SUM(OSRRefP22_11x_0)</f>
        <v>2470</v>
      </c>
      <c r="Q207" s="1"/>
      <c r="R207" s="5">
        <f t="shared" ref="R207:R223" si="86">IF(P$12=0,0,P207/P$12)</f>
        <v>1.0009850219450161E-3</v>
      </c>
      <c r="S207" s="1"/>
      <c r="T207" s="1">
        <f>SUM(OSRRefT22_11x_0)</f>
        <v>2510.2199999999998</v>
      </c>
      <c r="U207" s="1"/>
      <c r="V207" s="5">
        <f t="shared" ref="V207:V223" si="87">IF(T$12=0,0,T207/T$12)</f>
        <v>3.8678247747580527E-4</v>
      </c>
      <c r="W207" s="1"/>
      <c r="X207" s="1">
        <f t="shared" ref="X207:X223" si="88">+P207-T207</f>
        <v>-40.2199999999998</v>
      </c>
      <c r="Y207" s="1"/>
      <c r="Z207" s="5">
        <f t="shared" ref="Z207:Z223" si="89">IF(T207=0,0,X207/T207)</f>
        <v>-1.6022500019918496E-2</v>
      </c>
    </row>
    <row r="208" spans="1:26" s="24" customFormat="1" hidden="1" outlineLevel="2" x14ac:dyDescent="0.25">
      <c r="A208" s="25"/>
      <c r="B208" s="11" t="str">
        <f>CONCATENATE("          ", "6279", " - ", "GENERAL EXPENSE")</f>
        <v xml:space="preserve">          6279 - GENERAL EXPENSE</v>
      </c>
      <c r="C208" s="11"/>
      <c r="D208" s="6">
        <v>4207.7299999999996</v>
      </c>
      <c r="E208" s="2"/>
      <c r="F208" s="7">
        <f t="shared" si="82"/>
        <v>3.7916816628528131E-2</v>
      </c>
      <c r="G208" s="2"/>
      <c r="H208" s="6">
        <v>12609.15</v>
      </c>
      <c r="I208" s="2"/>
      <c r="J208" s="7">
        <f t="shared" si="83"/>
        <v>1.6787221956706178E-2</v>
      </c>
      <c r="K208" s="2"/>
      <c r="L208" s="6">
        <f t="shared" si="84"/>
        <v>-8401.42</v>
      </c>
      <c r="M208" s="2"/>
      <c r="N208" s="7">
        <f t="shared" si="85"/>
        <v>-0.66629550762739764</v>
      </c>
      <c r="O208" s="11"/>
      <c r="P208" s="6">
        <v>2470</v>
      </c>
      <c r="Q208" s="2"/>
      <c r="R208" s="7">
        <f t="shared" si="86"/>
        <v>1.0009850219450161E-3</v>
      </c>
      <c r="S208" s="2"/>
      <c r="T208" s="6">
        <v>2510.2199999999998</v>
      </c>
      <c r="U208" s="2"/>
      <c r="V208" s="7">
        <f t="shared" si="87"/>
        <v>3.8678247747580527E-4</v>
      </c>
      <c r="W208" s="2"/>
      <c r="X208" s="6">
        <f t="shared" si="88"/>
        <v>-40.2199999999998</v>
      </c>
      <c r="Y208" s="2"/>
      <c r="Z208" s="7">
        <f t="shared" si="89"/>
        <v>-1.6022500019918496E-2</v>
      </c>
    </row>
    <row r="209" spans="1:26" s="26" customFormat="1" outlineLevel="1" collapsed="1" x14ac:dyDescent="0.25">
      <c r="A209" s="27"/>
      <c r="B209" s="13" t="str">
        <f>CONCATENATE("     ","Insurance                                         ")</f>
        <v xml:space="preserve">     Insurance                                         </v>
      </c>
      <c r="C209" s="13"/>
      <c r="D209" s="1">
        <f>SUM(OSRRefD22_12x_0)</f>
        <v>4288.28</v>
      </c>
      <c r="E209" s="1"/>
      <c r="F209" s="5">
        <f t="shared" si="82"/>
        <v>3.8642671086734325E-2</v>
      </c>
      <c r="G209" s="1"/>
      <c r="H209" s="1">
        <f>SUM(OSRRefH22_12x_0)</f>
        <v>4288.28</v>
      </c>
      <c r="I209" s="1"/>
      <c r="J209" s="5">
        <f t="shared" si="83"/>
        <v>5.7092118162210739E-3</v>
      </c>
      <c r="K209" s="1"/>
      <c r="L209" s="1">
        <f t="shared" si="84"/>
        <v>0</v>
      </c>
      <c r="M209" s="1"/>
      <c r="N209" s="5">
        <f t="shared" si="85"/>
        <v>0</v>
      </c>
      <c r="O209" s="13"/>
      <c r="P209" s="1">
        <f>SUM(OSRRefP22_12x_0)</f>
        <v>21441.4</v>
      </c>
      <c r="Q209" s="1"/>
      <c r="R209" s="5">
        <f t="shared" si="86"/>
        <v>8.6892794532517689E-3</v>
      </c>
      <c r="S209" s="1"/>
      <c r="T209" s="1">
        <f>SUM(OSRRefT22_12x_0)</f>
        <v>21441.4</v>
      </c>
      <c r="U209" s="1"/>
      <c r="V209" s="5">
        <f t="shared" si="87"/>
        <v>3.3037573649121318E-3</v>
      </c>
      <c r="W209" s="1"/>
      <c r="X209" s="1">
        <f t="shared" si="88"/>
        <v>0</v>
      </c>
      <c r="Y209" s="1"/>
      <c r="Z209" s="5">
        <f t="shared" si="89"/>
        <v>0</v>
      </c>
    </row>
    <row r="210" spans="1:26" s="24" customFormat="1" hidden="1" outlineLevel="2" x14ac:dyDescent="0.25">
      <c r="A210" s="25"/>
      <c r="B210" s="11" t="str">
        <f>CONCATENATE("          ", "6314", " - ", "LIABILITY INSURANCE")</f>
        <v xml:space="preserve">          6314 - LIABILITY INSURANCE</v>
      </c>
      <c r="C210" s="11"/>
      <c r="D210" s="6">
        <v>4288.28</v>
      </c>
      <c r="E210" s="2"/>
      <c r="F210" s="7">
        <f t="shared" si="82"/>
        <v>3.8642671086734325E-2</v>
      </c>
      <c r="G210" s="2"/>
      <c r="H210" s="6">
        <v>4288.28</v>
      </c>
      <c r="I210" s="2"/>
      <c r="J210" s="7">
        <f t="shared" si="83"/>
        <v>5.7092118162210739E-3</v>
      </c>
      <c r="K210" s="2"/>
      <c r="L210" s="6">
        <f t="shared" si="84"/>
        <v>0</v>
      </c>
      <c r="M210" s="2"/>
      <c r="N210" s="7">
        <f t="shared" si="85"/>
        <v>0</v>
      </c>
      <c r="O210" s="11"/>
      <c r="P210" s="6">
        <v>21441.4</v>
      </c>
      <c r="Q210" s="2"/>
      <c r="R210" s="7">
        <f t="shared" si="86"/>
        <v>8.6892794532517689E-3</v>
      </c>
      <c r="S210" s="2"/>
      <c r="T210" s="6">
        <v>21441.4</v>
      </c>
      <c r="U210" s="2"/>
      <c r="V210" s="7">
        <f t="shared" si="87"/>
        <v>3.3037573649121318E-3</v>
      </c>
      <c r="W210" s="2"/>
      <c r="X210" s="6">
        <f t="shared" si="88"/>
        <v>0</v>
      </c>
      <c r="Y210" s="2"/>
      <c r="Z210" s="7">
        <f t="shared" si="89"/>
        <v>0</v>
      </c>
    </row>
    <row r="211" spans="1:26" s="26" customFormat="1" outlineLevel="1" collapsed="1" x14ac:dyDescent="0.25">
      <c r="A211" s="27"/>
      <c r="B211" s="13" t="str">
        <f>CONCATENATE("     ","Interest                                          ")</f>
        <v xml:space="preserve">     Interest                                          </v>
      </c>
      <c r="C211" s="13"/>
      <c r="D211" s="1">
        <f>SUM(OSRRefD22_13x_0)</f>
        <v>4044</v>
      </c>
      <c r="E211" s="1"/>
      <c r="F211" s="5">
        <f t="shared" si="82"/>
        <v>3.6441408181078105E-2</v>
      </c>
      <c r="G211" s="1"/>
      <c r="H211" s="1">
        <f>SUM(OSRRefH22_13x_0)</f>
        <v>4175</v>
      </c>
      <c r="I211" s="1"/>
      <c r="J211" s="5">
        <f t="shared" si="83"/>
        <v>5.5583962177663277E-3</v>
      </c>
      <c r="K211" s="1"/>
      <c r="L211" s="1">
        <f t="shared" si="84"/>
        <v>-131</v>
      </c>
      <c r="M211" s="1"/>
      <c r="N211" s="5">
        <f t="shared" si="85"/>
        <v>-3.1377245508982035E-2</v>
      </c>
      <c r="O211" s="13"/>
      <c r="P211" s="1">
        <f>SUM(OSRRefP22_13x_0)</f>
        <v>19957.849999999999</v>
      </c>
      <c r="Q211" s="1"/>
      <c r="R211" s="5">
        <f t="shared" si="86"/>
        <v>8.0880602915892053E-3</v>
      </c>
      <c r="S211" s="1"/>
      <c r="T211" s="1">
        <f>SUM(OSRRefT22_13x_0)</f>
        <v>20668.95</v>
      </c>
      <c r="U211" s="1"/>
      <c r="V211" s="5">
        <f t="shared" si="87"/>
        <v>3.1847358748729377E-3</v>
      </c>
      <c r="W211" s="1"/>
      <c r="X211" s="1">
        <f t="shared" si="88"/>
        <v>-711.10000000000218</v>
      </c>
      <c r="Y211" s="1"/>
      <c r="Z211" s="5">
        <f t="shared" si="89"/>
        <v>-3.4404263399930919E-2</v>
      </c>
    </row>
    <row r="212" spans="1:26" s="24" customFormat="1" hidden="1" outlineLevel="2" x14ac:dyDescent="0.25">
      <c r="A212" s="25"/>
      <c r="B212" s="11" t="str">
        <f>CONCATENATE("          ", "6401", " - ", "INTEREST EXPENSE")</f>
        <v xml:space="preserve">          6401 - INTEREST EXPENSE</v>
      </c>
      <c r="C212" s="11"/>
      <c r="D212" s="6">
        <v>4044</v>
      </c>
      <c r="E212" s="2"/>
      <c r="F212" s="7">
        <f t="shared" si="82"/>
        <v>3.6441408181078105E-2</v>
      </c>
      <c r="G212" s="2"/>
      <c r="H212" s="6">
        <v>4175</v>
      </c>
      <c r="I212" s="2"/>
      <c r="J212" s="7">
        <f t="shared" si="83"/>
        <v>5.5583962177663277E-3</v>
      </c>
      <c r="K212" s="2"/>
      <c r="L212" s="6">
        <f t="shared" si="84"/>
        <v>-131</v>
      </c>
      <c r="M212" s="2"/>
      <c r="N212" s="7">
        <f t="shared" si="85"/>
        <v>-3.1377245508982035E-2</v>
      </c>
      <c r="O212" s="11"/>
      <c r="P212" s="6">
        <v>19957.849999999999</v>
      </c>
      <c r="Q212" s="2"/>
      <c r="R212" s="7">
        <f t="shared" si="86"/>
        <v>8.0880602915892053E-3</v>
      </c>
      <c r="S212" s="2"/>
      <c r="T212" s="6">
        <v>20668.95</v>
      </c>
      <c r="U212" s="2"/>
      <c r="V212" s="7">
        <f t="shared" si="87"/>
        <v>3.1847358748729377E-3</v>
      </c>
      <c r="W212" s="2"/>
      <c r="X212" s="6">
        <f t="shared" si="88"/>
        <v>-711.10000000000218</v>
      </c>
      <c r="Y212" s="2"/>
      <c r="Z212" s="7">
        <f t="shared" si="89"/>
        <v>-3.4404263399930919E-2</v>
      </c>
    </row>
    <row r="213" spans="1:26" s="26" customFormat="1" outlineLevel="1" collapsed="1" x14ac:dyDescent="0.25">
      <c r="A213" s="27"/>
      <c r="B213" s="13" t="str">
        <f>CONCATENATE("     ","Inventory Adjustment                              ")</f>
        <v xml:space="preserve">     Inventory Adjustment                              </v>
      </c>
      <c r="C213" s="13"/>
      <c r="D213" s="1">
        <f>SUM(OSRRefD22_14x_0)</f>
        <v>2100</v>
      </c>
      <c r="E213" s="1"/>
      <c r="F213" s="5">
        <f t="shared" si="82"/>
        <v>1.8923579915990113E-2</v>
      </c>
      <c r="G213" s="1"/>
      <c r="H213" s="1">
        <f>SUM(OSRRefH22_14x_0)</f>
        <v>4250</v>
      </c>
      <c r="I213" s="1"/>
      <c r="J213" s="5">
        <f t="shared" si="83"/>
        <v>5.6582476468279982E-3</v>
      </c>
      <c r="K213" s="1"/>
      <c r="L213" s="1">
        <f t="shared" si="84"/>
        <v>-2150</v>
      </c>
      <c r="M213" s="1"/>
      <c r="N213" s="5">
        <f t="shared" si="85"/>
        <v>-0.50588235294117645</v>
      </c>
      <c r="O213" s="13"/>
      <c r="P213" s="1">
        <f>SUM(OSRRefP22_14x_0)</f>
        <v>10500</v>
      </c>
      <c r="Q213" s="1"/>
      <c r="R213" s="5">
        <f t="shared" si="86"/>
        <v>4.25519948600108E-3</v>
      </c>
      <c r="S213" s="1"/>
      <c r="T213" s="1">
        <f>SUM(OSRRefT22_14x_0)</f>
        <v>21150</v>
      </c>
      <c r="U213" s="1"/>
      <c r="V213" s="5">
        <f t="shared" si="87"/>
        <v>3.2588575497818047E-3</v>
      </c>
      <c r="W213" s="1"/>
      <c r="X213" s="1">
        <f t="shared" si="88"/>
        <v>-10650</v>
      </c>
      <c r="Y213" s="1"/>
      <c r="Z213" s="5">
        <f t="shared" si="89"/>
        <v>-0.50354609929078009</v>
      </c>
    </row>
    <row r="214" spans="1:26" s="24" customFormat="1" hidden="1" outlineLevel="2" x14ac:dyDescent="0.25">
      <c r="A214" s="25"/>
      <c r="B214" s="11" t="str">
        <f>CONCATENATE("          ", "6408", " - ", "INVENTORY ADJUSTMENT")</f>
        <v xml:space="preserve">          6408 - INVENTORY ADJUSTMENT</v>
      </c>
      <c r="C214" s="11"/>
      <c r="D214" s="6">
        <v>2100</v>
      </c>
      <c r="E214" s="2"/>
      <c r="F214" s="7">
        <f t="shared" si="82"/>
        <v>1.8923579915990113E-2</v>
      </c>
      <c r="G214" s="2"/>
      <c r="H214" s="6">
        <v>4250</v>
      </c>
      <c r="I214" s="2"/>
      <c r="J214" s="7">
        <f t="shared" si="83"/>
        <v>5.6582476468279982E-3</v>
      </c>
      <c r="K214" s="2"/>
      <c r="L214" s="6">
        <f t="shared" si="84"/>
        <v>-2150</v>
      </c>
      <c r="M214" s="2"/>
      <c r="N214" s="7">
        <f t="shared" si="85"/>
        <v>-0.50588235294117645</v>
      </c>
      <c r="O214" s="11"/>
      <c r="P214" s="6">
        <v>10500</v>
      </c>
      <c r="Q214" s="2"/>
      <c r="R214" s="7">
        <f t="shared" si="86"/>
        <v>4.25519948600108E-3</v>
      </c>
      <c r="S214" s="2"/>
      <c r="T214" s="6">
        <v>21150</v>
      </c>
      <c r="U214" s="2"/>
      <c r="V214" s="7">
        <f t="shared" si="87"/>
        <v>3.2588575497818047E-3</v>
      </c>
      <c r="W214" s="2"/>
      <c r="X214" s="6">
        <f t="shared" si="88"/>
        <v>-10650</v>
      </c>
      <c r="Y214" s="2"/>
      <c r="Z214" s="7">
        <f t="shared" si="89"/>
        <v>-0.50354609929078009</v>
      </c>
    </row>
    <row r="215" spans="1:26" s="26" customFormat="1" outlineLevel="1" collapsed="1" x14ac:dyDescent="0.25">
      <c r="A215" s="27"/>
      <c r="B215" s="13" t="str">
        <f>CONCATENATE("     ","Professional Services                             ")</f>
        <v xml:space="preserve">     Professional Services                             </v>
      </c>
      <c r="C215" s="13"/>
      <c r="D215" s="1">
        <f>SUM(OSRRefD22_15x_0)</f>
        <v>0</v>
      </c>
      <c r="E215" s="1"/>
      <c r="F215" s="5">
        <f t="shared" si="82"/>
        <v>0</v>
      </c>
      <c r="G215" s="1"/>
      <c r="H215" s="1">
        <f>SUM(OSRRefH22_15x_0)</f>
        <v>0</v>
      </c>
      <c r="I215" s="1"/>
      <c r="J215" s="5">
        <f t="shared" si="83"/>
        <v>0</v>
      </c>
      <c r="K215" s="1"/>
      <c r="L215" s="1">
        <f t="shared" si="84"/>
        <v>0</v>
      </c>
      <c r="M215" s="1"/>
      <c r="N215" s="5">
        <f t="shared" si="85"/>
        <v>0</v>
      </c>
      <c r="O215" s="13"/>
      <c r="P215" s="1">
        <f>SUM(OSRRefP22_15x_0)</f>
        <v>0</v>
      </c>
      <c r="Q215" s="1"/>
      <c r="R215" s="5">
        <f t="shared" si="86"/>
        <v>0</v>
      </c>
      <c r="S215" s="1"/>
      <c r="T215" s="1">
        <f>SUM(OSRRefT22_15x_0)</f>
        <v>6158.41</v>
      </c>
      <c r="U215" s="1"/>
      <c r="V215" s="5">
        <f t="shared" si="87"/>
        <v>9.4890689943979967E-4</v>
      </c>
      <c r="W215" s="1"/>
      <c r="X215" s="1">
        <f t="shared" si="88"/>
        <v>-6158.41</v>
      </c>
      <c r="Y215" s="1"/>
      <c r="Z215" s="5">
        <f t="shared" si="89"/>
        <v>-1</v>
      </c>
    </row>
    <row r="216" spans="1:26" s="24" customFormat="1" hidden="1" outlineLevel="2" x14ac:dyDescent="0.25">
      <c r="A216" s="25"/>
      <c r="B216" s="11" t="str">
        <f>CONCATENATE("          ", "6336", " - ", "PROFESSIONAL SERVICES")</f>
        <v xml:space="preserve">          6336 - PROFESSIONAL SERVICES</v>
      </c>
      <c r="C216" s="11"/>
      <c r="D216" s="6"/>
      <c r="E216" s="2"/>
      <c r="F216" s="7">
        <f t="shared" si="82"/>
        <v>0</v>
      </c>
      <c r="G216" s="2"/>
      <c r="H216" s="6"/>
      <c r="I216" s="2"/>
      <c r="J216" s="7">
        <f t="shared" si="83"/>
        <v>0</v>
      </c>
      <c r="K216" s="2"/>
      <c r="L216" s="6">
        <f t="shared" si="84"/>
        <v>0</v>
      </c>
      <c r="M216" s="2"/>
      <c r="N216" s="7">
        <f t="shared" si="85"/>
        <v>0</v>
      </c>
      <c r="O216" s="11"/>
      <c r="P216" s="6"/>
      <c r="Q216" s="2"/>
      <c r="R216" s="7">
        <f t="shared" si="86"/>
        <v>0</v>
      </c>
      <c r="S216" s="2"/>
      <c r="T216" s="6">
        <v>6158.41</v>
      </c>
      <c r="U216" s="2"/>
      <c r="V216" s="7">
        <f t="shared" si="87"/>
        <v>9.4890689943979967E-4</v>
      </c>
      <c r="W216" s="2"/>
      <c r="X216" s="6">
        <f t="shared" si="88"/>
        <v>-6158.41</v>
      </c>
      <c r="Y216" s="2"/>
      <c r="Z216" s="7">
        <f t="shared" si="89"/>
        <v>-1</v>
      </c>
    </row>
    <row r="217" spans="1:26" s="26" customFormat="1" outlineLevel="1" collapsed="1" x14ac:dyDescent="0.25">
      <c r="A217" s="27"/>
      <c r="B217" s="13" t="str">
        <f>CONCATENATE("     ","Rent                                              ")</f>
        <v xml:space="preserve">     Rent                                              </v>
      </c>
      <c r="C217" s="13"/>
      <c r="D217" s="1">
        <f>SUM(OSRRefD22_16x_0)</f>
        <v>6100</v>
      </c>
      <c r="E217" s="1"/>
      <c r="F217" s="5">
        <f t="shared" si="82"/>
        <v>5.4968494041685564E-2</v>
      </c>
      <c r="G217" s="1"/>
      <c r="H217" s="1">
        <f>SUM(OSRRefH22_16x_0)</f>
        <v>7250</v>
      </c>
      <c r="I217" s="1"/>
      <c r="J217" s="5">
        <f t="shared" si="83"/>
        <v>9.6523048092948191E-3</v>
      </c>
      <c r="K217" s="1"/>
      <c r="L217" s="1">
        <f t="shared" si="84"/>
        <v>-1150</v>
      </c>
      <c r="M217" s="1"/>
      <c r="N217" s="5">
        <f t="shared" si="85"/>
        <v>-0.15862068965517243</v>
      </c>
      <c r="O217" s="13"/>
      <c r="P217" s="1">
        <f>SUM(OSRRefP22_16x_0)</f>
        <v>30500</v>
      </c>
      <c r="Q217" s="1"/>
      <c r="R217" s="5">
        <f t="shared" si="86"/>
        <v>1.2360341364098377E-2</v>
      </c>
      <c r="S217" s="1"/>
      <c r="T217" s="1">
        <f>SUM(OSRRefT22_16x_0)</f>
        <v>36250</v>
      </c>
      <c r="U217" s="1"/>
      <c r="V217" s="5">
        <f t="shared" si="87"/>
        <v>5.5855123489168042E-3</v>
      </c>
      <c r="W217" s="1"/>
      <c r="X217" s="1">
        <f t="shared" si="88"/>
        <v>-5750</v>
      </c>
      <c r="Y217" s="1"/>
      <c r="Z217" s="5">
        <f t="shared" si="89"/>
        <v>-0.15862068965517243</v>
      </c>
    </row>
    <row r="218" spans="1:26" s="24" customFormat="1" hidden="1" outlineLevel="2" x14ac:dyDescent="0.25">
      <c r="A218" s="25"/>
      <c r="B218" s="11" t="str">
        <f>CONCATENATE("          ", "6273", " - ", "RENT")</f>
        <v xml:space="preserve">          6273 - RENT</v>
      </c>
      <c r="C218" s="11"/>
      <c r="D218" s="6">
        <v>6100</v>
      </c>
      <c r="E218" s="2"/>
      <c r="F218" s="7">
        <f t="shared" si="82"/>
        <v>5.4968494041685564E-2</v>
      </c>
      <c r="G218" s="2"/>
      <c r="H218" s="6">
        <v>7250</v>
      </c>
      <c r="I218" s="2"/>
      <c r="J218" s="7">
        <f t="shared" si="83"/>
        <v>9.6523048092948191E-3</v>
      </c>
      <c r="K218" s="2"/>
      <c r="L218" s="6">
        <f t="shared" si="84"/>
        <v>-1150</v>
      </c>
      <c r="M218" s="2"/>
      <c r="N218" s="7">
        <f t="shared" si="85"/>
        <v>-0.15862068965517243</v>
      </c>
      <c r="O218" s="11"/>
      <c r="P218" s="6">
        <v>30500</v>
      </c>
      <c r="Q218" s="2"/>
      <c r="R218" s="7">
        <f t="shared" si="86"/>
        <v>1.2360341364098377E-2</v>
      </c>
      <c r="S218" s="2"/>
      <c r="T218" s="6">
        <v>36250</v>
      </c>
      <c r="U218" s="2"/>
      <c r="V218" s="7">
        <f t="shared" si="87"/>
        <v>5.5855123489168042E-3</v>
      </c>
      <c r="W218" s="2"/>
      <c r="X218" s="6">
        <f t="shared" si="88"/>
        <v>-5750</v>
      </c>
      <c r="Y218" s="2"/>
      <c r="Z218" s="7">
        <f t="shared" si="89"/>
        <v>-0.15862068965517243</v>
      </c>
    </row>
    <row r="219" spans="1:26" s="26" customFormat="1" outlineLevel="1" collapsed="1" x14ac:dyDescent="0.25">
      <c r="A219" s="27"/>
      <c r="B219" s="13" t="str">
        <f>CONCATENATE("     ","Repair and Maintenance                            ")</f>
        <v xml:space="preserve">     Repair and Maintenance                            </v>
      </c>
      <c r="C219" s="13"/>
      <c r="D219" s="1">
        <f>SUM(OSRRefD22_17x_0)</f>
        <v>4116.45</v>
      </c>
      <c r="E219" s="1"/>
      <c r="F219" s="5">
        <f t="shared" si="82"/>
        <v>3.7094271688179761E-2</v>
      </c>
      <c r="G219" s="1"/>
      <c r="H219" s="1">
        <f>SUM(OSRRefH22_17x_0)</f>
        <v>6631.84</v>
      </c>
      <c r="I219" s="1"/>
      <c r="J219" s="5">
        <f t="shared" si="83"/>
        <v>8.8293160174446571E-3</v>
      </c>
      <c r="K219" s="1"/>
      <c r="L219" s="1">
        <f t="shared" si="84"/>
        <v>-2515.3900000000003</v>
      </c>
      <c r="M219" s="1"/>
      <c r="N219" s="5">
        <f t="shared" si="85"/>
        <v>-0.3792899104924124</v>
      </c>
      <c r="O219" s="13"/>
      <c r="P219" s="1">
        <f>SUM(OSRRefP22_17x_0)</f>
        <v>103169.55</v>
      </c>
      <c r="Q219" s="1"/>
      <c r="R219" s="5">
        <f t="shared" si="86"/>
        <v>4.1810192012472644E-2</v>
      </c>
      <c r="S219" s="1"/>
      <c r="T219" s="1">
        <f>SUM(OSRRefT22_17x_0)</f>
        <v>81370.95</v>
      </c>
      <c r="U219" s="1"/>
      <c r="V219" s="5">
        <f t="shared" si="87"/>
        <v>1.2537888167395638E-2</v>
      </c>
      <c r="W219" s="1"/>
      <c r="X219" s="1">
        <f t="shared" si="88"/>
        <v>21798.600000000006</v>
      </c>
      <c r="Y219" s="1"/>
      <c r="Z219" s="5">
        <f t="shared" si="89"/>
        <v>0.2678916738713264</v>
      </c>
    </row>
    <row r="220" spans="1:26" s="24" customFormat="1" hidden="1" outlineLevel="2" x14ac:dyDescent="0.25">
      <c r="A220" s="25"/>
      <c r="B220" s="11" t="str">
        <f>CONCATENATE("          ", "6371", " - ", "COMPUTER SOFTWARE MAINTENANCE")</f>
        <v xml:space="preserve">          6371 - COMPUTER SOFTWARE MAINTENANCE</v>
      </c>
      <c r="C220" s="11"/>
      <c r="D220" s="6"/>
      <c r="E220" s="2"/>
      <c r="F220" s="7">
        <f t="shared" si="82"/>
        <v>0</v>
      </c>
      <c r="G220" s="2"/>
      <c r="H220" s="6">
        <v>601</v>
      </c>
      <c r="I220" s="2"/>
      <c r="J220" s="7">
        <f t="shared" si="83"/>
        <v>8.0014278488085334E-4</v>
      </c>
      <c r="K220" s="2"/>
      <c r="L220" s="6">
        <f t="shared" si="84"/>
        <v>-601</v>
      </c>
      <c r="M220" s="2"/>
      <c r="N220" s="7">
        <f t="shared" si="85"/>
        <v>-1</v>
      </c>
      <c r="O220" s="11"/>
      <c r="P220" s="6">
        <v>58436.47</v>
      </c>
      <c r="Q220" s="2"/>
      <c r="R220" s="7">
        <f t="shared" si="86"/>
        <v>2.3681794010258814E-2</v>
      </c>
      <c r="S220" s="2"/>
      <c r="T220" s="6">
        <v>14664.33</v>
      </c>
      <c r="U220" s="2"/>
      <c r="V220" s="7">
        <f t="shared" si="87"/>
        <v>2.2595254152714805E-3</v>
      </c>
      <c r="W220" s="2"/>
      <c r="X220" s="6">
        <f t="shared" si="88"/>
        <v>43772.14</v>
      </c>
      <c r="Y220" s="2"/>
      <c r="Z220" s="7">
        <f t="shared" si="89"/>
        <v>2.9849396460663393</v>
      </c>
    </row>
    <row r="221" spans="1:26" s="24" customFormat="1" hidden="1" outlineLevel="2" x14ac:dyDescent="0.25">
      <c r="A221" s="25"/>
      <c r="B221" s="11" t="str">
        <f>CONCATENATE("          ", "6372", " - ", "COMPUTER HARDWARE MAINTENANCE")</f>
        <v xml:space="preserve">          6372 - COMPUTER HARDWARE MAINTENANCE</v>
      </c>
      <c r="C221" s="11"/>
      <c r="D221" s="6"/>
      <c r="E221" s="2"/>
      <c r="F221" s="7">
        <f t="shared" si="82"/>
        <v>0</v>
      </c>
      <c r="G221" s="2"/>
      <c r="H221" s="6"/>
      <c r="I221" s="2"/>
      <c r="J221" s="7">
        <f t="shared" si="83"/>
        <v>0</v>
      </c>
      <c r="K221" s="2"/>
      <c r="L221" s="6">
        <f t="shared" si="84"/>
        <v>0</v>
      </c>
      <c r="M221" s="2"/>
      <c r="N221" s="7">
        <f t="shared" si="85"/>
        <v>0</v>
      </c>
      <c r="O221" s="11"/>
      <c r="P221" s="6">
        <v>0</v>
      </c>
      <c r="Q221" s="2"/>
      <c r="R221" s="7">
        <f t="shared" si="86"/>
        <v>0</v>
      </c>
      <c r="S221" s="2"/>
      <c r="T221" s="6"/>
      <c r="U221" s="2"/>
      <c r="V221" s="7">
        <f t="shared" si="87"/>
        <v>0</v>
      </c>
      <c r="W221" s="2"/>
      <c r="X221" s="6">
        <f t="shared" si="88"/>
        <v>0</v>
      </c>
      <c r="Y221" s="2"/>
      <c r="Z221" s="7">
        <f t="shared" si="89"/>
        <v>0</v>
      </c>
    </row>
    <row r="222" spans="1:26" s="24" customFormat="1" hidden="1" outlineLevel="2" x14ac:dyDescent="0.25">
      <c r="A222" s="25"/>
      <c r="B222" s="11" t="str">
        <f>CONCATENATE("          ", "6373", " - ", "MAINTENANCE CONTRACTS")</f>
        <v xml:space="preserve">          6373 - MAINTENANCE CONTRACTS</v>
      </c>
      <c r="C222" s="11"/>
      <c r="D222" s="6">
        <v>440.29</v>
      </c>
      <c r="E222" s="2"/>
      <c r="F222" s="7">
        <f t="shared" si="82"/>
        <v>3.9675538101006129E-3</v>
      </c>
      <c r="G222" s="2"/>
      <c r="H222" s="6">
        <v>1461.73</v>
      </c>
      <c r="I222" s="2"/>
      <c r="J222" s="7">
        <f t="shared" si="83"/>
        <v>1.9460777253642093E-3</v>
      </c>
      <c r="K222" s="2"/>
      <c r="L222" s="6">
        <f t="shared" si="84"/>
        <v>-1021.44</v>
      </c>
      <c r="M222" s="2"/>
      <c r="N222" s="7">
        <f t="shared" si="85"/>
        <v>-0.69878842193838808</v>
      </c>
      <c r="O222" s="11"/>
      <c r="P222" s="6">
        <v>31681.16</v>
      </c>
      <c r="Q222" s="2"/>
      <c r="R222" s="7">
        <f t="shared" si="86"/>
        <v>1.2839014833135046E-2</v>
      </c>
      <c r="S222" s="2"/>
      <c r="T222" s="6">
        <v>32123.24</v>
      </c>
      <c r="U222" s="2"/>
      <c r="V222" s="7">
        <f t="shared" si="87"/>
        <v>4.9496483781301592E-3</v>
      </c>
      <c r="W222" s="2"/>
      <c r="X222" s="6">
        <f t="shared" si="88"/>
        <v>-442.08000000000175</v>
      </c>
      <c r="Y222" s="2"/>
      <c r="Z222" s="7">
        <f t="shared" si="89"/>
        <v>-1.3761999100962471E-2</v>
      </c>
    </row>
    <row r="223" spans="1:26" s="24" customFormat="1" hidden="1" outlineLevel="2" x14ac:dyDescent="0.25">
      <c r="A223" s="25"/>
      <c r="B223" s="11" t="str">
        <f>CONCATENATE("          ", "6375", " - ", "OUTSIDE REPAIRS &amp; MAINTENANCE")</f>
        <v xml:space="preserve">          6375 - OUTSIDE REPAIRS &amp; MAINTENANCE</v>
      </c>
      <c r="C223" s="11"/>
      <c r="D223" s="6">
        <v>3676.16</v>
      </c>
      <c r="E223" s="2"/>
      <c r="F223" s="7">
        <f t="shared" si="82"/>
        <v>3.3126717878079151E-2</v>
      </c>
      <c r="G223" s="2"/>
      <c r="H223" s="6">
        <v>4569.1099999999997</v>
      </c>
      <c r="I223" s="2"/>
      <c r="J223" s="7">
        <f t="shared" si="83"/>
        <v>6.0830955071995933E-3</v>
      </c>
      <c r="K223" s="2"/>
      <c r="L223" s="6">
        <f t="shared" si="84"/>
        <v>-892.94999999999982</v>
      </c>
      <c r="M223" s="2"/>
      <c r="N223" s="7">
        <f t="shared" si="85"/>
        <v>-0.19543193313358617</v>
      </c>
      <c r="O223" s="11"/>
      <c r="P223" s="6">
        <v>13051.92</v>
      </c>
      <c r="Q223" s="2"/>
      <c r="R223" s="7">
        <f t="shared" si="86"/>
        <v>5.289383169078783E-3</v>
      </c>
      <c r="S223" s="2"/>
      <c r="T223" s="6">
        <v>34583.379999999997</v>
      </c>
      <c r="U223" s="2"/>
      <c r="V223" s="7">
        <f t="shared" si="87"/>
        <v>5.3287143739939981E-3</v>
      </c>
      <c r="W223" s="2"/>
      <c r="X223" s="6">
        <f t="shared" si="88"/>
        <v>-21531.46</v>
      </c>
      <c r="Y223" s="2"/>
      <c r="Z223" s="7">
        <f t="shared" si="89"/>
        <v>-0.62259559360594596</v>
      </c>
    </row>
    <row r="224" spans="1:26" s="26" customFormat="1" outlineLevel="1" collapsed="1" x14ac:dyDescent="0.25">
      <c r="A224" s="27"/>
      <c r="B224" s="13" t="str">
        <f>CONCATENATE("     ","Royalty &amp; Commissions                             ")</f>
        <v xml:space="preserve">     Royalty &amp; Commissions                             </v>
      </c>
      <c r="C224" s="13"/>
      <c r="D224" s="1">
        <f>SUM(OSRRefD22_18x_0)</f>
        <v>4453.09</v>
      </c>
      <c r="E224" s="1"/>
      <c r="F224" s="5">
        <f t="shared" ref="F224:F227" si="90">IF(D$12=0,0,D224/D$12)</f>
        <v>4.012781166099829E-2</v>
      </c>
      <c r="G224" s="1"/>
      <c r="H224" s="1">
        <f>SUM(OSRRefH22_18x_0)</f>
        <v>18456.649999999998</v>
      </c>
      <c r="I224" s="1"/>
      <c r="J224" s="5">
        <f t="shared" ref="J224:J227" si="91">IF(H$12=0,0,H224/H$12)</f>
        <v>2.4572305042547753E-2</v>
      </c>
      <c r="K224" s="1"/>
      <c r="L224" s="1">
        <f t="shared" ref="L224:L227" si="92">+D224-H224</f>
        <v>-14003.559999999998</v>
      </c>
      <c r="M224" s="1"/>
      <c r="N224" s="5">
        <f t="shared" ref="N224:N227" si="93">IF(H224=0,0,L224/H224)</f>
        <v>-0.75872707127241401</v>
      </c>
      <c r="O224" s="13"/>
      <c r="P224" s="1">
        <f>SUM(OSRRefP22_18x_0)</f>
        <v>28755.79</v>
      </c>
      <c r="Q224" s="1"/>
      <c r="R224" s="5">
        <f t="shared" ref="R224:R227" si="94">IF(P$12=0,0,P224/P$12)</f>
        <v>1.1653487888338572E-2</v>
      </c>
      <c r="S224" s="1"/>
      <c r="T224" s="1">
        <f>SUM(OSRRefT22_18x_0)</f>
        <v>56209.2</v>
      </c>
      <c r="U224" s="1"/>
      <c r="V224" s="5">
        <f t="shared" ref="V224:V227" si="95">IF(T$12=0,0,T224/T$12)</f>
        <v>8.6608877440754323E-3</v>
      </c>
      <c r="W224" s="1"/>
      <c r="X224" s="1">
        <f t="shared" ref="X224:X227" si="96">+P224-T224</f>
        <v>-27453.409999999996</v>
      </c>
      <c r="Y224" s="1"/>
      <c r="Z224" s="5">
        <f t="shared" ref="Z224:Z227" si="97">IF(T224=0,0,X224/T224)</f>
        <v>-0.48841488581940318</v>
      </c>
    </row>
    <row r="225" spans="1:26" s="24" customFormat="1" hidden="1" outlineLevel="2" x14ac:dyDescent="0.25">
      <c r="A225" s="25"/>
      <c r="B225" s="11" t="str">
        <f>CONCATENATE("          ", "6253", " - ", "ROYALTY DUE ATHLETICS-LRG")</f>
        <v xml:space="preserve">          6253 - ROYALTY DUE ATHLETICS-LRG</v>
      </c>
      <c r="C225" s="11"/>
      <c r="D225" s="6"/>
      <c r="E225" s="2"/>
      <c r="F225" s="7">
        <f t="shared" si="90"/>
        <v>0</v>
      </c>
      <c r="G225" s="2"/>
      <c r="H225" s="6"/>
      <c r="I225" s="2"/>
      <c r="J225" s="7">
        <f t="shared" si="91"/>
        <v>0</v>
      </c>
      <c r="K225" s="2"/>
      <c r="L225" s="6">
        <f t="shared" si="92"/>
        <v>0</v>
      </c>
      <c r="M225" s="2"/>
      <c r="N225" s="7">
        <f t="shared" si="93"/>
        <v>0</v>
      </c>
      <c r="O225" s="11"/>
      <c r="P225" s="6">
        <v>18411.8</v>
      </c>
      <c r="Q225" s="2"/>
      <c r="R225" s="7">
        <f t="shared" si="94"/>
        <v>7.4615125615575895E-3</v>
      </c>
      <c r="S225" s="2"/>
      <c r="T225" s="6">
        <v>4366.95</v>
      </c>
      <c r="U225" s="2"/>
      <c r="V225" s="7">
        <f t="shared" si="95"/>
        <v>6.728731904028204E-4</v>
      </c>
      <c r="W225" s="2"/>
      <c r="X225" s="6">
        <f t="shared" si="96"/>
        <v>14044.849999999999</v>
      </c>
      <c r="Y225" s="2"/>
      <c r="Z225" s="7">
        <f t="shared" si="97"/>
        <v>3.216169179862375</v>
      </c>
    </row>
    <row r="226" spans="1:26" s="24" customFormat="1" hidden="1" outlineLevel="2" x14ac:dyDescent="0.25">
      <c r="A226" s="25"/>
      <c r="B226" s="11" t="str">
        <f>CONCATENATE("          ", "6254", " - ", "ROYALTY &amp; COMMISSIONS")</f>
        <v xml:space="preserve">          6254 - ROYALTY &amp; COMMISSIONS</v>
      </c>
      <c r="C226" s="11"/>
      <c r="D226" s="6"/>
      <c r="E226" s="2"/>
      <c r="F226" s="7">
        <f t="shared" si="90"/>
        <v>0</v>
      </c>
      <c r="G226" s="2"/>
      <c r="H226" s="6">
        <v>803.23</v>
      </c>
      <c r="I226" s="2"/>
      <c r="J226" s="7">
        <f t="shared" si="91"/>
        <v>1.0693821782027419E-3</v>
      </c>
      <c r="K226" s="2"/>
      <c r="L226" s="6">
        <f t="shared" si="92"/>
        <v>-803.23</v>
      </c>
      <c r="M226" s="2"/>
      <c r="N226" s="7">
        <f t="shared" si="93"/>
        <v>-1</v>
      </c>
      <c r="O226" s="11"/>
      <c r="P226" s="6">
        <v>185.7</v>
      </c>
      <c r="Q226" s="2"/>
      <c r="R226" s="7">
        <f t="shared" si="94"/>
        <v>7.5256242338133392E-5</v>
      </c>
      <c r="S226" s="2"/>
      <c r="T226" s="6">
        <v>7974.57</v>
      </c>
      <c r="U226" s="2"/>
      <c r="V226" s="7">
        <f t="shared" si="95"/>
        <v>1.2287464610290064E-3</v>
      </c>
      <c r="W226" s="2"/>
      <c r="X226" s="6">
        <f t="shared" si="96"/>
        <v>-7788.87</v>
      </c>
      <c r="Y226" s="2"/>
      <c r="Z226" s="7">
        <f t="shared" si="97"/>
        <v>-0.97671347796809105</v>
      </c>
    </row>
    <row r="227" spans="1:26" s="24" customFormat="1" hidden="1" outlineLevel="2" x14ac:dyDescent="0.25">
      <c r="A227" s="25"/>
      <c r="B227" s="11" t="str">
        <f>CONCATENATE("          ", "6259", " - ", "ROYALTY &amp; COMMISSIONS")</f>
        <v xml:space="preserve">          6259 - ROYALTY &amp; COMMISSIONS</v>
      </c>
      <c r="C227" s="11"/>
      <c r="D227" s="6">
        <v>4453.09</v>
      </c>
      <c r="E227" s="2"/>
      <c r="F227" s="7">
        <f t="shared" si="90"/>
        <v>4.012781166099829E-2</v>
      </c>
      <c r="G227" s="2"/>
      <c r="H227" s="6">
        <v>17653.419999999998</v>
      </c>
      <c r="I227" s="2"/>
      <c r="J227" s="7">
        <f t="shared" si="91"/>
        <v>2.3502922864345011E-2</v>
      </c>
      <c r="K227" s="2"/>
      <c r="L227" s="6">
        <f t="shared" si="92"/>
        <v>-13200.329999999998</v>
      </c>
      <c r="M227" s="2"/>
      <c r="N227" s="7">
        <f t="shared" si="93"/>
        <v>-0.74774916135230451</v>
      </c>
      <c r="O227" s="11"/>
      <c r="P227" s="6">
        <v>10158.290000000001</v>
      </c>
      <c r="Q227" s="2"/>
      <c r="R227" s="7">
        <f t="shared" si="94"/>
        <v>4.116719084442849E-3</v>
      </c>
      <c r="S227" s="2"/>
      <c r="T227" s="6">
        <v>43867.68</v>
      </c>
      <c r="U227" s="2"/>
      <c r="V227" s="7">
        <f t="shared" si="95"/>
        <v>6.759268092643606E-3</v>
      </c>
      <c r="W227" s="2"/>
      <c r="X227" s="6">
        <f t="shared" si="96"/>
        <v>-33709.39</v>
      </c>
      <c r="Y227" s="2"/>
      <c r="Z227" s="7">
        <f t="shared" si="97"/>
        <v>-0.76843338877278211</v>
      </c>
    </row>
    <row r="228" spans="1:26" s="26" customFormat="1" outlineLevel="1" collapsed="1" x14ac:dyDescent="0.25">
      <c r="A228" s="27"/>
      <c r="B228" s="13" t="str">
        <f>CONCATENATE("     ","Services                                          ")</f>
        <v xml:space="preserve">     Services                                          </v>
      </c>
      <c r="C228" s="13"/>
      <c r="D228" s="1">
        <f>SUM(OSRRefD22_19x_0)</f>
        <v>4228.53</v>
      </c>
      <c r="E228" s="1"/>
      <c r="F228" s="5">
        <f t="shared" ref="F228:F233" si="98">IF(D$12=0,0,D228/D$12)</f>
        <v>3.8104250181981748E-2</v>
      </c>
      <c r="G228" s="1"/>
      <c r="H228" s="1">
        <f>SUM(OSRRefH22_19x_0)</f>
        <v>5915.0999999999995</v>
      </c>
      <c r="I228" s="1"/>
      <c r="J228" s="5">
        <f t="shared" ref="J228:J233" si="99">IF(H$12=0,0,H228/H$12)</f>
        <v>7.8750825072358317E-3</v>
      </c>
      <c r="K228" s="1"/>
      <c r="L228" s="1">
        <f t="shared" ref="L228:L233" si="100">+D228-H228</f>
        <v>-1686.5699999999997</v>
      </c>
      <c r="M228" s="1"/>
      <c r="N228" s="5">
        <f t="shared" ref="N228:N233" si="101">IF(H228=0,0,L228/H228)</f>
        <v>-0.28512958360805396</v>
      </c>
      <c r="O228" s="13"/>
      <c r="P228" s="1">
        <f>SUM(OSRRefP22_19x_0)</f>
        <v>16044.96</v>
      </c>
      <c r="Q228" s="1"/>
      <c r="R228" s="5">
        <f t="shared" ref="R228:R233" si="102">IF(P$12=0,0,P228/P$12)</f>
        <v>6.5023338614197991E-3</v>
      </c>
      <c r="S228" s="1"/>
      <c r="T228" s="1">
        <f>SUM(OSRRefT22_19x_0)</f>
        <v>30951.460000000003</v>
      </c>
      <c r="U228" s="1"/>
      <c r="V228" s="5">
        <f t="shared" ref="V228:V233" si="103">IF(T$12=0,0,T228/T$12)</f>
        <v>4.7690968840552973E-3</v>
      </c>
      <c r="W228" s="1"/>
      <c r="X228" s="1">
        <f t="shared" ref="X228:X233" si="104">+P228-T228</f>
        <v>-14906.500000000004</v>
      </c>
      <c r="Y228" s="1"/>
      <c r="Z228" s="5">
        <f t="shared" ref="Z228:Z233" si="105">IF(T228=0,0,X228/T228)</f>
        <v>-0.48160894510307439</v>
      </c>
    </row>
    <row r="229" spans="1:26" s="24" customFormat="1" hidden="1" outlineLevel="2" x14ac:dyDescent="0.25">
      <c r="A229" s="25"/>
      <c r="B229" s="11" t="str">
        <f>CONCATENATE("          ", "6282", " - ", "JANITORIAL/EXTERMINATOR EXPENS")</f>
        <v xml:space="preserve">          6282 - JANITORIAL/EXTERMINATOR EXPENS</v>
      </c>
      <c r="C229" s="11"/>
      <c r="D229" s="6">
        <v>307.5</v>
      </c>
      <c r="E229" s="2"/>
      <c r="F229" s="7">
        <f t="shared" si="98"/>
        <v>2.7709527734128378E-3</v>
      </c>
      <c r="G229" s="2"/>
      <c r="H229" s="6">
        <v>566.24</v>
      </c>
      <c r="I229" s="2"/>
      <c r="J229" s="7">
        <f t="shared" si="99"/>
        <v>7.5386497589173779E-4</v>
      </c>
      <c r="K229" s="2"/>
      <c r="L229" s="6">
        <f t="shared" si="100"/>
        <v>-258.74</v>
      </c>
      <c r="M229" s="2"/>
      <c r="N229" s="7">
        <f t="shared" si="101"/>
        <v>-0.45694405199208815</v>
      </c>
      <c r="O229" s="11"/>
      <c r="P229" s="6">
        <v>5210.96</v>
      </c>
      <c r="Q229" s="2"/>
      <c r="R229" s="7">
        <f t="shared" si="102"/>
        <v>2.1117785060544942E-3</v>
      </c>
      <c r="S229" s="2"/>
      <c r="T229" s="6">
        <v>4211.6400000000003</v>
      </c>
      <c r="U229" s="2"/>
      <c r="V229" s="7">
        <f t="shared" si="103"/>
        <v>6.4894254425357169E-4</v>
      </c>
      <c r="W229" s="2"/>
      <c r="X229" s="6">
        <f t="shared" si="104"/>
        <v>999.31999999999971</v>
      </c>
      <c r="Y229" s="2"/>
      <c r="Z229" s="7">
        <f t="shared" si="105"/>
        <v>0.23727574056662004</v>
      </c>
    </row>
    <row r="230" spans="1:26" s="24" customFormat="1" hidden="1" outlineLevel="2" x14ac:dyDescent="0.25">
      <c r="A230" s="25"/>
      <c r="B230" s="11" t="str">
        <f>CONCATENATE("          ", "6283", " - ", "PLANT SERVICE")</f>
        <v xml:space="preserve">          6283 - PLANT SERVICE</v>
      </c>
      <c r="C230" s="11"/>
      <c r="D230" s="6">
        <v>41.31</v>
      </c>
      <c r="E230" s="2"/>
      <c r="F230" s="7">
        <f t="shared" si="98"/>
        <v>3.7225385063311984E-4</v>
      </c>
      <c r="G230" s="2"/>
      <c r="H230" s="6"/>
      <c r="I230" s="2"/>
      <c r="J230" s="7">
        <f t="shared" si="99"/>
        <v>0</v>
      </c>
      <c r="K230" s="2"/>
      <c r="L230" s="6">
        <f t="shared" si="100"/>
        <v>41.31</v>
      </c>
      <c r="M230" s="2"/>
      <c r="N230" s="7">
        <f t="shared" si="101"/>
        <v>0</v>
      </c>
      <c r="O230" s="11"/>
      <c r="P230" s="6">
        <v>171.31</v>
      </c>
      <c r="Q230" s="2"/>
      <c r="R230" s="7">
        <f t="shared" si="102"/>
        <v>6.9424592756842394E-5</v>
      </c>
      <c r="S230" s="2"/>
      <c r="T230" s="6">
        <v>541.98</v>
      </c>
      <c r="U230" s="2"/>
      <c r="V230" s="7">
        <f t="shared" si="103"/>
        <v>8.3509958148025645E-5</v>
      </c>
      <c r="W230" s="2"/>
      <c r="X230" s="6">
        <f t="shared" si="104"/>
        <v>-370.67</v>
      </c>
      <c r="Y230" s="2"/>
      <c r="Z230" s="7">
        <f t="shared" si="105"/>
        <v>-0.68391822576478833</v>
      </c>
    </row>
    <row r="231" spans="1:26" s="24" customFormat="1" hidden="1" outlineLevel="2" x14ac:dyDescent="0.25">
      <c r="A231" s="25"/>
      <c r="B231" s="11" t="str">
        <f>CONCATENATE("          ", "6284", " - ", "TRASH REMOVAL EXPENSE")</f>
        <v xml:space="preserve">          6284 - TRASH REMOVAL EXPENSE</v>
      </c>
      <c r="C231" s="11"/>
      <c r="D231" s="6">
        <v>289</v>
      </c>
      <c r="E231" s="2"/>
      <c r="F231" s="7">
        <f t="shared" si="98"/>
        <v>2.6042450455814963E-3</v>
      </c>
      <c r="G231" s="2"/>
      <c r="H231" s="6">
        <v>371.82</v>
      </c>
      <c r="I231" s="2"/>
      <c r="J231" s="7">
        <f t="shared" si="99"/>
        <v>4.9502344471613786E-4</v>
      </c>
      <c r="K231" s="2"/>
      <c r="L231" s="6">
        <f t="shared" si="100"/>
        <v>-82.82</v>
      </c>
      <c r="M231" s="2"/>
      <c r="N231" s="7">
        <f t="shared" si="101"/>
        <v>-0.22274218707976975</v>
      </c>
      <c r="O231" s="11"/>
      <c r="P231" s="6">
        <v>874.3</v>
      </c>
      <c r="Q231" s="2"/>
      <c r="R231" s="7">
        <f t="shared" si="102"/>
        <v>3.5431627720102329E-4</v>
      </c>
      <c r="S231" s="2"/>
      <c r="T231" s="6">
        <v>1622.1</v>
      </c>
      <c r="U231" s="2"/>
      <c r="V231" s="7">
        <f t="shared" si="103"/>
        <v>2.4993819534283994E-4</v>
      </c>
      <c r="W231" s="2"/>
      <c r="X231" s="6">
        <f t="shared" si="104"/>
        <v>-747.8</v>
      </c>
      <c r="Y231" s="2"/>
      <c r="Z231" s="7">
        <f t="shared" si="105"/>
        <v>-0.46100733616916345</v>
      </c>
    </row>
    <row r="232" spans="1:26" s="24" customFormat="1" hidden="1" outlineLevel="2" x14ac:dyDescent="0.25">
      <c r="A232" s="25"/>
      <c r="B232" s="11" t="str">
        <f>CONCATENATE("          ", "6285", " - ", "JANITORIAL SERVICES")</f>
        <v xml:space="preserve">          6285 - JANITORIAL SERVICES</v>
      </c>
      <c r="C232" s="11"/>
      <c r="D232" s="6">
        <v>3590.72</v>
      </c>
      <c r="E232" s="2"/>
      <c r="F232" s="7">
        <f t="shared" si="98"/>
        <v>3.235679851235429E-2</v>
      </c>
      <c r="G232" s="2"/>
      <c r="H232" s="6">
        <v>4218.08</v>
      </c>
      <c r="I232" s="2"/>
      <c r="J232" s="7">
        <f t="shared" si="99"/>
        <v>5.615750878619351E-3</v>
      </c>
      <c r="K232" s="2"/>
      <c r="L232" s="6">
        <f t="shared" si="100"/>
        <v>-627.36000000000013</v>
      </c>
      <c r="M232" s="2"/>
      <c r="N232" s="7">
        <f t="shared" si="101"/>
        <v>-0.14873117626977206</v>
      </c>
      <c r="O232" s="11"/>
      <c r="P232" s="6">
        <v>9788.39</v>
      </c>
      <c r="Q232" s="2"/>
      <c r="R232" s="7">
        <f t="shared" si="102"/>
        <v>3.966814485407439E-3</v>
      </c>
      <c r="S232" s="2"/>
      <c r="T232" s="6">
        <v>20844.04</v>
      </c>
      <c r="U232" s="2"/>
      <c r="V232" s="7">
        <f t="shared" si="103"/>
        <v>3.2117142847259542E-3</v>
      </c>
      <c r="W232" s="2"/>
      <c r="X232" s="6">
        <f t="shared" si="104"/>
        <v>-11055.650000000001</v>
      </c>
      <c r="Y232" s="2"/>
      <c r="Z232" s="7">
        <f t="shared" si="105"/>
        <v>-0.53039861754247264</v>
      </c>
    </row>
    <row r="233" spans="1:26" s="24" customFormat="1" hidden="1" outlineLevel="2" x14ac:dyDescent="0.25">
      <c r="A233" s="25"/>
      <c r="B233" s="11" t="str">
        <f>CONCATENATE("          ", "6286", " - ", "LAUNDRY EXPENSE")</f>
        <v xml:space="preserve">          6286 - LAUNDRY EXPENSE</v>
      </c>
      <c r="C233" s="11"/>
      <c r="D233" s="6"/>
      <c r="E233" s="2"/>
      <c r="F233" s="7">
        <f t="shared" si="98"/>
        <v>0</v>
      </c>
      <c r="G233" s="2"/>
      <c r="H233" s="6">
        <v>758.96</v>
      </c>
      <c r="I233" s="2"/>
      <c r="J233" s="7">
        <f t="shared" si="99"/>
        <v>1.0104432080086064E-3</v>
      </c>
      <c r="K233" s="2"/>
      <c r="L233" s="6">
        <f t="shared" si="100"/>
        <v>-758.96</v>
      </c>
      <c r="M233" s="2"/>
      <c r="N233" s="7">
        <f t="shared" si="101"/>
        <v>-1</v>
      </c>
      <c r="O233" s="11"/>
      <c r="P233" s="6"/>
      <c r="Q233" s="2"/>
      <c r="R233" s="7">
        <f t="shared" si="102"/>
        <v>0</v>
      </c>
      <c r="S233" s="2"/>
      <c r="T233" s="6">
        <v>3731.7</v>
      </c>
      <c r="U233" s="2"/>
      <c r="V233" s="7">
        <f t="shared" si="103"/>
        <v>5.7499190158490586E-4</v>
      </c>
      <c r="W233" s="2"/>
      <c r="X233" s="6">
        <f t="shared" si="104"/>
        <v>-3731.7</v>
      </c>
      <c r="Y233" s="2"/>
      <c r="Z233" s="7">
        <f t="shared" si="105"/>
        <v>-1</v>
      </c>
    </row>
    <row r="234" spans="1:26" s="26" customFormat="1" outlineLevel="1" collapsed="1" x14ac:dyDescent="0.25">
      <c r="A234" s="27"/>
      <c r="B234" s="13" t="str">
        <f>CONCATENATE("     ","Subscriptions &amp; Dues                              ")</f>
        <v xml:space="preserve">     Subscriptions &amp; Dues                              </v>
      </c>
      <c r="C234" s="13"/>
      <c r="D234" s="1">
        <f>SUM(OSRRefD22_20x_0)</f>
        <v>-274.08</v>
      </c>
      <c r="E234" s="1"/>
      <c r="F234" s="5">
        <f t="shared" ref="F234:F236" si="106">IF(D$12=0,0,D234/D$12)</f>
        <v>-2.4697975158926525E-3</v>
      </c>
      <c r="G234" s="1"/>
      <c r="H234" s="1">
        <f>SUM(OSRRefH22_20x_0)</f>
        <v>175.36</v>
      </c>
      <c r="I234" s="1"/>
      <c r="J234" s="5">
        <f t="shared" ref="J234:J236" si="107">IF(H$12=0,0,H234/H$12)</f>
        <v>2.3346595467006064E-4</v>
      </c>
      <c r="K234" s="1"/>
      <c r="L234" s="1">
        <f t="shared" ref="L234:L236" si="108">+D234-H234</f>
        <v>-449.44</v>
      </c>
      <c r="M234" s="1"/>
      <c r="N234" s="5">
        <f t="shared" ref="N234:N236" si="109">IF(H234=0,0,L234/H234)</f>
        <v>-2.562956204379562</v>
      </c>
      <c r="O234" s="13"/>
      <c r="P234" s="1">
        <f>SUM(OSRRefP22_20x_0)</f>
        <v>1375.01</v>
      </c>
      <c r="Q234" s="1"/>
      <c r="R234" s="5">
        <f t="shared" ref="R234:R236" si="110">IF(P$12=0,0,P234/P$12)</f>
        <v>5.5723255669012819E-4</v>
      </c>
      <c r="S234" s="1"/>
      <c r="T234" s="1">
        <f>SUM(OSRRefT22_20x_0)</f>
        <v>2923.36</v>
      </c>
      <c r="U234" s="1"/>
      <c r="V234" s="5">
        <f t="shared" ref="V234:V236" si="111">IF(T$12=0,0,T234/T$12)</f>
        <v>4.5044036911253603E-4</v>
      </c>
      <c r="W234" s="1"/>
      <c r="X234" s="1">
        <f t="shared" ref="X234:X236" si="112">+P234-T234</f>
        <v>-1548.3500000000001</v>
      </c>
      <c r="Y234" s="1"/>
      <c r="Z234" s="5">
        <f t="shared" ref="Z234:Z236" si="113">IF(T234=0,0,X234/T234)</f>
        <v>-0.52964739204203382</v>
      </c>
    </row>
    <row r="235" spans="1:26" s="24" customFormat="1" hidden="1" outlineLevel="2" x14ac:dyDescent="0.25">
      <c r="A235" s="25"/>
      <c r="B235" s="11" t="str">
        <f>CONCATENATE("          ", "6258", " - ", "MEMBERSHIP DUES")</f>
        <v xml:space="preserve">          6258 - MEMBERSHIP DUES</v>
      </c>
      <c r="C235" s="11"/>
      <c r="D235" s="6">
        <v>-274.08</v>
      </c>
      <c r="E235" s="2"/>
      <c r="F235" s="7">
        <f t="shared" si="106"/>
        <v>-2.4697975158926525E-3</v>
      </c>
      <c r="G235" s="2"/>
      <c r="H235" s="6">
        <v>250</v>
      </c>
      <c r="I235" s="2"/>
      <c r="J235" s="7">
        <f t="shared" si="107"/>
        <v>3.3283809687223518E-4</v>
      </c>
      <c r="K235" s="2"/>
      <c r="L235" s="6">
        <f t="shared" si="108"/>
        <v>-524.07999999999993</v>
      </c>
      <c r="M235" s="2"/>
      <c r="N235" s="7">
        <f t="shared" si="109"/>
        <v>-2.0963199999999995</v>
      </c>
      <c r="O235" s="11"/>
      <c r="P235" s="6">
        <v>1149.28</v>
      </c>
      <c r="Q235" s="2"/>
      <c r="R235" s="7">
        <f t="shared" si="110"/>
        <v>4.6575387288298303E-4</v>
      </c>
      <c r="S235" s="2"/>
      <c r="T235" s="6">
        <v>1427.4</v>
      </c>
      <c r="U235" s="2"/>
      <c r="V235" s="7">
        <f t="shared" si="111"/>
        <v>2.1993821591293373E-4</v>
      </c>
      <c r="W235" s="2"/>
      <c r="X235" s="6">
        <f t="shared" si="112"/>
        <v>-278.12000000000012</v>
      </c>
      <c r="Y235" s="2"/>
      <c r="Z235" s="7">
        <f t="shared" si="113"/>
        <v>-0.19484377189295229</v>
      </c>
    </row>
    <row r="236" spans="1:26" s="24" customFormat="1" hidden="1" outlineLevel="2" x14ac:dyDescent="0.25">
      <c r="A236" s="25"/>
      <c r="B236" s="11" t="str">
        <f>CONCATENATE("          ", "6275", " - ", "SUBSCRIPTIONS")</f>
        <v xml:space="preserve">          6275 - SUBSCRIPTIONS</v>
      </c>
      <c r="C236" s="11"/>
      <c r="D236" s="6"/>
      <c r="E236" s="2"/>
      <c r="F236" s="7">
        <f t="shared" si="106"/>
        <v>0</v>
      </c>
      <c r="G236" s="2"/>
      <c r="H236" s="6">
        <v>-74.64</v>
      </c>
      <c r="I236" s="2"/>
      <c r="J236" s="7">
        <f t="shared" si="107"/>
        <v>-9.9372142202174539E-5</v>
      </c>
      <c r="K236" s="2"/>
      <c r="L236" s="6">
        <f t="shared" si="108"/>
        <v>74.64</v>
      </c>
      <c r="M236" s="2"/>
      <c r="N236" s="7">
        <f t="shared" si="109"/>
        <v>-1</v>
      </c>
      <c r="O236" s="11"/>
      <c r="P236" s="6">
        <v>225.73</v>
      </c>
      <c r="Q236" s="2"/>
      <c r="R236" s="7">
        <f t="shared" si="110"/>
        <v>9.1478683807145125E-5</v>
      </c>
      <c r="S236" s="2"/>
      <c r="T236" s="6">
        <v>1495.96</v>
      </c>
      <c r="U236" s="2"/>
      <c r="V236" s="7">
        <f t="shared" si="111"/>
        <v>2.3050215319960231E-4</v>
      </c>
      <c r="W236" s="2"/>
      <c r="X236" s="6">
        <f t="shared" si="112"/>
        <v>-1270.23</v>
      </c>
      <c r="Y236" s="2"/>
      <c r="Z236" s="7">
        <f t="shared" si="113"/>
        <v>-0.84910692799272702</v>
      </c>
    </row>
    <row r="237" spans="1:26" s="26" customFormat="1" outlineLevel="1" collapsed="1" x14ac:dyDescent="0.25">
      <c r="A237" s="27"/>
      <c r="B237" s="13" t="str">
        <f>CONCATENATE("     ","Supplies                                          ")</f>
        <v xml:space="preserve">     Supplies                                          </v>
      </c>
      <c r="C237" s="13"/>
      <c r="D237" s="1">
        <f>SUM(OSRRefD22_21x_0)</f>
        <v>14796.98</v>
      </c>
      <c r="E237" s="1"/>
      <c r="F237" s="5">
        <f t="shared" ref="F237:F244" si="114">IF(D$12=0,0,D237/D$12)</f>
        <v>0.13333896835490827</v>
      </c>
      <c r="G237" s="1"/>
      <c r="H237" s="1">
        <f>SUM(OSRRefH22_21x_0)</f>
        <v>7560.7699999999995</v>
      </c>
      <c r="I237" s="1"/>
      <c r="J237" s="5">
        <f t="shared" ref="J237:J244" si="115">IF(H$12=0,0,H237/H$12)</f>
        <v>1.0066049190754758E-2</v>
      </c>
      <c r="K237" s="1"/>
      <c r="L237" s="1">
        <f t="shared" ref="L237:L244" si="116">+D237-H237</f>
        <v>7236.21</v>
      </c>
      <c r="M237" s="1"/>
      <c r="N237" s="5">
        <f t="shared" ref="N237:N244" si="117">IF(H237=0,0,L237/H237)</f>
        <v>0.95707315524741532</v>
      </c>
      <c r="O237" s="13"/>
      <c r="P237" s="1">
        <f>SUM(OSRRefP22_21x_0)</f>
        <v>72490.009999999995</v>
      </c>
      <c r="Q237" s="1"/>
      <c r="R237" s="5">
        <f t="shared" ref="R237:R244" si="118">IF(P$12=0,0,P237/P$12)</f>
        <v>2.9377090789734585E-2</v>
      </c>
      <c r="S237" s="1"/>
      <c r="T237" s="1">
        <f>SUM(OSRRefT22_21x_0)</f>
        <v>78273.01999999999</v>
      </c>
      <c r="U237" s="1"/>
      <c r="V237" s="5">
        <f t="shared" ref="V237:V244" si="119">IF(T$12=0,0,T237/T$12)</f>
        <v>1.206054951164171E-2</v>
      </c>
      <c r="W237" s="1"/>
      <c r="X237" s="1">
        <f t="shared" ref="X237:X244" si="120">+P237-T237</f>
        <v>-5783.0099999999948</v>
      </c>
      <c r="Y237" s="1"/>
      <c r="Z237" s="5">
        <f t="shared" ref="Z237:Z244" si="121">IF(T237=0,0,X237/T237)</f>
        <v>-7.3882545990942933E-2</v>
      </c>
    </row>
    <row r="238" spans="1:26" s="24" customFormat="1" hidden="1" outlineLevel="2" x14ac:dyDescent="0.25">
      <c r="A238" s="25"/>
      <c r="B238" s="11" t="str">
        <f>CONCATENATE("          ", "6234", " - ", "EXPENDABLE SUPPLIES &amp; EQUIPMEN")</f>
        <v xml:space="preserve">          6234 - EXPENDABLE SUPPLIES &amp; EQUIPMEN</v>
      </c>
      <c r="C238" s="11"/>
      <c r="D238" s="6">
        <v>-550.67999999999995</v>
      </c>
      <c r="E238" s="2"/>
      <c r="F238" s="7">
        <f t="shared" si="114"/>
        <v>-4.9623033276844928E-3</v>
      </c>
      <c r="G238" s="2"/>
      <c r="H238" s="6">
        <v>134.87</v>
      </c>
      <c r="I238" s="2"/>
      <c r="J238" s="7">
        <f t="shared" si="115"/>
        <v>1.7955949650063345E-4</v>
      </c>
      <c r="K238" s="2"/>
      <c r="L238" s="6">
        <f t="shared" si="116"/>
        <v>-685.55</v>
      </c>
      <c r="M238" s="2"/>
      <c r="N238" s="7">
        <f t="shared" si="117"/>
        <v>-5.0830429302291087</v>
      </c>
      <c r="O238" s="11"/>
      <c r="P238" s="6">
        <v>-132.66999999999999</v>
      </c>
      <c r="Q238" s="2"/>
      <c r="R238" s="7">
        <f t="shared" si="118"/>
        <v>-5.3765458648358405E-5</v>
      </c>
      <c r="S238" s="2"/>
      <c r="T238" s="6">
        <v>2915.21</v>
      </c>
      <c r="U238" s="2"/>
      <c r="V238" s="7">
        <f t="shared" si="119"/>
        <v>4.4918459185340021E-4</v>
      </c>
      <c r="W238" s="2"/>
      <c r="X238" s="6">
        <f t="shared" si="120"/>
        <v>-3047.88</v>
      </c>
      <c r="Y238" s="2"/>
      <c r="Z238" s="7">
        <f t="shared" si="121"/>
        <v>-1.0455095859303447</v>
      </c>
    </row>
    <row r="239" spans="1:26" s="24" customFormat="1" hidden="1" outlineLevel="2" x14ac:dyDescent="0.25">
      <c r="A239" s="25"/>
      <c r="B239" s="11" t="str">
        <f>CONCATENATE("          ", "6235", " - ", "COVID-19 EXPENSES")</f>
        <v xml:space="preserve">          6235 - COVID-19 EXPENSES</v>
      </c>
      <c r="C239" s="11"/>
      <c r="D239" s="6">
        <v>2556.84</v>
      </c>
      <c r="E239" s="2"/>
      <c r="F239" s="7">
        <f t="shared" si="114"/>
        <v>2.3040269558285791E-2</v>
      </c>
      <c r="G239" s="2"/>
      <c r="H239" s="6"/>
      <c r="I239" s="2"/>
      <c r="J239" s="7">
        <f t="shared" si="115"/>
        <v>0</v>
      </c>
      <c r="K239" s="2"/>
      <c r="L239" s="6">
        <f t="shared" si="116"/>
        <v>2556.84</v>
      </c>
      <c r="M239" s="2"/>
      <c r="N239" s="7">
        <f t="shared" si="117"/>
        <v>0</v>
      </c>
      <c r="O239" s="11"/>
      <c r="P239" s="6">
        <v>28663.9</v>
      </c>
      <c r="Q239" s="2"/>
      <c r="R239" s="7">
        <f t="shared" si="118"/>
        <v>1.1616248813979655E-2</v>
      </c>
      <c r="S239" s="2"/>
      <c r="T239" s="6"/>
      <c r="U239" s="2"/>
      <c r="V239" s="7">
        <f t="shared" si="119"/>
        <v>0</v>
      </c>
      <c r="W239" s="2"/>
      <c r="X239" s="6">
        <f t="shared" si="120"/>
        <v>28663.9</v>
      </c>
      <c r="Y239" s="2"/>
      <c r="Z239" s="7">
        <f t="shared" si="121"/>
        <v>0</v>
      </c>
    </row>
    <row r="240" spans="1:26" s="24" customFormat="1" hidden="1" outlineLevel="2" x14ac:dyDescent="0.25">
      <c r="A240" s="25"/>
      <c r="B240" s="11" t="str">
        <f>CONCATENATE("          ", "6237", " - ", "JANITORIAL SUPPLIES")</f>
        <v xml:space="preserve">          6237 - JANITORIAL SUPPLIES</v>
      </c>
      <c r="C240" s="11"/>
      <c r="D240" s="6">
        <v>246.99</v>
      </c>
      <c r="E240" s="2"/>
      <c r="F240" s="7">
        <f t="shared" si="114"/>
        <v>2.22568333497638E-3</v>
      </c>
      <c r="G240" s="2"/>
      <c r="H240" s="6">
        <v>1505.75</v>
      </c>
      <c r="I240" s="2"/>
      <c r="J240" s="7">
        <f t="shared" si="115"/>
        <v>2.0046838574614726E-3</v>
      </c>
      <c r="K240" s="2"/>
      <c r="L240" s="6">
        <f t="shared" si="116"/>
        <v>-1258.76</v>
      </c>
      <c r="M240" s="2"/>
      <c r="N240" s="7">
        <f t="shared" si="117"/>
        <v>-0.83596878631911009</v>
      </c>
      <c r="O240" s="11"/>
      <c r="P240" s="6">
        <v>1812.92</v>
      </c>
      <c r="Q240" s="2"/>
      <c r="R240" s="7">
        <f t="shared" si="118"/>
        <v>7.3469869068200756E-4</v>
      </c>
      <c r="S240" s="2"/>
      <c r="T240" s="6">
        <v>5681.61</v>
      </c>
      <c r="U240" s="2"/>
      <c r="V240" s="7">
        <f t="shared" si="119"/>
        <v>8.7544007770287463E-4</v>
      </c>
      <c r="W240" s="2"/>
      <c r="X240" s="6">
        <f t="shared" si="120"/>
        <v>-3868.6899999999996</v>
      </c>
      <c r="Y240" s="2"/>
      <c r="Z240" s="7">
        <f t="shared" si="121"/>
        <v>-0.68091438870320209</v>
      </c>
    </row>
    <row r="241" spans="1:26" s="24" customFormat="1" hidden="1" outlineLevel="2" x14ac:dyDescent="0.25">
      <c r="A241" s="25"/>
      <c r="B241" s="11" t="str">
        <f>CONCATENATE("          ", "6241", " - ", "OFFICE EXPENSE")</f>
        <v xml:space="preserve">          6241 - OFFICE EXPENSE</v>
      </c>
      <c r="C241" s="11"/>
      <c r="D241" s="6">
        <v>669.18</v>
      </c>
      <c r="E241" s="2"/>
      <c r="F241" s="7">
        <f t="shared" si="114"/>
        <v>6.0301339086582207E-3</v>
      </c>
      <c r="G241" s="2"/>
      <c r="H241" s="6">
        <v>2466.59</v>
      </c>
      <c r="I241" s="2"/>
      <c r="J241" s="7">
        <f t="shared" si="115"/>
        <v>3.2839004854563463E-3</v>
      </c>
      <c r="K241" s="2"/>
      <c r="L241" s="6">
        <f t="shared" si="116"/>
        <v>-1797.4100000000003</v>
      </c>
      <c r="M241" s="2"/>
      <c r="N241" s="7">
        <f t="shared" si="117"/>
        <v>-0.72870237858744269</v>
      </c>
      <c r="O241" s="11"/>
      <c r="P241" s="6">
        <v>8610.16</v>
      </c>
      <c r="Q241" s="2"/>
      <c r="R241" s="7">
        <f t="shared" si="118"/>
        <v>3.4893284196559106E-3</v>
      </c>
      <c r="S241" s="2"/>
      <c r="T241" s="6">
        <v>16227.409999999998</v>
      </c>
      <c r="U241" s="2"/>
      <c r="V241" s="7">
        <f t="shared" si="119"/>
        <v>2.5003696260947872E-3</v>
      </c>
      <c r="W241" s="2"/>
      <c r="X241" s="6">
        <f t="shared" si="120"/>
        <v>-7617.2499999999982</v>
      </c>
      <c r="Y241" s="2"/>
      <c r="Z241" s="7">
        <f t="shared" si="121"/>
        <v>-0.4694063932568413</v>
      </c>
    </row>
    <row r="242" spans="1:26" s="24" customFormat="1" hidden="1" outlineLevel="2" x14ac:dyDescent="0.25">
      <c r="A242" s="25"/>
      <c r="B242" s="11" t="str">
        <f>CONCATENATE("          ", "6243", " - ", "PAPER SUPPLIES")</f>
        <v xml:space="preserve">          6243 - PAPER SUPPLIES</v>
      </c>
      <c r="C242" s="11"/>
      <c r="D242" s="6">
        <v>1108.5999999999999</v>
      </c>
      <c r="E242" s="2"/>
      <c r="F242" s="7">
        <f t="shared" si="114"/>
        <v>9.9898479499364937E-3</v>
      </c>
      <c r="G242" s="2"/>
      <c r="H242" s="6">
        <v>1743.37</v>
      </c>
      <c r="I242" s="2"/>
      <c r="J242" s="7">
        <f t="shared" si="115"/>
        <v>2.3210398117765943E-3</v>
      </c>
      <c r="K242" s="2"/>
      <c r="L242" s="6">
        <f t="shared" si="116"/>
        <v>-634.77</v>
      </c>
      <c r="M242" s="2"/>
      <c r="N242" s="7">
        <f t="shared" si="117"/>
        <v>-0.3641051526640931</v>
      </c>
      <c r="O242" s="11"/>
      <c r="P242" s="6">
        <v>4682.3</v>
      </c>
      <c r="Q242" s="2"/>
      <c r="R242" s="7">
        <f t="shared" si="118"/>
        <v>1.8975352907907486E-3</v>
      </c>
      <c r="S242" s="2"/>
      <c r="T242" s="6">
        <v>9347.33</v>
      </c>
      <c r="U242" s="2"/>
      <c r="V242" s="7">
        <f t="shared" si="119"/>
        <v>1.4402655763972555E-3</v>
      </c>
      <c r="W242" s="2"/>
      <c r="X242" s="6">
        <f t="shared" si="120"/>
        <v>-4665.03</v>
      </c>
      <c r="Y242" s="2"/>
      <c r="Z242" s="7">
        <f t="shared" si="121"/>
        <v>-0.49907620678846254</v>
      </c>
    </row>
    <row r="243" spans="1:26" s="24" customFormat="1" hidden="1" outlineLevel="2" x14ac:dyDescent="0.25">
      <c r="A243" s="25"/>
      <c r="B243" s="11" t="str">
        <f>CONCATENATE("          ", "6245", " - ", "PRINTING")</f>
        <v xml:space="preserve">          6245 - PRINTING</v>
      </c>
      <c r="C243" s="11"/>
      <c r="D243" s="6">
        <v>93.72</v>
      </c>
      <c r="E243" s="2"/>
      <c r="F243" s="7">
        <f t="shared" si="114"/>
        <v>8.4453233796504446E-4</v>
      </c>
      <c r="G243" s="2"/>
      <c r="H243" s="6">
        <v>-364.76</v>
      </c>
      <c r="I243" s="2"/>
      <c r="J243" s="7">
        <f t="shared" si="115"/>
        <v>-4.8562409686046598E-4</v>
      </c>
      <c r="K243" s="2"/>
      <c r="L243" s="6">
        <f t="shared" si="116"/>
        <v>458.48</v>
      </c>
      <c r="M243" s="2"/>
      <c r="N243" s="7">
        <f t="shared" si="117"/>
        <v>-1.2569360675512666</v>
      </c>
      <c r="O243" s="11"/>
      <c r="P243" s="6">
        <v>508.27</v>
      </c>
      <c r="Q243" s="2"/>
      <c r="R243" s="7">
        <f t="shared" si="118"/>
        <v>2.0598002311902563E-4</v>
      </c>
      <c r="S243" s="2"/>
      <c r="T243" s="6">
        <v>4926.79</v>
      </c>
      <c r="U243" s="2"/>
      <c r="V243" s="7">
        <f t="shared" si="119"/>
        <v>7.5913507270399514E-4</v>
      </c>
      <c r="W243" s="2"/>
      <c r="X243" s="6">
        <f t="shared" si="120"/>
        <v>-4418.5200000000004</v>
      </c>
      <c r="Y243" s="2"/>
      <c r="Z243" s="7">
        <f t="shared" si="121"/>
        <v>-0.89683546487672505</v>
      </c>
    </row>
    <row r="244" spans="1:26" s="24" customFormat="1" hidden="1" outlineLevel="2" x14ac:dyDescent="0.25">
      <c r="A244" s="25"/>
      <c r="B244" s="11" t="str">
        <f>CONCATENATE("          ", "6247", " - ", "STORE SUPPLIES")</f>
        <v xml:space="preserve">          6247 - STORE SUPPLIES</v>
      </c>
      <c r="C244" s="11"/>
      <c r="D244" s="6">
        <v>10672.33</v>
      </c>
      <c r="E244" s="2"/>
      <c r="F244" s="7">
        <f t="shared" si="114"/>
        <v>9.6170804592770845E-2</v>
      </c>
      <c r="G244" s="2"/>
      <c r="H244" s="6">
        <v>2074.9499999999998</v>
      </c>
      <c r="I244" s="2"/>
      <c r="J244" s="7">
        <f t="shared" si="115"/>
        <v>2.7624896364201773E-3</v>
      </c>
      <c r="K244" s="2"/>
      <c r="L244" s="6">
        <f t="shared" si="116"/>
        <v>8597.380000000001</v>
      </c>
      <c r="M244" s="2"/>
      <c r="N244" s="7">
        <f t="shared" si="117"/>
        <v>4.1434155039880487</v>
      </c>
      <c r="O244" s="11"/>
      <c r="P244" s="6">
        <v>28345.129999999997</v>
      </c>
      <c r="Q244" s="2"/>
      <c r="R244" s="7">
        <f t="shared" si="118"/>
        <v>1.14870650101556E-2</v>
      </c>
      <c r="S244" s="2"/>
      <c r="T244" s="6">
        <v>39174.67</v>
      </c>
      <c r="U244" s="2"/>
      <c r="V244" s="7">
        <f t="shared" si="119"/>
        <v>6.0361545668893976E-3</v>
      </c>
      <c r="W244" s="2"/>
      <c r="X244" s="6">
        <f t="shared" si="120"/>
        <v>-10829.54</v>
      </c>
      <c r="Y244" s="2"/>
      <c r="Z244" s="7">
        <f t="shared" si="121"/>
        <v>-0.27644240525829578</v>
      </c>
    </row>
    <row r="245" spans="1:26" s="26" customFormat="1" outlineLevel="1" collapsed="1" x14ac:dyDescent="0.25">
      <c r="A245" s="27"/>
      <c r="B245" s="13" t="str">
        <f>CONCATENATE("     ","Telephone/Data Lines                              ")</f>
        <v xml:space="preserve">     Telephone/Data Lines                              </v>
      </c>
      <c r="C245" s="13"/>
      <c r="D245" s="1">
        <f>SUM(OSRRefD22_22x_0)</f>
        <v>2804.0299999999997</v>
      </c>
      <c r="E245" s="1"/>
      <c r="F245" s="5">
        <f t="shared" ref="F245:F247" si="122">IF(D$12=0,0,D245/D$12)</f>
        <v>2.5267755138968454E-2</v>
      </c>
      <c r="G245" s="1"/>
      <c r="H245" s="1">
        <f>SUM(OSRRefH22_22x_0)</f>
        <v>2713.31</v>
      </c>
      <c r="I245" s="1"/>
      <c r="J245" s="5">
        <f t="shared" ref="J245:J247" si="123">IF(H$12=0,0,H245/H$12)</f>
        <v>3.6123717464976177E-3</v>
      </c>
      <c r="K245" s="1"/>
      <c r="L245" s="1">
        <f t="shared" ref="L245:L247" si="124">+D245-H245</f>
        <v>90.7199999999998</v>
      </c>
      <c r="M245" s="1"/>
      <c r="N245" s="5">
        <f t="shared" ref="N245:N247" si="125">IF(H245=0,0,L245/H245)</f>
        <v>3.3435176960981167E-2</v>
      </c>
      <c r="O245" s="13"/>
      <c r="P245" s="1">
        <f>SUM(OSRRefP22_22x_0)</f>
        <v>15441.39</v>
      </c>
      <c r="Q245" s="1"/>
      <c r="R245" s="5">
        <f t="shared" ref="R245:R247" si="126">IF(P$12=0,0,P245/P$12)</f>
        <v>6.2577328372516398E-3</v>
      </c>
      <c r="S245" s="1"/>
      <c r="T245" s="1">
        <f>SUM(OSRRefT22_22x_0)</f>
        <v>15152.07</v>
      </c>
      <c r="U245" s="1"/>
      <c r="V245" s="5">
        <f t="shared" ref="V245:V247" si="127">IF(T$12=0,0,T245/T$12)</f>
        <v>2.3346779061145335E-3</v>
      </c>
      <c r="W245" s="1"/>
      <c r="X245" s="1">
        <f t="shared" ref="X245:X247" si="128">+P245-T245</f>
        <v>289.31999999999971</v>
      </c>
      <c r="Y245" s="1"/>
      <c r="Z245" s="5">
        <f t="shared" ref="Z245:Z247" si="129">IF(T245=0,0,X245/T245)</f>
        <v>1.9094420762311666E-2</v>
      </c>
    </row>
    <row r="246" spans="1:26" s="24" customFormat="1" hidden="1" outlineLevel="2" x14ac:dyDescent="0.25">
      <c r="A246" s="25"/>
      <c r="B246" s="11" t="str">
        <f>CONCATENATE("          ", "6303", " - ", "DATA PHONE LINES")</f>
        <v xml:space="preserve">          6303 - DATA PHONE LINES</v>
      </c>
      <c r="C246" s="11"/>
      <c r="D246" s="6">
        <v>885</v>
      </c>
      <c r="E246" s="2"/>
      <c r="F246" s="7">
        <f t="shared" si="122"/>
        <v>7.9749372503101195E-3</v>
      </c>
      <c r="G246" s="2"/>
      <c r="H246" s="6">
        <v>295</v>
      </c>
      <c r="I246" s="2"/>
      <c r="J246" s="7">
        <f t="shared" si="123"/>
        <v>3.9274895430923748E-4</v>
      </c>
      <c r="K246" s="2"/>
      <c r="L246" s="6">
        <f t="shared" si="124"/>
        <v>590</v>
      </c>
      <c r="M246" s="2"/>
      <c r="N246" s="7">
        <f t="shared" si="125"/>
        <v>2</v>
      </c>
      <c r="O246" s="11"/>
      <c r="P246" s="6">
        <v>2065</v>
      </c>
      <c r="Q246" s="2"/>
      <c r="R246" s="7">
        <f t="shared" si="126"/>
        <v>8.3685589891354577E-4</v>
      </c>
      <c r="S246" s="2"/>
      <c r="T246" s="6">
        <v>1475</v>
      </c>
      <c r="U246" s="2"/>
      <c r="V246" s="7">
        <f t="shared" si="127"/>
        <v>2.2727257143868377E-4</v>
      </c>
      <c r="W246" s="2"/>
      <c r="X246" s="6">
        <f t="shared" si="128"/>
        <v>590</v>
      </c>
      <c r="Y246" s="2"/>
      <c r="Z246" s="7">
        <f t="shared" si="129"/>
        <v>0.4</v>
      </c>
    </row>
    <row r="247" spans="1:26" s="24" customFormat="1" hidden="1" outlineLevel="2" x14ac:dyDescent="0.25">
      <c r="A247" s="25"/>
      <c r="B247" s="11" t="str">
        <f>CONCATENATE("          ", "6309", " - ", "TELEPHONE")</f>
        <v xml:space="preserve">          6309 - TELEPHONE</v>
      </c>
      <c r="C247" s="11"/>
      <c r="D247" s="6">
        <v>1919.03</v>
      </c>
      <c r="E247" s="2"/>
      <c r="F247" s="7">
        <f t="shared" si="122"/>
        <v>1.7292817888658336E-2</v>
      </c>
      <c r="G247" s="2"/>
      <c r="H247" s="6">
        <v>2418.31</v>
      </c>
      <c r="I247" s="2"/>
      <c r="J247" s="7">
        <f t="shared" si="123"/>
        <v>3.2196227921883801E-3</v>
      </c>
      <c r="K247" s="2"/>
      <c r="L247" s="6">
        <f t="shared" si="124"/>
        <v>-499.28</v>
      </c>
      <c r="M247" s="2"/>
      <c r="N247" s="7">
        <f t="shared" si="125"/>
        <v>-0.20645822909387132</v>
      </c>
      <c r="O247" s="11"/>
      <c r="P247" s="6">
        <v>13376.39</v>
      </c>
      <c r="Q247" s="2"/>
      <c r="R247" s="7">
        <f t="shared" si="126"/>
        <v>5.4208769383380945E-3</v>
      </c>
      <c r="S247" s="2"/>
      <c r="T247" s="6">
        <v>13677.07</v>
      </c>
      <c r="U247" s="2"/>
      <c r="V247" s="7">
        <f t="shared" si="127"/>
        <v>2.1074053346758501E-3</v>
      </c>
      <c r="W247" s="2"/>
      <c r="X247" s="6">
        <f t="shared" si="128"/>
        <v>-300.68000000000029</v>
      </c>
      <c r="Y247" s="2"/>
      <c r="Z247" s="7">
        <f t="shared" si="129"/>
        <v>-2.1984240776716086E-2</v>
      </c>
    </row>
    <row r="248" spans="1:26" s="26" customFormat="1" outlineLevel="1" collapsed="1" x14ac:dyDescent="0.25">
      <c r="A248" s="27"/>
      <c r="B248" s="13" t="str">
        <f>CONCATENATE("     ","Training                                          ")</f>
        <v xml:space="preserve">     Training                                          </v>
      </c>
      <c r="C248" s="13"/>
      <c r="D248" s="1">
        <f>SUM(OSRRefD22_23x_0)</f>
        <v>0</v>
      </c>
      <c r="E248" s="1"/>
      <c r="F248" s="5">
        <f t="shared" ref="F248:F253" si="130">IF(D$12=0,0,D248/D$12)</f>
        <v>0</v>
      </c>
      <c r="G248" s="1"/>
      <c r="H248" s="1">
        <f>SUM(OSRRefH22_23x_0)</f>
        <v>2143.04</v>
      </c>
      <c r="I248" s="1"/>
      <c r="J248" s="5">
        <f t="shared" ref="J248:J253" si="131">IF(H$12=0,0,H248/H$12)</f>
        <v>2.8531414204842993E-3</v>
      </c>
      <c r="K248" s="1"/>
      <c r="L248" s="1">
        <f t="shared" ref="L248:L253" si="132">+D248-H248</f>
        <v>-2143.04</v>
      </c>
      <c r="M248" s="1"/>
      <c r="N248" s="5">
        <f t="shared" ref="N248:N253" si="133">IF(H248=0,0,L248/H248)</f>
        <v>-1</v>
      </c>
      <c r="O248" s="13"/>
      <c r="P248" s="1">
        <f>SUM(OSRRefP22_23x_0)</f>
        <v>145.63</v>
      </c>
      <c r="Q248" s="1"/>
      <c r="R248" s="5">
        <f t="shared" ref="R248:R253" si="134">IF(P$12=0,0,P248/P$12)</f>
        <v>5.9017590585365457E-5</v>
      </c>
      <c r="S248" s="1"/>
      <c r="T248" s="1">
        <f>SUM(OSRRefT22_23x_0)</f>
        <v>7659.8</v>
      </c>
      <c r="U248" s="1"/>
      <c r="V248" s="5">
        <f t="shared" ref="V248:V253" si="135">IF(T$12=0,0,T248/T$12)</f>
        <v>1.180245723868495E-3</v>
      </c>
      <c r="W248" s="1"/>
      <c r="X248" s="1">
        <f t="shared" ref="X248:X253" si="136">+P248-T248</f>
        <v>-7514.17</v>
      </c>
      <c r="Y248" s="1"/>
      <c r="Z248" s="5">
        <f t="shared" ref="Z248:Z253" si="137">IF(T248=0,0,X248/T248)</f>
        <v>-0.98098775424945817</v>
      </c>
    </row>
    <row r="249" spans="1:26" s="24" customFormat="1" hidden="1" outlineLevel="2" x14ac:dyDescent="0.25">
      <c r="A249" s="25"/>
      <c r="B249" s="11" t="str">
        <f>CONCATENATE("          ", "6376", " - ", "TRAINING")</f>
        <v xml:space="preserve">          6376 - TRAINING</v>
      </c>
      <c r="C249" s="11"/>
      <c r="D249" s="6"/>
      <c r="E249" s="2"/>
      <c r="F249" s="7">
        <f t="shared" si="130"/>
        <v>0</v>
      </c>
      <c r="G249" s="2"/>
      <c r="H249" s="6">
        <v>2143.04</v>
      </c>
      <c r="I249" s="2"/>
      <c r="J249" s="7">
        <f t="shared" si="131"/>
        <v>2.8531414204842993E-3</v>
      </c>
      <c r="K249" s="2"/>
      <c r="L249" s="6">
        <f t="shared" si="132"/>
        <v>-2143.04</v>
      </c>
      <c r="M249" s="2"/>
      <c r="N249" s="7">
        <f t="shared" si="133"/>
        <v>-1</v>
      </c>
      <c r="O249" s="11"/>
      <c r="P249" s="6">
        <v>145.63</v>
      </c>
      <c r="Q249" s="2"/>
      <c r="R249" s="7">
        <f t="shared" si="134"/>
        <v>5.9017590585365457E-5</v>
      </c>
      <c r="S249" s="2"/>
      <c r="T249" s="6">
        <v>7659.8</v>
      </c>
      <c r="U249" s="2"/>
      <c r="V249" s="7">
        <f t="shared" si="135"/>
        <v>1.180245723868495E-3</v>
      </c>
      <c r="W249" s="2"/>
      <c r="X249" s="6">
        <f t="shared" si="136"/>
        <v>-7514.17</v>
      </c>
      <c r="Y249" s="2"/>
      <c r="Z249" s="7">
        <f t="shared" si="137"/>
        <v>-0.98098775424945817</v>
      </c>
    </row>
    <row r="250" spans="1:26" s="26" customFormat="1" outlineLevel="1" collapsed="1" x14ac:dyDescent="0.25">
      <c r="A250" s="27"/>
      <c r="B250" s="13" t="str">
        <f>CONCATENATE("     ","Travel                                            ")</f>
        <v xml:space="preserve">     Travel                                            </v>
      </c>
      <c r="C250" s="13"/>
      <c r="D250" s="1">
        <f>SUM(OSRRefD22_24x_0)</f>
        <v>299</v>
      </c>
      <c r="E250" s="1"/>
      <c r="F250" s="5">
        <f t="shared" si="130"/>
        <v>2.6943573308957349E-3</v>
      </c>
      <c r="G250" s="1"/>
      <c r="H250" s="1">
        <f>SUM(OSRRefH22_24x_0)</f>
        <v>354.64</v>
      </c>
      <c r="I250" s="1"/>
      <c r="J250" s="5">
        <f t="shared" si="131"/>
        <v>4.7215081069907792E-4</v>
      </c>
      <c r="K250" s="1"/>
      <c r="L250" s="1">
        <f t="shared" si="132"/>
        <v>-55.639999999999986</v>
      </c>
      <c r="M250" s="1"/>
      <c r="N250" s="5">
        <f t="shared" si="133"/>
        <v>-0.15689149560117299</v>
      </c>
      <c r="O250" s="13"/>
      <c r="P250" s="1">
        <f>SUM(OSRRefP22_24x_0)</f>
        <v>680.93</v>
      </c>
      <c r="Q250" s="1"/>
      <c r="R250" s="5">
        <f t="shared" si="134"/>
        <v>2.7595171295263955E-4</v>
      </c>
      <c r="S250" s="1"/>
      <c r="T250" s="1">
        <f>SUM(OSRRefT22_24x_0)</f>
        <v>1601.7499999999998</v>
      </c>
      <c r="U250" s="1"/>
      <c r="V250" s="5">
        <f t="shared" si="135"/>
        <v>2.4680260427248249E-4</v>
      </c>
      <c r="W250" s="1"/>
      <c r="X250" s="1">
        <f t="shared" si="136"/>
        <v>-920.81999999999982</v>
      </c>
      <c r="Y250" s="1"/>
      <c r="Z250" s="5">
        <f t="shared" si="137"/>
        <v>-0.57488372093023254</v>
      </c>
    </row>
    <row r="251" spans="1:26" s="24" customFormat="1" hidden="1" outlineLevel="2" x14ac:dyDescent="0.25">
      <c r="A251" s="25"/>
      <c r="B251" s="11" t="str">
        <f>CONCATENATE("          ", "6292", " - ", "TRAVEL/CONFERENCE")</f>
        <v xml:space="preserve">          6292 - TRAVEL/CONFERENCE</v>
      </c>
      <c r="C251" s="11"/>
      <c r="D251" s="6">
        <v>299</v>
      </c>
      <c r="E251" s="2"/>
      <c r="F251" s="7">
        <f t="shared" si="130"/>
        <v>2.6943573308957349E-3</v>
      </c>
      <c r="G251" s="2"/>
      <c r="H251" s="6">
        <v>47.96</v>
      </c>
      <c r="I251" s="2"/>
      <c r="J251" s="7">
        <f t="shared" si="131"/>
        <v>6.3851660503969602E-5</v>
      </c>
      <c r="K251" s="2"/>
      <c r="L251" s="6">
        <f t="shared" si="132"/>
        <v>251.04</v>
      </c>
      <c r="M251" s="2"/>
      <c r="N251" s="7">
        <f t="shared" si="133"/>
        <v>5.2343619683069225</v>
      </c>
      <c r="O251" s="11"/>
      <c r="P251" s="6">
        <v>299.16000000000003</v>
      </c>
      <c r="Q251" s="2"/>
      <c r="R251" s="7">
        <f t="shared" si="134"/>
        <v>1.2123671221257936E-4</v>
      </c>
      <c r="S251" s="2"/>
      <c r="T251" s="6">
        <v>688.61</v>
      </c>
      <c r="U251" s="2"/>
      <c r="V251" s="7">
        <f t="shared" si="135"/>
        <v>1.0610316299552002E-4</v>
      </c>
      <c r="W251" s="2"/>
      <c r="X251" s="6">
        <f t="shared" si="136"/>
        <v>-389.45</v>
      </c>
      <c r="Y251" s="2"/>
      <c r="Z251" s="7">
        <f t="shared" si="137"/>
        <v>-0.56555960558225993</v>
      </c>
    </row>
    <row r="252" spans="1:26" s="24" customFormat="1" hidden="1" outlineLevel="2" x14ac:dyDescent="0.25">
      <c r="A252" s="25"/>
      <c r="B252" s="11" t="str">
        <f>CONCATENATE("          ", "6294", " - ", "TRAVEL OPERATIONAL")</f>
        <v xml:space="preserve">          6294 - TRAVEL OPERATIONAL</v>
      </c>
      <c r="C252" s="11"/>
      <c r="D252" s="6"/>
      <c r="E252" s="2"/>
      <c r="F252" s="7">
        <f t="shared" si="130"/>
        <v>0</v>
      </c>
      <c r="G252" s="2"/>
      <c r="H252" s="6">
        <v>257.33</v>
      </c>
      <c r="I252" s="2"/>
      <c r="J252" s="7">
        <f t="shared" si="131"/>
        <v>3.4259690987252907E-4</v>
      </c>
      <c r="K252" s="2"/>
      <c r="L252" s="6">
        <f t="shared" si="132"/>
        <v>-257.33</v>
      </c>
      <c r="M252" s="2"/>
      <c r="N252" s="7">
        <f t="shared" si="133"/>
        <v>-1</v>
      </c>
      <c r="O252" s="11"/>
      <c r="P252" s="6">
        <v>321.88</v>
      </c>
      <c r="Q252" s="2"/>
      <c r="R252" s="7">
        <f t="shared" si="134"/>
        <v>1.3044415338609789E-4</v>
      </c>
      <c r="S252" s="2"/>
      <c r="T252" s="6">
        <v>693.8</v>
      </c>
      <c r="U252" s="2"/>
      <c r="V252" s="7">
        <f t="shared" si="135"/>
        <v>1.0690285428078563E-4</v>
      </c>
      <c r="W252" s="2"/>
      <c r="X252" s="6">
        <f t="shared" si="136"/>
        <v>-371.91999999999996</v>
      </c>
      <c r="Y252" s="2"/>
      <c r="Z252" s="7">
        <f t="shared" si="137"/>
        <v>-0.53606226578264626</v>
      </c>
    </row>
    <row r="253" spans="1:26" s="24" customFormat="1" hidden="1" outlineLevel="2" x14ac:dyDescent="0.25">
      <c r="A253" s="25"/>
      <c r="B253" s="11" t="str">
        <f>CONCATENATE("          ", "6298", " - ", "VEHICLE MILEAGE")</f>
        <v xml:space="preserve">          6298 - VEHICLE MILEAGE</v>
      </c>
      <c r="C253" s="11"/>
      <c r="D253" s="6"/>
      <c r="E253" s="2"/>
      <c r="F253" s="7">
        <f t="shared" si="130"/>
        <v>0</v>
      </c>
      <c r="G253" s="2"/>
      <c r="H253" s="6">
        <v>49.35</v>
      </c>
      <c r="I253" s="2"/>
      <c r="J253" s="7">
        <f t="shared" si="131"/>
        <v>6.5702240322579222E-5</v>
      </c>
      <c r="K253" s="2"/>
      <c r="L253" s="6">
        <f t="shared" si="132"/>
        <v>-49.35</v>
      </c>
      <c r="M253" s="2"/>
      <c r="N253" s="7">
        <f t="shared" si="133"/>
        <v>-1</v>
      </c>
      <c r="O253" s="11"/>
      <c r="P253" s="6">
        <v>59.89</v>
      </c>
      <c r="Q253" s="2"/>
      <c r="R253" s="7">
        <f t="shared" si="134"/>
        <v>2.4270847353962353E-5</v>
      </c>
      <c r="S253" s="2"/>
      <c r="T253" s="6">
        <v>219.34</v>
      </c>
      <c r="U253" s="2"/>
      <c r="V253" s="7">
        <f t="shared" si="135"/>
        <v>3.3796586996176878E-5</v>
      </c>
      <c r="W253" s="2"/>
      <c r="X253" s="6">
        <f t="shared" si="136"/>
        <v>-159.44999999999999</v>
      </c>
      <c r="Y253" s="2"/>
      <c r="Z253" s="7">
        <f t="shared" si="137"/>
        <v>-0.72695358803683774</v>
      </c>
    </row>
    <row r="254" spans="1:26" s="26" customFormat="1" outlineLevel="1" collapsed="1" x14ac:dyDescent="0.25">
      <c r="A254" s="27"/>
      <c r="B254" s="13" t="str">
        <f>CONCATENATE("     ","Utilities                                         ")</f>
        <v xml:space="preserve">     Utilities                                         </v>
      </c>
      <c r="C254" s="13"/>
      <c r="D254" s="1">
        <f>SUM(OSRRefD22_25x_0)</f>
        <v>7286.38</v>
      </c>
      <c r="E254" s="1"/>
      <c r="F254" s="5">
        <f t="shared" ref="F254:F255" si="138">IF(D$12=0,0,D254/D$12)</f>
        <v>6.5659235346796213E-2</v>
      </c>
      <c r="G254" s="1"/>
      <c r="H254" s="1">
        <f>SUM(OSRRefH22_25x_0)</f>
        <v>6602.26</v>
      </c>
      <c r="I254" s="1"/>
      <c r="J254" s="5">
        <f t="shared" ref="J254:J255" si="139">IF(H$12=0,0,H254/H$12)</f>
        <v>8.7899346138227332E-3</v>
      </c>
      <c r="K254" s="1"/>
      <c r="L254" s="1">
        <f t="shared" ref="L254:L255" si="140">+D254-H254</f>
        <v>684.11999999999989</v>
      </c>
      <c r="M254" s="1"/>
      <c r="N254" s="5">
        <f t="shared" ref="N254:N255" si="141">IF(H254=0,0,L254/H254)</f>
        <v>0.10361906377513153</v>
      </c>
      <c r="O254" s="13"/>
      <c r="P254" s="1">
        <f>SUM(OSRRefP22_25x_0)</f>
        <v>33007.81</v>
      </c>
      <c r="Q254" s="1"/>
      <c r="R254" s="5">
        <f t="shared" ref="R254:R255" si="142">IF(P$12=0,0,P254/P$12)</f>
        <v>1.3376649156763934E-2</v>
      </c>
      <c r="S254" s="1"/>
      <c r="T254" s="1">
        <f>SUM(OSRRefT22_25x_0)</f>
        <v>25637.040000000001</v>
      </c>
      <c r="U254" s="1"/>
      <c r="V254" s="5">
        <f t="shared" ref="V254:V255" si="143">IF(T$12=0,0,T254/T$12)</f>
        <v>3.9502345795772165E-3</v>
      </c>
      <c r="W254" s="1"/>
      <c r="X254" s="1">
        <f t="shared" ref="X254:X255" si="144">+P254-T254</f>
        <v>7370.7699999999968</v>
      </c>
      <c r="Y254" s="1"/>
      <c r="Z254" s="5">
        <f t="shared" ref="Z254:Z255" si="145">IF(T254=0,0,X254/T254)</f>
        <v>0.28750471973363528</v>
      </c>
    </row>
    <row r="255" spans="1:26" s="24" customFormat="1" hidden="1" outlineLevel="2" x14ac:dyDescent="0.25">
      <c r="A255" s="25"/>
      <c r="B255" s="11" t="str">
        <f>CONCATENATE("          ", "6274", " - ", "UTILITIES")</f>
        <v xml:space="preserve">          6274 - UTILITIES</v>
      </c>
      <c r="C255" s="11"/>
      <c r="D255" s="6">
        <v>7286.38</v>
      </c>
      <c r="E255" s="2"/>
      <c r="F255" s="7">
        <f t="shared" si="138"/>
        <v>6.5659235346796213E-2</v>
      </c>
      <c r="G255" s="2"/>
      <c r="H255" s="6">
        <v>6602.26</v>
      </c>
      <c r="I255" s="2"/>
      <c r="J255" s="7">
        <f t="shared" si="139"/>
        <v>8.7899346138227332E-3</v>
      </c>
      <c r="K255" s="2"/>
      <c r="L255" s="6">
        <f t="shared" si="140"/>
        <v>684.11999999999989</v>
      </c>
      <c r="M255" s="2"/>
      <c r="N255" s="7">
        <f t="shared" si="141"/>
        <v>0.10361906377513153</v>
      </c>
      <c r="O255" s="11"/>
      <c r="P255" s="6">
        <v>33007.81</v>
      </c>
      <c r="Q255" s="2"/>
      <c r="R255" s="7">
        <f t="shared" si="142"/>
        <v>1.3376649156763934E-2</v>
      </c>
      <c r="S255" s="2"/>
      <c r="T255" s="6">
        <v>25637.040000000001</v>
      </c>
      <c r="U255" s="2"/>
      <c r="V255" s="7">
        <f t="shared" si="143"/>
        <v>3.9502345795772165E-3</v>
      </c>
      <c r="W255" s="2"/>
      <c r="X255" s="6">
        <f t="shared" si="144"/>
        <v>7370.7699999999968</v>
      </c>
      <c r="Y255" s="2"/>
      <c r="Z255" s="7">
        <f t="shared" si="145"/>
        <v>0.28750471973363528</v>
      </c>
    </row>
    <row r="256" spans="1:26" s="53" customFormat="1" x14ac:dyDescent="0.25">
      <c r="A256" s="37"/>
      <c r="B256" s="37"/>
      <c r="C256" s="37"/>
      <c r="D256" s="1"/>
      <c r="E256" s="1"/>
      <c r="F256" s="5"/>
      <c r="G256" s="1"/>
      <c r="H256" s="1"/>
      <c r="I256" s="1"/>
      <c r="J256" s="5"/>
      <c r="K256" s="1"/>
      <c r="L256" s="1"/>
      <c r="M256" s="1"/>
      <c r="N256" s="5"/>
      <c r="O256" s="37"/>
      <c r="P256" s="1"/>
      <c r="Q256" s="1"/>
      <c r="R256" s="5"/>
      <c r="S256" s="1"/>
      <c r="T256" s="1"/>
      <c r="U256" s="1"/>
      <c r="V256" s="5"/>
      <c r="W256" s="1"/>
      <c r="X256" s="1"/>
      <c r="Y256" s="1"/>
      <c r="Z256" s="5"/>
    </row>
    <row r="257" spans="1:26" s="23" customFormat="1" collapsed="1" x14ac:dyDescent="0.25">
      <c r="A257" s="10"/>
      <c r="B257" s="29" t="s">
        <v>0</v>
      </c>
      <c r="C257" s="10"/>
      <c r="D257" s="4">
        <f>SUM(OSRRefD25x_0)</f>
        <v>72384.83</v>
      </c>
      <c r="E257" s="4"/>
      <c r="F257" s="12">
        <f t="shared" ref="F257:F266" si="146">IF(D$12=0,0,D257/D$12)</f>
        <v>0.652276245338266</v>
      </c>
      <c r="G257" s="4"/>
      <c r="H257" s="4">
        <f>SUM(OSRRefH25x_0)</f>
        <v>21403.63</v>
      </c>
      <c r="I257" s="4"/>
      <c r="J257" s="12">
        <f t="shared" ref="J257:J266" si="147">IF(H$12=0,0,H257/H$12)</f>
        <v>2.8495773901429915E-2</v>
      </c>
      <c r="K257" s="4"/>
      <c r="L257" s="4">
        <f t="shared" ref="L257:L266" si="148">+D257-H257</f>
        <v>50981.2</v>
      </c>
      <c r="M257" s="4"/>
      <c r="N257" s="12">
        <f t="shared" ref="N257:N266" si="149">IF(H257=0,0,L257/H257)</f>
        <v>2.3818950336928828</v>
      </c>
      <c r="O257" s="10"/>
      <c r="P257" s="4">
        <f>SUM(OSRRefP25x_0)</f>
        <v>524380.25</v>
      </c>
      <c r="Q257" s="4"/>
      <c r="R257" s="12">
        <f t="shared" ref="R257:R266" si="150">IF(P$12=0,0,P257/P$12)</f>
        <v>0.21250881621610648</v>
      </c>
      <c r="S257" s="4"/>
      <c r="T257" s="4">
        <f>SUM(OSRRefT25x_0)</f>
        <v>400400.64000000001</v>
      </c>
      <c r="U257" s="4"/>
      <c r="V257" s="12">
        <f t="shared" ref="V257:V266" si="151">IF(T$12=0,0,T257/T$12)</f>
        <v>6.1694971565081157E-2</v>
      </c>
      <c r="W257" s="4"/>
      <c r="X257" s="4">
        <f t="shared" ref="X257:X266" si="152">+P257-T257</f>
        <v>123979.60999999999</v>
      </c>
      <c r="Y257" s="4"/>
      <c r="Z257" s="12">
        <f t="shared" ref="Z257:Z266" si="153">IF(T257=0,0,X257/T257)</f>
        <v>0.30963889068708778</v>
      </c>
    </row>
    <row r="258" spans="1:26" s="24" customFormat="1" hidden="1" outlineLevel="1" x14ac:dyDescent="0.25">
      <c r="A258" s="44"/>
      <c r="B258" s="11" t="str">
        <f>CONCATENATE("          ", "4098", " - ", "TAXABLE SALES-GRAD RENTALS")</f>
        <v xml:space="preserve">          4098 - TAXABLE SALES-GRAD RENTALS</v>
      </c>
      <c r="C258" s="11"/>
      <c r="D258" s="2">
        <f t="shared" ref="D258:D260" si="154">0</f>
        <v>0</v>
      </c>
      <c r="E258" s="2"/>
      <c r="F258" s="19">
        <f t="shared" si="146"/>
        <v>0</v>
      </c>
      <c r="G258" s="2"/>
      <c r="H258" s="2">
        <f t="shared" ref="H258:H260" si="155">0</f>
        <v>0</v>
      </c>
      <c r="I258" s="2"/>
      <c r="J258" s="19">
        <f t="shared" si="147"/>
        <v>0</v>
      </c>
      <c r="K258" s="2"/>
      <c r="L258" s="2">
        <f t="shared" si="148"/>
        <v>0</v>
      </c>
      <c r="M258" s="2"/>
      <c r="N258" s="19">
        <f t="shared" si="149"/>
        <v>0</v>
      </c>
      <c r="O258" s="11"/>
      <c r="P258" s="2">
        <f t="shared" ref="P258:P260" si="156">0</f>
        <v>0</v>
      </c>
      <c r="Q258" s="2"/>
      <c r="R258" s="19">
        <f t="shared" si="150"/>
        <v>0</v>
      </c>
      <c r="S258" s="2"/>
      <c r="T258" s="2">
        <f>--1626.85</f>
        <v>1626.85</v>
      </c>
      <c r="U258" s="2"/>
      <c r="V258" s="19">
        <f t="shared" si="151"/>
        <v>2.5067009006442216E-4</v>
      </c>
      <c r="W258" s="2"/>
      <c r="X258" s="2">
        <f t="shared" si="152"/>
        <v>-1626.85</v>
      </c>
      <c r="Y258" s="2"/>
      <c r="Z258" s="19">
        <f t="shared" si="153"/>
        <v>-1</v>
      </c>
    </row>
    <row r="259" spans="1:26" s="24" customFormat="1" hidden="1" outlineLevel="1" x14ac:dyDescent="0.25">
      <c r="A259" s="44"/>
      <c r="B259" s="11" t="str">
        <f>CONCATENATE("          ", "4197", " - ", "NON-TAXABLE SALES-RETURNED CHE")</f>
        <v xml:space="preserve">          4197 - NON-TAXABLE SALES-RETURNED CHE</v>
      </c>
      <c r="C259" s="11"/>
      <c r="D259" s="2">
        <f t="shared" si="154"/>
        <v>0</v>
      </c>
      <c r="E259" s="2"/>
      <c r="F259" s="19">
        <f t="shared" si="146"/>
        <v>0</v>
      </c>
      <c r="G259" s="2"/>
      <c r="H259" s="2">
        <f t="shared" si="155"/>
        <v>0</v>
      </c>
      <c r="I259" s="2"/>
      <c r="J259" s="19">
        <f t="shared" si="147"/>
        <v>0</v>
      </c>
      <c r="K259" s="2"/>
      <c r="L259" s="2">
        <f t="shared" si="148"/>
        <v>0</v>
      </c>
      <c r="M259" s="2"/>
      <c r="N259" s="19">
        <f t="shared" si="149"/>
        <v>0</v>
      </c>
      <c r="O259" s="11"/>
      <c r="P259" s="2">
        <f t="shared" si="156"/>
        <v>0</v>
      </c>
      <c r="Q259" s="2"/>
      <c r="R259" s="19">
        <f t="shared" si="150"/>
        <v>0</v>
      </c>
      <c r="S259" s="2"/>
      <c r="T259" s="2">
        <f>--30</f>
        <v>30</v>
      </c>
      <c r="U259" s="2"/>
      <c r="V259" s="19">
        <f t="shared" si="151"/>
        <v>4.6224929784139077E-6</v>
      </c>
      <c r="W259" s="2"/>
      <c r="X259" s="2">
        <f t="shared" si="152"/>
        <v>-30</v>
      </c>
      <c r="Y259" s="2"/>
      <c r="Z259" s="19">
        <f t="shared" si="153"/>
        <v>-1</v>
      </c>
    </row>
    <row r="260" spans="1:26" s="24" customFormat="1" hidden="1" outlineLevel="1" x14ac:dyDescent="0.25">
      <c r="A260" s="44"/>
      <c r="B260" s="11" t="str">
        <f>CONCATENATE("          ", "4198", " - ", "NON-TAXABLE SALES-GRAD RENTALS")</f>
        <v xml:space="preserve">          4198 - NON-TAXABLE SALES-GRAD RENTALS</v>
      </c>
      <c r="C260" s="11"/>
      <c r="D260" s="2">
        <f t="shared" si="154"/>
        <v>0</v>
      </c>
      <c r="E260" s="2"/>
      <c r="F260" s="19">
        <f t="shared" si="146"/>
        <v>0</v>
      </c>
      <c r="G260" s="2"/>
      <c r="H260" s="2">
        <f t="shared" si="155"/>
        <v>0</v>
      </c>
      <c r="I260" s="2"/>
      <c r="J260" s="19">
        <f t="shared" si="147"/>
        <v>0</v>
      </c>
      <c r="K260" s="2"/>
      <c r="L260" s="2">
        <f t="shared" si="148"/>
        <v>0</v>
      </c>
      <c r="M260" s="2"/>
      <c r="N260" s="19">
        <f t="shared" si="149"/>
        <v>0</v>
      </c>
      <c r="O260" s="11"/>
      <c r="P260" s="2">
        <f t="shared" si="156"/>
        <v>0</v>
      </c>
      <c r="Q260" s="2"/>
      <c r="R260" s="19">
        <f t="shared" si="150"/>
        <v>0</v>
      </c>
      <c r="S260" s="2"/>
      <c r="T260" s="2">
        <f>--495</f>
        <v>495</v>
      </c>
      <c r="U260" s="2"/>
      <c r="V260" s="19">
        <f t="shared" si="151"/>
        <v>7.6271134143829469E-5</v>
      </c>
      <c r="W260" s="2"/>
      <c r="X260" s="2">
        <f t="shared" si="152"/>
        <v>-495</v>
      </c>
      <c r="Y260" s="2"/>
      <c r="Z260" s="19">
        <f t="shared" si="153"/>
        <v>-1</v>
      </c>
    </row>
    <row r="261" spans="1:26" s="24" customFormat="1" hidden="1" outlineLevel="1" x14ac:dyDescent="0.25">
      <c r="A261" s="44"/>
      <c r="B261" s="11" t="str">
        <f>CONCATENATE("          ", "9150", " - ", "MISC. INCOME")</f>
        <v xml:space="preserve">          9150 - MISC. INCOME</v>
      </c>
      <c r="C261" s="11"/>
      <c r="D261" s="2">
        <f>--57387.68</f>
        <v>57387.68</v>
      </c>
      <c r="E261" s="2"/>
      <c r="F261" s="19">
        <f t="shared" si="146"/>
        <v>0.51713349936822262</v>
      </c>
      <c r="G261" s="2"/>
      <c r="H261" s="2">
        <f>--19494.41</f>
        <v>19494.41</v>
      </c>
      <c r="I261" s="2"/>
      <c r="J261" s="19">
        <f t="shared" si="147"/>
        <v>2.5953929296188279E-2</v>
      </c>
      <c r="K261" s="2"/>
      <c r="L261" s="2">
        <f t="shared" si="148"/>
        <v>37893.270000000004</v>
      </c>
      <c r="M261" s="2"/>
      <c r="N261" s="19">
        <f t="shared" si="149"/>
        <v>1.9438018385783413</v>
      </c>
      <c r="O261" s="11"/>
      <c r="P261" s="2">
        <f>--199082.79</f>
        <v>199082.79</v>
      </c>
      <c r="Q261" s="2"/>
      <c r="R261" s="19">
        <f t="shared" si="150"/>
        <v>8.0679712921872482E-2</v>
      </c>
      <c r="S261" s="2"/>
      <c r="T261" s="2">
        <f>--226144.65</f>
        <v>226144.65</v>
      </c>
      <c r="U261" s="2"/>
      <c r="V261" s="19">
        <f t="shared" si="151"/>
        <v>3.4845068557695688E-2</v>
      </c>
      <c r="W261" s="2"/>
      <c r="X261" s="2">
        <f t="shared" si="152"/>
        <v>-27061.859999999986</v>
      </c>
      <c r="Y261" s="2"/>
      <c r="Z261" s="19">
        <f t="shared" si="153"/>
        <v>-0.11966615173076164</v>
      </c>
    </row>
    <row r="262" spans="1:26" s="24" customFormat="1" hidden="1" outlineLevel="1" x14ac:dyDescent="0.25">
      <c r="A262" s="44"/>
      <c r="B262" s="11" t="str">
        <f>CONCATENATE("          ", "9151", " - ", "MISC. INCOME")</f>
        <v xml:space="preserve">          9151 - MISC. INCOME</v>
      </c>
      <c r="C262" s="11"/>
      <c r="D262" s="2">
        <f>0</f>
        <v>0</v>
      </c>
      <c r="E262" s="2"/>
      <c r="F262" s="19">
        <f t="shared" si="146"/>
        <v>0</v>
      </c>
      <c r="G262" s="2"/>
      <c r="H262" s="2">
        <f>0</f>
        <v>0</v>
      </c>
      <c r="I262" s="2"/>
      <c r="J262" s="19">
        <f t="shared" si="147"/>
        <v>0</v>
      </c>
      <c r="K262" s="2"/>
      <c r="L262" s="2">
        <f t="shared" si="148"/>
        <v>0</v>
      </c>
      <c r="M262" s="2"/>
      <c r="N262" s="19">
        <f t="shared" si="149"/>
        <v>0</v>
      </c>
      <c r="O262" s="11"/>
      <c r="P262" s="2">
        <f>--147285.39</f>
        <v>147285.39000000001</v>
      </c>
      <c r="Q262" s="2"/>
      <c r="R262" s="19">
        <f t="shared" si="150"/>
        <v>5.9688449126044638E-2</v>
      </c>
      <c r="S262" s="2"/>
      <c r="T262" s="2">
        <f>--87224.27</f>
        <v>87224.27</v>
      </c>
      <c r="U262" s="2"/>
      <c r="V262" s="19">
        <f t="shared" si="151"/>
        <v>1.3439785854075962E-2</v>
      </c>
      <c r="W262" s="2"/>
      <c r="X262" s="2">
        <f t="shared" si="152"/>
        <v>60061.12000000001</v>
      </c>
      <c r="Y262" s="2"/>
      <c r="Z262" s="19">
        <f t="shared" si="153"/>
        <v>0.68858266168349713</v>
      </c>
    </row>
    <row r="263" spans="1:26" s="24" customFormat="1" hidden="1" outlineLevel="1" x14ac:dyDescent="0.25">
      <c r="A263" s="44"/>
      <c r="B263" s="11" t="str">
        <f>CONCATENATE("          ", "9152", " - ", "MISC. INCOME")</f>
        <v xml:space="preserve">          9152 - MISC. INCOME</v>
      </c>
      <c r="C263" s="11"/>
      <c r="D263" s="2">
        <f>--255.21</f>
        <v>255.21</v>
      </c>
      <c r="E263" s="2"/>
      <c r="F263" s="19">
        <f t="shared" si="146"/>
        <v>2.2997556335046842E-3</v>
      </c>
      <c r="G263" s="2"/>
      <c r="H263" s="2">
        <f>--154.22</f>
        <v>154.22</v>
      </c>
      <c r="I263" s="2"/>
      <c r="J263" s="19">
        <f t="shared" si="147"/>
        <v>2.0532116519854444E-4</v>
      </c>
      <c r="K263" s="2"/>
      <c r="L263" s="2">
        <f t="shared" si="148"/>
        <v>100.99000000000001</v>
      </c>
      <c r="M263" s="2"/>
      <c r="N263" s="19">
        <f t="shared" si="149"/>
        <v>0.65484372973673977</v>
      </c>
      <c r="O263" s="11"/>
      <c r="P263" s="2">
        <f>--2606.23</f>
        <v>2606.23</v>
      </c>
      <c r="Q263" s="2"/>
      <c r="R263" s="19">
        <f t="shared" si="150"/>
        <v>1.0561931958476757E-3</v>
      </c>
      <c r="S263" s="2"/>
      <c r="T263" s="2">
        <f>--848.32</f>
        <v>848.32</v>
      </c>
      <c r="U263" s="2"/>
      <c r="V263" s="19">
        <f t="shared" si="151"/>
        <v>1.3071177478160288E-4</v>
      </c>
      <c r="W263" s="2"/>
      <c r="X263" s="2">
        <f t="shared" si="152"/>
        <v>1757.9099999999999</v>
      </c>
      <c r="Y263" s="2"/>
      <c r="Z263" s="19">
        <f t="shared" si="153"/>
        <v>2.0722251037344397</v>
      </c>
    </row>
    <row r="264" spans="1:26" s="24" customFormat="1" hidden="1" outlineLevel="1" x14ac:dyDescent="0.25">
      <c r="A264" s="44"/>
      <c r="B264" s="11" t="str">
        <f>CONCATENATE("          ", "9153", " - ", "MISC. INCOME")</f>
        <v xml:space="preserve">          9153 - MISC. INCOME</v>
      </c>
      <c r="C264" s="11"/>
      <c r="D264" s="2">
        <f t="shared" ref="D264:D265" si="157">0</f>
        <v>0</v>
      </c>
      <c r="E264" s="2"/>
      <c r="F264" s="19">
        <f t="shared" si="146"/>
        <v>0</v>
      </c>
      <c r="G264" s="2"/>
      <c r="H264" s="2">
        <f>--450</f>
        <v>450</v>
      </c>
      <c r="I264" s="2"/>
      <c r="J264" s="19">
        <f t="shared" si="147"/>
        <v>5.9910857437002333E-4</v>
      </c>
      <c r="K264" s="2"/>
      <c r="L264" s="2">
        <f t="shared" si="148"/>
        <v>-450</v>
      </c>
      <c r="M264" s="2"/>
      <c r="N264" s="19">
        <f t="shared" si="149"/>
        <v>-1</v>
      </c>
      <c r="O264" s="11"/>
      <c r="P264" s="2">
        <f t="shared" ref="P264:P265" si="158">0</f>
        <v>0</v>
      </c>
      <c r="Q264" s="2"/>
      <c r="R264" s="19">
        <f t="shared" si="150"/>
        <v>0</v>
      </c>
      <c r="S264" s="2"/>
      <c r="T264" s="2">
        <f>--450</f>
        <v>450</v>
      </c>
      <c r="U264" s="2"/>
      <c r="V264" s="19">
        <f t="shared" si="151"/>
        <v>6.9337394676208602E-5</v>
      </c>
      <c r="W264" s="2"/>
      <c r="X264" s="2">
        <f t="shared" si="152"/>
        <v>-450</v>
      </c>
      <c r="Y264" s="2"/>
      <c r="Z264" s="19">
        <f t="shared" si="153"/>
        <v>-1</v>
      </c>
    </row>
    <row r="265" spans="1:26" s="24" customFormat="1" hidden="1" outlineLevel="1" x14ac:dyDescent="0.25">
      <c r="A265" s="44"/>
      <c r="B265" s="11" t="str">
        <f>CONCATENATE("          ", "9160", " - ", "MISC. INCOME")</f>
        <v xml:space="preserve">          9160 - MISC. INCOME</v>
      </c>
      <c r="C265" s="11"/>
      <c r="D265" s="2">
        <f t="shared" si="157"/>
        <v>0</v>
      </c>
      <c r="E265" s="2"/>
      <c r="F265" s="19">
        <f t="shared" si="146"/>
        <v>0</v>
      </c>
      <c r="G265" s="2"/>
      <c r="H265" s="2">
        <f>--1305</f>
        <v>1305</v>
      </c>
      <c r="I265" s="2"/>
      <c r="J265" s="19">
        <f t="shared" si="147"/>
        <v>1.7374148656730676E-3</v>
      </c>
      <c r="K265" s="2"/>
      <c r="L265" s="2">
        <f t="shared" si="148"/>
        <v>-1305</v>
      </c>
      <c r="M265" s="2"/>
      <c r="N265" s="19">
        <f t="shared" si="149"/>
        <v>-1</v>
      </c>
      <c r="O265" s="11"/>
      <c r="P265" s="2">
        <f t="shared" si="158"/>
        <v>0</v>
      </c>
      <c r="Q265" s="2"/>
      <c r="R265" s="19">
        <f t="shared" si="150"/>
        <v>0</v>
      </c>
      <c r="S265" s="2"/>
      <c r="T265" s="2">
        <f>--22475</f>
        <v>22475</v>
      </c>
      <c r="U265" s="2"/>
      <c r="V265" s="19">
        <f t="shared" si="151"/>
        <v>3.4630176563284188E-3</v>
      </c>
      <c r="W265" s="2"/>
      <c r="X265" s="2">
        <f t="shared" si="152"/>
        <v>-22475</v>
      </c>
      <c r="Y265" s="2"/>
      <c r="Z265" s="19">
        <f t="shared" si="153"/>
        <v>-1</v>
      </c>
    </row>
    <row r="266" spans="1:26" s="24" customFormat="1" hidden="1" outlineLevel="1" x14ac:dyDescent="0.25">
      <c r="A266" s="44"/>
      <c r="B266" s="11" t="str">
        <f>CONCATENATE("          ", "9163", " - ", "MISC. INCOME")</f>
        <v xml:space="preserve">          9163 - MISC. INCOME</v>
      </c>
      <c r="C266" s="11"/>
      <c r="D266" s="2">
        <f>--14741.94</f>
        <v>14741.94</v>
      </c>
      <c r="E266" s="2"/>
      <c r="F266" s="19">
        <f t="shared" si="146"/>
        <v>0.13284299033653871</v>
      </c>
      <c r="G266" s="2"/>
      <c r="H266" s="2">
        <f>0</f>
        <v>0</v>
      </c>
      <c r="I266" s="2"/>
      <c r="J266" s="19">
        <f t="shared" si="147"/>
        <v>0</v>
      </c>
      <c r="K266" s="2"/>
      <c r="L266" s="2">
        <f t="shared" si="148"/>
        <v>14741.94</v>
      </c>
      <c r="M266" s="2"/>
      <c r="N266" s="19">
        <f t="shared" si="149"/>
        <v>0</v>
      </c>
      <c r="O266" s="11"/>
      <c r="P266" s="2">
        <f>--175405.84</f>
        <v>175405.84</v>
      </c>
      <c r="Q266" s="2"/>
      <c r="R266" s="19">
        <f t="shared" si="150"/>
        <v>7.1084460972341695E-2</v>
      </c>
      <c r="S266" s="2"/>
      <c r="T266" s="2">
        <f>--61106.55</f>
        <v>61106.55</v>
      </c>
      <c r="U266" s="2"/>
      <c r="V266" s="19">
        <f t="shared" si="151"/>
        <v>9.4154866103366118E-3</v>
      </c>
      <c r="W266" s="2"/>
      <c r="X266" s="2">
        <f t="shared" si="152"/>
        <v>114299.29</v>
      </c>
      <c r="Y266" s="2"/>
      <c r="Z266" s="19">
        <f t="shared" si="153"/>
        <v>1.8704916248749108</v>
      </c>
    </row>
    <row r="267" spans="1:26" x14ac:dyDescent="0.25">
      <c r="A267" s="9"/>
      <c r="B267" s="10"/>
      <c r="C267" s="10"/>
      <c r="D267" s="3"/>
      <c r="E267" s="3"/>
      <c r="F267" s="8"/>
      <c r="G267" s="3"/>
      <c r="H267" s="3"/>
      <c r="I267" s="3"/>
      <c r="J267" s="8"/>
      <c r="K267" s="3"/>
      <c r="L267" s="3"/>
      <c r="M267" s="3"/>
      <c r="N267" s="8"/>
      <c r="O267" s="10"/>
      <c r="P267" s="3"/>
      <c r="Q267" s="3"/>
      <c r="R267" s="8"/>
      <c r="S267" s="3"/>
      <c r="T267" s="3"/>
      <c r="U267" s="3"/>
      <c r="V267" s="8"/>
      <c r="W267" s="3"/>
      <c r="X267" s="3"/>
      <c r="Y267" s="3"/>
      <c r="Z267" s="8"/>
    </row>
    <row r="268" spans="1:26" s="23" customFormat="1" x14ac:dyDescent="0.25">
      <c r="A268" s="10"/>
      <c r="B268" s="28" t="s">
        <v>3</v>
      </c>
      <c r="C268" s="28"/>
      <c r="D268" s="20">
        <f>+D163-D165+D257</f>
        <v>-139290.12</v>
      </c>
      <c r="E268" s="14"/>
      <c r="F268" s="22">
        <f>IF(D$12=0,0,D268/D$12)</f>
        <v>-1.2551751034894536</v>
      </c>
      <c r="G268" s="14"/>
      <c r="H268" s="20">
        <f>+H163-H165+H257</f>
        <v>-58603.350000000093</v>
      </c>
      <c r="I268" s="14"/>
      <c r="J268" s="22">
        <f>IF(H$12=0,0,H268/H$12)</f>
        <v>-7.8021709937350137E-2</v>
      </c>
      <c r="K268" s="15"/>
      <c r="L268" s="20">
        <f>+D268-H268</f>
        <v>-80686.769999999902</v>
      </c>
      <c r="M268" s="15"/>
      <c r="N268" s="22">
        <f>IF(H268=0,0,L268/H268)</f>
        <v>1.3768286283975195</v>
      </c>
      <c r="O268" s="29"/>
      <c r="P268" s="20">
        <f>+P163-P165+P257</f>
        <v>-129046.34999999939</v>
      </c>
      <c r="Q268" s="14"/>
      <c r="R268" s="22">
        <f>IF(P$12=0,0,P268/P$12)</f>
        <v>-5.2296948780029807E-2</v>
      </c>
      <c r="S268" s="14"/>
      <c r="T268" s="20">
        <f>+T163-T165+T257</f>
        <v>750350.49999999662</v>
      </c>
      <c r="U268" s="14"/>
      <c r="V268" s="22">
        <f>IF(T$12=0,0,T268/T$12)</f>
        <v>0.11561633058664496</v>
      </c>
      <c r="W268" s="15"/>
      <c r="X268" s="20">
        <f>+P268-T268</f>
        <v>-879396.84999999602</v>
      </c>
      <c r="Y268" s="15"/>
      <c r="Z268" s="22">
        <f>IF(T268=0,0,X268/T268)</f>
        <v>-1.1719814273462867</v>
      </c>
    </row>
    <row r="269" spans="1:26" x14ac:dyDescent="0.25">
      <c r="A269" s="9"/>
      <c r="B269" s="10"/>
      <c r="C269" s="9"/>
      <c r="D269" s="3"/>
      <c r="E269" s="3"/>
      <c r="F269" s="8"/>
      <c r="G269" s="3"/>
      <c r="H269" s="3"/>
      <c r="I269" s="3"/>
      <c r="J269" s="8"/>
      <c r="K269" s="3"/>
      <c r="L269" s="3"/>
      <c r="M269" s="3"/>
      <c r="N269" s="8"/>
      <c r="P269" s="3"/>
      <c r="Q269" s="3"/>
      <c r="R269" s="8"/>
      <c r="S269" s="3"/>
      <c r="T269" s="3"/>
      <c r="U269" s="3"/>
      <c r="V269" s="8"/>
      <c r="W269" s="3"/>
      <c r="X269" s="3"/>
      <c r="Y269" s="3"/>
      <c r="Z269" s="8"/>
    </row>
    <row r="270" spans="1:26" s="23" customFormat="1" x14ac:dyDescent="0.25">
      <c r="A270" s="51"/>
      <c r="B270" s="10" t="s">
        <v>13</v>
      </c>
      <c r="C270" s="10"/>
      <c r="D270" s="4">
        <v>-118392.78</v>
      </c>
      <c r="E270" s="4"/>
      <c r="F270" s="12">
        <f>IF(D$12=0,0,D270/D$12)</f>
        <v>-1.0668643970505884</v>
      </c>
      <c r="G270" s="4"/>
      <c r="H270" s="4">
        <v>109556.4</v>
      </c>
      <c r="I270" s="4"/>
      <c r="J270" s="12">
        <f>IF(H$12=0,0,H270/H$12)</f>
        <v>0.14585817470469337</v>
      </c>
      <c r="K270" s="4"/>
      <c r="L270" s="4">
        <f>+D270-H270</f>
        <v>-227949.18</v>
      </c>
      <c r="M270" s="4"/>
      <c r="N270" s="12">
        <f>IF(H270=0,0,L270/H270)</f>
        <v>-2.0806559908868856</v>
      </c>
      <c r="O270" s="10"/>
      <c r="P270" s="4">
        <v>392096.82999999996</v>
      </c>
      <c r="Q270" s="4"/>
      <c r="R270" s="12">
        <f>IF(P$12=0,0,P270/P$12)</f>
        <v>0.15890002185510979</v>
      </c>
      <c r="S270" s="4"/>
      <c r="T270" s="4">
        <v>687247.57</v>
      </c>
      <c r="U270" s="4"/>
      <c r="V270" s="12">
        <f>IF(T$12=0,0,T270/T$12)</f>
        <v>0.10589323555856733</v>
      </c>
      <c r="W270" s="4"/>
      <c r="X270" s="4">
        <f>+P270-T270</f>
        <v>-295150.74</v>
      </c>
      <c r="Y270" s="4"/>
      <c r="Z270" s="12">
        <f>IF(T270=0,0,X270/T270)</f>
        <v>-0.42946785537561089</v>
      </c>
    </row>
    <row r="271" spans="1:26" x14ac:dyDescent="0.25">
      <c r="A271" s="9"/>
      <c r="B271" s="10"/>
      <c r="C271" s="10"/>
      <c r="D271" s="3"/>
      <c r="E271" s="3"/>
      <c r="F271" s="8"/>
      <c r="G271" s="3"/>
      <c r="H271" s="3"/>
      <c r="I271" s="3"/>
      <c r="J271" s="8"/>
      <c r="K271" s="3"/>
      <c r="L271" s="3"/>
      <c r="M271" s="3"/>
      <c r="N271" s="8"/>
      <c r="O271" s="10"/>
      <c r="P271" s="3"/>
      <c r="Q271" s="3"/>
      <c r="R271" s="8"/>
      <c r="S271" s="3"/>
      <c r="T271" s="3"/>
      <c r="U271" s="3"/>
      <c r="V271" s="8"/>
      <c r="W271" s="3"/>
      <c r="X271" s="3"/>
      <c r="Y271" s="3"/>
      <c r="Z271" s="8"/>
    </row>
    <row r="272" spans="1:26" s="23" customFormat="1" ht="15.75" thickBot="1" x14ac:dyDescent="0.3">
      <c r="A272" s="10"/>
      <c r="B272" s="28" t="s">
        <v>4</v>
      </c>
      <c r="C272" s="28"/>
      <c r="D272" s="31">
        <f>+D268-D270</f>
        <v>-20897.339999999997</v>
      </c>
      <c r="E272" s="14"/>
      <c r="F272" s="34">
        <f>IF(D$12=0,0,D272/D$12)</f>
        <v>-0.18831070643886513</v>
      </c>
      <c r="G272" s="14"/>
      <c r="H272" s="31">
        <f>+H268-H270</f>
        <v>-168159.75000000009</v>
      </c>
      <c r="I272" s="14"/>
      <c r="J272" s="34">
        <f>IF(H$12=0,0,H272/H$12)</f>
        <v>-0.2238798846420435</v>
      </c>
      <c r="K272" s="15"/>
      <c r="L272" s="31">
        <f>D272-H272</f>
        <v>147262.41000000009</v>
      </c>
      <c r="M272" s="15"/>
      <c r="N272" s="34">
        <f>IF(H272=0,0,L272/H272)</f>
        <v>-0.8757292396069809</v>
      </c>
      <c r="O272" s="29"/>
      <c r="P272" s="31">
        <f>+P268-P270</f>
        <v>-521143.17999999935</v>
      </c>
      <c r="Q272" s="14"/>
      <c r="R272" s="34">
        <f>IF(P$12=0,0,P272/P$12)</f>
        <v>-0.21119697063513959</v>
      </c>
      <c r="S272" s="14"/>
      <c r="T272" s="31">
        <f>+T268-T270</f>
        <v>63102.929999996675</v>
      </c>
      <c r="U272" s="14"/>
      <c r="V272" s="34">
        <f>IF(T$12=0,0,T272/T$12)</f>
        <v>9.7230950280776315E-3</v>
      </c>
      <c r="W272" s="15"/>
      <c r="X272" s="31">
        <f>P272-T272</f>
        <v>-584246.10999999603</v>
      </c>
      <c r="Y272" s="15"/>
      <c r="Z272" s="34">
        <f>IF(T272=0,0,X272/T272)</f>
        <v>-9.2586209546850959</v>
      </c>
    </row>
    <row r="273" spans="1:26" ht="15.75" thickTop="1" x14ac:dyDescent="0.25">
      <c r="A273" s="9"/>
      <c r="B273" s="9"/>
      <c r="C273" s="9"/>
      <c r="D273" s="3"/>
      <c r="E273" s="3"/>
      <c r="F273" s="8"/>
      <c r="G273" s="3"/>
      <c r="H273" s="3"/>
      <c r="I273" s="3"/>
      <c r="J273" s="8"/>
      <c r="K273" s="3"/>
      <c r="L273" s="3"/>
      <c r="M273" s="3"/>
      <c r="N273" s="8"/>
      <c r="P273" s="3"/>
      <c r="Q273" s="3"/>
      <c r="R273" s="8"/>
      <c r="S273" s="3"/>
      <c r="T273" s="3"/>
      <c r="U273" s="3"/>
      <c r="V273" s="8"/>
      <c r="W273" s="3"/>
      <c r="X273" s="3"/>
      <c r="Y273" s="3"/>
      <c r="Z273" s="8"/>
    </row>
    <row r="274" spans="1:26" x14ac:dyDescent="0.25">
      <c r="A274" s="9"/>
      <c r="B274" s="9"/>
      <c r="C274" s="9"/>
      <c r="D274" s="3"/>
      <c r="E274" s="3"/>
      <c r="F274" s="8"/>
      <c r="G274" s="3"/>
      <c r="H274" s="3"/>
      <c r="I274" s="3"/>
      <c r="J274" s="8"/>
      <c r="K274" s="3"/>
      <c r="L274" s="3"/>
      <c r="M274" s="3"/>
      <c r="N274" s="8"/>
      <c r="P274" s="3"/>
      <c r="Q274" s="3"/>
      <c r="R274" s="8"/>
      <c r="S274" s="3"/>
      <c r="T274" s="3"/>
      <c r="U274" s="3"/>
      <c r="V274" s="8"/>
      <c r="W274" s="3"/>
      <c r="X274" s="3"/>
      <c r="Y274" s="3"/>
      <c r="Z274" s="8"/>
    </row>
    <row r="275" spans="1:26" s="23" customFormat="1" ht="15.75" thickBot="1" x14ac:dyDescent="0.3">
      <c r="A275" s="10"/>
      <c r="B275" s="28" t="s">
        <v>5</v>
      </c>
      <c r="C275" s="28"/>
      <c r="D275" s="32">
        <f>SUM(D272:D274)</f>
        <v>-20897.339999999997</v>
      </c>
      <c r="E275" s="14"/>
      <c r="F275" s="30">
        <f>IF(D$12=0,0,D275/D$12)</f>
        <v>-0.18831070643886513</v>
      </c>
      <c r="G275" s="14"/>
      <c r="H275" s="32">
        <f>SUM(H272:H274)</f>
        <v>-168159.75000000009</v>
      </c>
      <c r="I275" s="14"/>
      <c r="J275" s="30">
        <f>IF(H$12=0,0,H275/H$12)</f>
        <v>-0.2238798846420435</v>
      </c>
      <c r="K275" s="15"/>
      <c r="L275" s="32">
        <f>+D275-H275</f>
        <v>147262.41000000009</v>
      </c>
      <c r="M275" s="15"/>
      <c r="N275" s="30">
        <f>IF(H275=0,0,L275/H275)</f>
        <v>-0.8757292396069809</v>
      </c>
      <c r="O275" s="29"/>
      <c r="P275" s="32">
        <f>SUM(P272:P274)</f>
        <v>-521143.17999999935</v>
      </c>
      <c r="Q275" s="14"/>
      <c r="R275" s="30">
        <f>IF(P$12=0,0,P275/P$12)</f>
        <v>-0.21119697063513959</v>
      </c>
      <c r="S275" s="14"/>
      <c r="T275" s="32">
        <f>SUM(T272:T274)</f>
        <v>63102.929999996675</v>
      </c>
      <c r="U275" s="14"/>
      <c r="V275" s="30">
        <f>IF(T$12=0,0,T275/T$12)</f>
        <v>9.7230950280776315E-3</v>
      </c>
      <c r="W275" s="15"/>
      <c r="X275" s="32">
        <f>+P275-T275</f>
        <v>-584246.10999999603</v>
      </c>
      <c r="Y275" s="15"/>
      <c r="Z275" s="30">
        <f>IF(T275=0,0,X275/T275)</f>
        <v>-9.2586209546850959</v>
      </c>
    </row>
    <row r="276" spans="1:26" ht="15.75" thickTop="1" x14ac:dyDescent="0.25">
      <c r="A276" s="9"/>
      <c r="C276" s="9"/>
      <c r="D276" s="17"/>
      <c r="E276" s="17"/>
      <c r="G276" s="17"/>
      <c r="H276" s="17"/>
      <c r="I276" s="17"/>
      <c r="J276" s="43"/>
      <c r="K276" s="17"/>
      <c r="L276" s="17"/>
      <c r="M276" s="17"/>
      <c r="P276" s="17"/>
      <c r="Q276" s="17"/>
      <c r="R276" s="43"/>
      <c r="S276" s="17"/>
      <c r="T276" s="17"/>
      <c r="U276" s="17"/>
      <c r="V276" s="43"/>
      <c r="W276" s="17"/>
      <c r="X276" s="17"/>
    </row>
    <row r="277" spans="1:26" x14ac:dyDescent="0.25">
      <c r="A277" s="9"/>
      <c r="B277" s="54">
        <v>44174.685013344904</v>
      </c>
      <c r="D277" s="17"/>
      <c r="E277" s="17"/>
      <c r="G277" s="17"/>
      <c r="H277" s="17"/>
      <c r="I277" s="17"/>
      <c r="J277" s="43"/>
      <c r="K277" s="17"/>
      <c r="L277" s="17"/>
      <c r="M277" s="17"/>
      <c r="P277" s="17"/>
      <c r="Q277" s="17"/>
      <c r="R277" s="43"/>
      <c r="S277" s="17"/>
      <c r="T277" s="17"/>
      <c r="U277" s="17"/>
      <c r="V277" s="43"/>
      <c r="W277" s="17"/>
      <c r="X277" s="17"/>
    </row>
    <row r="278" spans="1:26" x14ac:dyDescent="0.25">
      <c r="A278" s="9"/>
      <c r="B278" s="56" t="s">
        <v>313</v>
      </c>
      <c r="D278" s="17"/>
      <c r="E278" s="17"/>
      <c r="G278" s="17"/>
      <c r="H278" s="17"/>
      <c r="I278" s="17"/>
      <c r="J278" s="43"/>
      <c r="K278" s="17"/>
      <c r="L278" s="17"/>
      <c r="M278" s="17"/>
      <c r="P278" s="17"/>
      <c r="Q278" s="17"/>
      <c r="R278" s="43"/>
      <c r="S278" s="17"/>
      <c r="T278" s="17"/>
      <c r="U278" s="17"/>
      <c r="V278" s="43"/>
      <c r="W278" s="17"/>
      <c r="X278" s="17"/>
    </row>
    <row r="279" spans="1:26" x14ac:dyDescent="0.25">
      <c r="A279" s="9"/>
      <c r="B279" s="61"/>
      <c r="D279" s="17"/>
      <c r="E279" s="17"/>
      <c r="G279" s="17"/>
      <c r="H279" s="17"/>
      <c r="I279" s="17"/>
      <c r="J279" s="43"/>
      <c r="K279" s="17"/>
      <c r="L279" s="17"/>
      <c r="M279" s="17"/>
      <c r="P279" s="17"/>
      <c r="Q279" s="17"/>
      <c r="R279" s="43"/>
      <c r="S279" s="17"/>
      <c r="T279" s="17"/>
      <c r="U279" s="17"/>
      <c r="V279" s="43"/>
      <c r="W279" s="17"/>
      <c r="X279" s="17"/>
    </row>
    <row r="280" spans="1:26" x14ac:dyDescent="0.25">
      <c r="D280" s="17"/>
      <c r="E280" s="17"/>
      <c r="G280" s="17"/>
      <c r="H280" s="17"/>
      <c r="I280" s="17"/>
      <c r="J280" s="43"/>
      <c r="K280" s="17"/>
      <c r="L280" s="17"/>
      <c r="M280" s="17"/>
      <c r="P280" s="17"/>
      <c r="Q280" s="17"/>
      <c r="R280" s="43"/>
      <c r="S280" s="17"/>
      <c r="T280" s="17"/>
      <c r="U280" s="17"/>
      <c r="V280" s="43"/>
      <c r="W280" s="17"/>
      <c r="X280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7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308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110972.66000000003</v>
      </c>
      <c r="E12" s="4"/>
      <c r="F12" s="12"/>
      <c r="G12" s="4"/>
      <c r="H12" s="4">
        <f>SUM(OSRRefH13x_0)</f>
        <v>450362.85999999981</v>
      </c>
      <c r="I12" s="4"/>
      <c r="J12" s="12"/>
      <c r="K12" s="4"/>
      <c r="L12" s="4">
        <f t="shared" ref="L12:L104" si="0">+D12-H12</f>
        <v>-339390.19999999978</v>
      </c>
      <c r="M12" s="4"/>
      <c r="N12" s="12">
        <f t="shared" ref="N12:N104" si="1">IF(H12=0,0,L12/H12)</f>
        <v>-0.75359278071908486</v>
      </c>
      <c r="O12" s="10"/>
      <c r="P12" s="4">
        <f>SUM(OSRRefP13x_0)</f>
        <v>2464982.92</v>
      </c>
      <c r="Q12" s="4"/>
      <c r="R12" s="12"/>
      <c r="S12" s="4"/>
      <c r="T12" s="4">
        <f>SUM(OSRRefT13x_0)</f>
        <v>5071178.9299999969</v>
      </c>
      <c r="U12" s="4"/>
      <c r="V12" s="12"/>
      <c r="W12" s="4"/>
      <c r="X12" s="4">
        <f t="shared" ref="X12:X104" si="2">+P12-T12</f>
        <v>-2606196.009999997</v>
      </c>
      <c r="Y12" s="4"/>
      <c r="Z12" s="12">
        <f t="shared" ref="Z12:Z104" si="3">IF(T12=0,0,X12/T12)</f>
        <v>-0.5139231026896538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-9538.33</f>
        <v>-9538.33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-9538.33</v>
      </c>
      <c r="M13" s="2"/>
      <c r="N13" s="19">
        <f t="shared" si="1"/>
        <v>0</v>
      </c>
      <c r="O13" s="11"/>
      <c r="P13" s="2">
        <f>-56998.65</f>
        <v>-56998.65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-56998.65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--6816.45</f>
        <v>6816.45</v>
      </c>
      <c r="E14" s="2"/>
      <c r="F14" s="19"/>
      <c r="G14" s="2"/>
      <c r="H14" s="2">
        <f>--8184.69</f>
        <v>8184.69</v>
      </c>
      <c r="I14" s="2"/>
      <c r="J14" s="19"/>
      <c r="K14" s="2"/>
      <c r="L14" s="2">
        <f t="shared" si="0"/>
        <v>-1368.2399999999998</v>
      </c>
      <c r="M14" s="2"/>
      <c r="N14" s="19">
        <f t="shared" si="1"/>
        <v>-0.16717065643292536</v>
      </c>
      <c r="O14" s="11"/>
      <c r="P14" s="2">
        <f>--719144.02</f>
        <v>719144.02</v>
      </c>
      <c r="Q14" s="2"/>
      <c r="R14" s="19"/>
      <c r="S14" s="2"/>
      <c r="T14" s="2">
        <f>--1503344.43</f>
        <v>1503344.43</v>
      </c>
      <c r="U14" s="2"/>
      <c r="V14" s="19"/>
      <c r="W14" s="2"/>
      <c r="X14" s="2">
        <f t="shared" si="2"/>
        <v>-784200.40999999992</v>
      </c>
      <c r="Y14" s="2"/>
      <c r="Z14" s="19">
        <f t="shared" si="3"/>
        <v>-0.52163722055364248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--1492.1</f>
        <v>1492.1</v>
      </c>
      <c r="E15" s="2"/>
      <c r="F15" s="19"/>
      <c r="G15" s="2"/>
      <c r="H15" s="2">
        <f>--4182.93</f>
        <v>4182.93</v>
      </c>
      <c r="I15" s="2"/>
      <c r="J15" s="19"/>
      <c r="K15" s="2"/>
      <c r="L15" s="2">
        <f t="shared" si="0"/>
        <v>-2690.8300000000004</v>
      </c>
      <c r="M15" s="2"/>
      <c r="N15" s="19">
        <f t="shared" si="1"/>
        <v>-0.64328831704092593</v>
      </c>
      <c r="O15" s="11"/>
      <c r="P15" s="2">
        <f>--320631.62</f>
        <v>320631.62</v>
      </c>
      <c r="Q15" s="2"/>
      <c r="R15" s="19"/>
      <c r="S15" s="2"/>
      <c r="T15" s="2">
        <f>--670479.29</f>
        <v>670479.29</v>
      </c>
      <c r="U15" s="2"/>
      <c r="V15" s="19"/>
      <c r="W15" s="2"/>
      <c r="X15" s="2">
        <f t="shared" si="2"/>
        <v>-349847.67000000004</v>
      </c>
      <c r="Y15" s="2"/>
      <c r="Z15" s="19">
        <f t="shared" si="3"/>
        <v>-0.52178743656645987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8" si="4"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--10665.63</f>
        <v>10665.63</v>
      </c>
      <c r="Q16" s="2"/>
      <c r="R16" s="19"/>
      <c r="S16" s="2"/>
      <c r="T16" s="2">
        <f>--15844.66</f>
        <v>15844.66</v>
      </c>
      <c r="U16" s="2"/>
      <c r="V16" s="19"/>
      <c r="W16" s="2"/>
      <c r="X16" s="2">
        <f t="shared" si="2"/>
        <v>-5179.0300000000007</v>
      </c>
      <c r="Y16" s="2"/>
      <c r="Z16" s="19">
        <f t="shared" si="3"/>
        <v>-0.32686280425076969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--119.4</f>
        <v>119.4</v>
      </c>
      <c r="I17" s="2"/>
      <c r="J17" s="19"/>
      <c r="K17" s="2"/>
      <c r="L17" s="2">
        <f t="shared" si="0"/>
        <v>-119.4</v>
      </c>
      <c r="M17" s="2"/>
      <c r="N17" s="19">
        <f t="shared" si="1"/>
        <v>-1</v>
      </c>
      <c r="O17" s="11"/>
      <c r="P17" s="2">
        <f>--2459.56</f>
        <v>2459.56</v>
      </c>
      <c r="Q17" s="2"/>
      <c r="R17" s="19"/>
      <c r="S17" s="2"/>
      <c r="T17" s="2">
        <f>--30279.88</f>
        <v>30279.88</v>
      </c>
      <c r="U17" s="2"/>
      <c r="V17" s="19"/>
      <c r="W17" s="2"/>
      <c r="X17" s="2">
        <f t="shared" si="2"/>
        <v>-27820.32</v>
      </c>
      <c r="Y17" s="2"/>
      <c r="Z17" s="19">
        <f t="shared" si="3"/>
        <v>-0.91877246541267665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--9.6</f>
        <v>9.6</v>
      </c>
      <c r="U18" s="2"/>
      <c r="V18" s="19"/>
      <c r="W18" s="2"/>
      <c r="X18" s="2">
        <f t="shared" si="2"/>
        <v>-9.6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--307.75</f>
        <v>307.75</v>
      </c>
      <c r="E19" s="2"/>
      <c r="F19" s="19"/>
      <c r="G19" s="2"/>
      <c r="H19" s="2">
        <f>--285.33</f>
        <v>285.33</v>
      </c>
      <c r="I19" s="2"/>
      <c r="J19" s="19"/>
      <c r="K19" s="2"/>
      <c r="L19" s="2">
        <f t="shared" si="0"/>
        <v>22.420000000000016</v>
      </c>
      <c r="M19" s="2"/>
      <c r="N19" s="19">
        <f t="shared" si="1"/>
        <v>7.857568429537734E-2</v>
      </c>
      <c r="O19" s="11"/>
      <c r="P19" s="2">
        <f>--505.12</f>
        <v>505.12</v>
      </c>
      <c r="Q19" s="2"/>
      <c r="R19" s="19"/>
      <c r="S19" s="2"/>
      <c r="T19" s="2">
        <f>--1112.72</f>
        <v>1112.72</v>
      </c>
      <c r="U19" s="2"/>
      <c r="V19" s="19"/>
      <c r="W19" s="2"/>
      <c r="X19" s="2">
        <f t="shared" si="2"/>
        <v>-607.6</v>
      </c>
      <c r="Y19" s="2"/>
      <c r="Z19" s="19">
        <f t="shared" si="3"/>
        <v>-0.54604932058379463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 t="shared" ref="D20:D24" si="5">0</f>
        <v>0</v>
      </c>
      <c r="E20" s="2"/>
      <c r="F20" s="19"/>
      <c r="G20" s="2"/>
      <c r="H20" s="2">
        <f>--189.13</f>
        <v>189.13</v>
      </c>
      <c r="I20" s="2"/>
      <c r="J20" s="19"/>
      <c r="K20" s="2"/>
      <c r="L20" s="2">
        <f t="shared" si="0"/>
        <v>-189.13</v>
      </c>
      <c r="M20" s="2"/>
      <c r="N20" s="19">
        <f t="shared" si="1"/>
        <v>-1</v>
      </c>
      <c r="O20" s="11"/>
      <c r="P20" s="2">
        <f>--340.24</f>
        <v>340.24</v>
      </c>
      <c r="Q20" s="2"/>
      <c r="R20" s="19"/>
      <c r="S20" s="2"/>
      <c r="T20" s="2">
        <f>--883.35</f>
        <v>883.35</v>
      </c>
      <c r="U20" s="2"/>
      <c r="V20" s="19"/>
      <c r="W20" s="2"/>
      <c r="X20" s="2">
        <f t="shared" si="2"/>
        <v>-543.11</v>
      </c>
      <c r="Y20" s="2"/>
      <c r="Z20" s="19">
        <f t="shared" si="3"/>
        <v>-0.61482990886964395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 t="shared" si="5"/>
        <v>0</v>
      </c>
      <c r="E21" s="2"/>
      <c r="F21" s="19"/>
      <c r="G21" s="2"/>
      <c r="H21" s="2">
        <f>--5.49</f>
        <v>5.49</v>
      </c>
      <c r="I21" s="2"/>
      <c r="J21" s="19"/>
      <c r="K21" s="2"/>
      <c r="L21" s="2">
        <f t="shared" si="0"/>
        <v>-5.49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--231.16</f>
        <v>231.16</v>
      </c>
      <c r="U21" s="2"/>
      <c r="V21" s="19"/>
      <c r="W21" s="2"/>
      <c r="X21" s="2">
        <f t="shared" si="2"/>
        <v>-231.16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si="5"/>
        <v>0</v>
      </c>
      <c r="E22" s="2"/>
      <c r="F22" s="19"/>
      <c r="G22" s="2"/>
      <c r="H22" s="2">
        <f>--277.82</f>
        <v>277.82</v>
      </c>
      <c r="I22" s="2"/>
      <c r="J22" s="19"/>
      <c r="K22" s="2"/>
      <c r="L22" s="2">
        <f t="shared" si="0"/>
        <v>-277.82</v>
      </c>
      <c r="M22" s="2"/>
      <c r="N22" s="19">
        <f t="shared" si="1"/>
        <v>-1</v>
      </c>
      <c r="O22" s="11"/>
      <c r="P22" s="2">
        <f>--183.89</f>
        <v>183.89</v>
      </c>
      <c r="Q22" s="2"/>
      <c r="R22" s="19"/>
      <c r="S22" s="2"/>
      <c r="T22" s="2">
        <f>--2732.65</f>
        <v>2732.65</v>
      </c>
      <c r="U22" s="2"/>
      <c r="V22" s="19"/>
      <c r="W22" s="2"/>
      <c r="X22" s="2">
        <f t="shared" si="2"/>
        <v>-2548.7600000000002</v>
      </c>
      <c r="Y22" s="2"/>
      <c r="Z22" s="19">
        <f t="shared" si="3"/>
        <v>-0.93270634731853697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5"/>
        <v>0</v>
      </c>
      <c r="E23" s="2"/>
      <c r="F23" s="19"/>
      <c r="G23" s="2"/>
      <c r="H23" s="2">
        <f>--3.98</f>
        <v>3.98</v>
      </c>
      <c r="I23" s="2"/>
      <c r="J23" s="19"/>
      <c r="K23" s="2"/>
      <c r="L23" s="2">
        <f t="shared" si="0"/>
        <v>-3.98</v>
      </c>
      <c r="M23" s="2"/>
      <c r="N23" s="19">
        <f t="shared" si="1"/>
        <v>-1</v>
      </c>
      <c r="O23" s="11"/>
      <c r="P23" s="2">
        <f t="shared" ref="P23:P24" si="6">0</f>
        <v>0</v>
      </c>
      <c r="Q23" s="2"/>
      <c r="R23" s="19"/>
      <c r="S23" s="2"/>
      <c r="T23" s="2">
        <f>--33.88</f>
        <v>33.880000000000003</v>
      </c>
      <c r="U23" s="2"/>
      <c r="V23" s="19"/>
      <c r="W23" s="2"/>
      <c r="X23" s="2">
        <f t="shared" si="2"/>
        <v>-33.880000000000003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5"/>
        <v>0</v>
      </c>
      <c r="E24" s="2"/>
      <c r="F24" s="19"/>
      <c r="G24" s="2"/>
      <c r="H24" s="2">
        <f>--3212.68</f>
        <v>3212.68</v>
      </c>
      <c r="I24" s="2"/>
      <c r="J24" s="19"/>
      <c r="K24" s="2"/>
      <c r="L24" s="2">
        <f t="shared" si="0"/>
        <v>-3212.68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--29544.72</f>
        <v>29544.720000000001</v>
      </c>
      <c r="U24" s="2"/>
      <c r="V24" s="19"/>
      <c r="W24" s="2"/>
      <c r="X24" s="2">
        <f t="shared" si="2"/>
        <v>-29544.720000000001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--18.37</f>
        <v>18.37</v>
      </c>
      <c r="E25" s="2"/>
      <c r="F25" s="19"/>
      <c r="G25" s="2"/>
      <c r="H25" s="2">
        <f>--6609.41</f>
        <v>6609.41</v>
      </c>
      <c r="I25" s="2"/>
      <c r="J25" s="19"/>
      <c r="K25" s="2"/>
      <c r="L25" s="2">
        <f t="shared" si="0"/>
        <v>-6591.04</v>
      </c>
      <c r="M25" s="2"/>
      <c r="N25" s="19">
        <f t="shared" si="1"/>
        <v>-0.99722062937539058</v>
      </c>
      <c r="O25" s="11"/>
      <c r="P25" s="2">
        <f>--297.2</f>
        <v>297.2</v>
      </c>
      <c r="Q25" s="2"/>
      <c r="R25" s="19"/>
      <c r="S25" s="2"/>
      <c r="T25" s="2">
        <f>--43673.95</f>
        <v>43673.95</v>
      </c>
      <c r="U25" s="2"/>
      <c r="V25" s="19"/>
      <c r="W25" s="2"/>
      <c r="X25" s="2">
        <f t="shared" si="2"/>
        <v>-43376.75</v>
      </c>
      <c r="Y25" s="2"/>
      <c r="Z25" s="19">
        <f t="shared" si="3"/>
        <v>-0.99319502815751726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--1716.97</f>
        <v>1716.97</v>
      </c>
      <c r="E26" s="2"/>
      <c r="F26" s="19"/>
      <c r="G26" s="2"/>
      <c r="H26" s="2">
        <f>--10515.54</f>
        <v>10515.54</v>
      </c>
      <c r="I26" s="2"/>
      <c r="J26" s="19"/>
      <c r="K26" s="2"/>
      <c r="L26" s="2">
        <f t="shared" si="0"/>
        <v>-8798.5700000000015</v>
      </c>
      <c r="M26" s="2"/>
      <c r="N26" s="19">
        <f t="shared" si="1"/>
        <v>-0.8367207009815949</v>
      </c>
      <c r="O26" s="11"/>
      <c r="P26" s="2">
        <f>--36720.47</f>
        <v>36720.47</v>
      </c>
      <c r="Q26" s="2"/>
      <c r="R26" s="19"/>
      <c r="S26" s="2"/>
      <c r="T26" s="2">
        <f>--154789.08</f>
        <v>154789.07999999999</v>
      </c>
      <c r="U26" s="2"/>
      <c r="V26" s="19"/>
      <c r="W26" s="2"/>
      <c r="X26" s="2">
        <f t="shared" si="2"/>
        <v>-118068.60999999999</v>
      </c>
      <c r="Y26" s="2"/>
      <c r="Z26" s="19">
        <f t="shared" si="3"/>
        <v>-0.76277092673462488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--1730.73</f>
        <v>1730.73</v>
      </c>
      <c r="E27" s="2"/>
      <c r="F27" s="19"/>
      <c r="G27" s="2"/>
      <c r="H27" s="2">
        <f>--29388.04</f>
        <v>29388.04</v>
      </c>
      <c r="I27" s="2"/>
      <c r="J27" s="19"/>
      <c r="K27" s="2"/>
      <c r="L27" s="2">
        <f t="shared" si="0"/>
        <v>-27657.31</v>
      </c>
      <c r="M27" s="2"/>
      <c r="N27" s="19">
        <f t="shared" si="1"/>
        <v>-0.94110767509503868</v>
      </c>
      <c r="O27" s="11"/>
      <c r="P27" s="2">
        <f>--15999.58</f>
        <v>15999.58</v>
      </c>
      <c r="Q27" s="2"/>
      <c r="R27" s="19"/>
      <c r="S27" s="2"/>
      <c r="T27" s="2">
        <f>--175952.71</f>
        <v>175952.71</v>
      </c>
      <c r="U27" s="2"/>
      <c r="V27" s="19"/>
      <c r="W27" s="2"/>
      <c r="X27" s="2">
        <f t="shared" si="2"/>
        <v>-159953.13</v>
      </c>
      <c r="Y27" s="2"/>
      <c r="Z27" s="19">
        <f t="shared" si="3"/>
        <v>-0.90906886287798583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--194.65</f>
        <v>194.65</v>
      </c>
      <c r="E28" s="2"/>
      <c r="F28" s="19"/>
      <c r="G28" s="2"/>
      <c r="H28" s="2">
        <f>--58.77</f>
        <v>58.77</v>
      </c>
      <c r="I28" s="2"/>
      <c r="J28" s="19"/>
      <c r="K28" s="2"/>
      <c r="L28" s="2">
        <f t="shared" si="0"/>
        <v>135.88</v>
      </c>
      <c r="M28" s="2"/>
      <c r="N28" s="19">
        <f t="shared" si="1"/>
        <v>2.3120639782201802</v>
      </c>
      <c r="O28" s="11"/>
      <c r="P28" s="2">
        <f>--1862.61</f>
        <v>1862.61</v>
      </c>
      <c r="Q28" s="2"/>
      <c r="R28" s="19"/>
      <c r="S28" s="2"/>
      <c r="T28" s="2">
        <f>--280.05</f>
        <v>280.05</v>
      </c>
      <c r="U28" s="2"/>
      <c r="V28" s="19"/>
      <c r="W28" s="2"/>
      <c r="X28" s="2">
        <f t="shared" si="2"/>
        <v>1582.56</v>
      </c>
      <c r="Y28" s="2"/>
      <c r="Z28" s="19">
        <f t="shared" si="3"/>
        <v>5.6509908944831277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ref="D29:D33" si="7">0</f>
        <v>0</v>
      </c>
      <c r="E29" s="2"/>
      <c r="F29" s="19"/>
      <c r="G29" s="2"/>
      <c r="H29" s="2">
        <f>--609.66</f>
        <v>609.66</v>
      </c>
      <c r="I29" s="2"/>
      <c r="J29" s="19"/>
      <c r="K29" s="2"/>
      <c r="L29" s="2">
        <f t="shared" si="0"/>
        <v>-609.66</v>
      </c>
      <c r="M29" s="2"/>
      <c r="N29" s="19">
        <f t="shared" si="1"/>
        <v>-1</v>
      </c>
      <c r="O29" s="11"/>
      <c r="P29" s="2">
        <f t="shared" ref="P29:P30" si="8">0</f>
        <v>0</v>
      </c>
      <c r="Q29" s="2"/>
      <c r="R29" s="19"/>
      <c r="S29" s="2"/>
      <c r="T29" s="2">
        <f>--663.08</f>
        <v>663.08</v>
      </c>
      <c r="U29" s="2"/>
      <c r="V29" s="19"/>
      <c r="W29" s="2"/>
      <c r="X29" s="2">
        <f t="shared" si="2"/>
        <v>-663.08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7"/>
        <v>0</v>
      </c>
      <c r="E30" s="2"/>
      <c r="F30" s="19"/>
      <c r="G30" s="2"/>
      <c r="H30" s="2">
        <f>--23.21</f>
        <v>23.21</v>
      </c>
      <c r="I30" s="2"/>
      <c r="J30" s="19"/>
      <c r="K30" s="2"/>
      <c r="L30" s="2">
        <f t="shared" si="0"/>
        <v>-23.21</v>
      </c>
      <c r="M30" s="2"/>
      <c r="N30" s="19">
        <f t="shared" si="1"/>
        <v>-1</v>
      </c>
      <c r="O30" s="11"/>
      <c r="P30" s="2">
        <f t="shared" si="8"/>
        <v>0</v>
      </c>
      <c r="Q30" s="2"/>
      <c r="R30" s="19"/>
      <c r="S30" s="2"/>
      <c r="T30" s="2">
        <f>--108.61</f>
        <v>108.61</v>
      </c>
      <c r="U30" s="2"/>
      <c r="V30" s="19"/>
      <c r="W30" s="2"/>
      <c r="X30" s="2">
        <f t="shared" si="2"/>
        <v>-108.61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7"/>
        <v>0</v>
      </c>
      <c r="E31" s="2"/>
      <c r="F31" s="19"/>
      <c r="G31" s="2"/>
      <c r="H31" s="2">
        <f>--1010.01</f>
        <v>1010.01</v>
      </c>
      <c r="I31" s="2"/>
      <c r="J31" s="19"/>
      <c r="K31" s="2"/>
      <c r="L31" s="2">
        <f t="shared" si="0"/>
        <v>-1010.01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--4724.25</f>
        <v>4724.25</v>
      </c>
      <c r="U31" s="2"/>
      <c r="V31" s="19"/>
      <c r="W31" s="2"/>
      <c r="X31" s="2">
        <f t="shared" si="2"/>
        <v>-4717.47</v>
      </c>
      <c r="Y31" s="2"/>
      <c r="Z31" s="19">
        <f t="shared" si="3"/>
        <v>-0.99856485156374031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7"/>
        <v>0</v>
      </c>
      <c r="E32" s="2"/>
      <c r="F32" s="19"/>
      <c r="G32" s="2"/>
      <c r="H32" s="2">
        <f>--269.24</f>
        <v>269.24</v>
      </c>
      <c r="I32" s="2"/>
      <c r="J32" s="19"/>
      <c r="K32" s="2"/>
      <c r="L32" s="2">
        <f t="shared" si="0"/>
        <v>-269.24</v>
      </c>
      <c r="M32" s="2"/>
      <c r="N32" s="19">
        <f t="shared" si="1"/>
        <v>-1</v>
      </c>
      <c r="O32" s="11"/>
      <c r="P32" s="2">
        <f t="shared" ref="P32:P33" si="9">0</f>
        <v>0</v>
      </c>
      <c r="Q32" s="2"/>
      <c r="R32" s="19"/>
      <c r="S32" s="2"/>
      <c r="T32" s="2">
        <f>--1133.6</f>
        <v>1133.5999999999999</v>
      </c>
      <c r="U32" s="2"/>
      <c r="V32" s="19"/>
      <c r="W32" s="2"/>
      <c r="X32" s="2">
        <f t="shared" si="2"/>
        <v>-1133.5999999999999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7"/>
        <v>0</v>
      </c>
      <c r="E33" s="2"/>
      <c r="F33" s="19"/>
      <c r="G33" s="2"/>
      <c r="H33" s="2">
        <f>--74.6</f>
        <v>74.599999999999994</v>
      </c>
      <c r="I33" s="2"/>
      <c r="J33" s="19"/>
      <c r="K33" s="2"/>
      <c r="L33" s="2">
        <f t="shared" si="0"/>
        <v>-74.599999999999994</v>
      </c>
      <c r="M33" s="2"/>
      <c r="N33" s="19">
        <f t="shared" si="1"/>
        <v>-1</v>
      </c>
      <c r="O33" s="11"/>
      <c r="P33" s="2">
        <f t="shared" si="9"/>
        <v>0</v>
      </c>
      <c r="Q33" s="2"/>
      <c r="R33" s="19"/>
      <c r="S33" s="2"/>
      <c r="T33" s="2">
        <f>--377.17</f>
        <v>377.17</v>
      </c>
      <c r="U33" s="2"/>
      <c r="V33" s="19"/>
      <c r="W33" s="2"/>
      <c r="X33" s="2">
        <f t="shared" si="2"/>
        <v>-377.17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--40927.79</f>
        <v>40927.79</v>
      </c>
      <c r="E34" s="2"/>
      <c r="F34" s="19"/>
      <c r="G34" s="2"/>
      <c r="H34" s="2">
        <f>--249896.49</f>
        <v>249896.49</v>
      </c>
      <c r="I34" s="2"/>
      <c r="J34" s="19"/>
      <c r="K34" s="2"/>
      <c r="L34" s="2">
        <f t="shared" si="0"/>
        <v>-208968.69999999998</v>
      </c>
      <c r="M34" s="2"/>
      <c r="N34" s="19">
        <f t="shared" si="1"/>
        <v>-0.83622102895482842</v>
      </c>
      <c r="O34" s="11"/>
      <c r="P34" s="2">
        <f>--423732.7</f>
        <v>423732.7</v>
      </c>
      <c r="Q34" s="2"/>
      <c r="R34" s="19"/>
      <c r="S34" s="2"/>
      <c r="T34" s="2">
        <f>--1098136.94</f>
        <v>1098136.94</v>
      </c>
      <c r="U34" s="2"/>
      <c r="V34" s="19"/>
      <c r="W34" s="2"/>
      <c r="X34" s="2">
        <f t="shared" si="2"/>
        <v>-674404.24</v>
      </c>
      <c r="Y34" s="2"/>
      <c r="Z34" s="19">
        <f t="shared" si="3"/>
        <v>-0.61413491836455303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--12313.27</f>
        <v>12313.27</v>
      </c>
      <c r="E35" s="2"/>
      <c r="F35" s="19"/>
      <c r="G35" s="2"/>
      <c r="H35" s="2">
        <f>--29333.75</f>
        <v>29333.75</v>
      </c>
      <c r="I35" s="2"/>
      <c r="J35" s="19"/>
      <c r="K35" s="2"/>
      <c r="L35" s="2">
        <f t="shared" si="0"/>
        <v>-17020.48</v>
      </c>
      <c r="M35" s="2"/>
      <c r="N35" s="19">
        <f t="shared" si="1"/>
        <v>-0.5802353943836025</v>
      </c>
      <c r="O35" s="11"/>
      <c r="P35" s="2">
        <f>--165400.49</f>
        <v>165400.49</v>
      </c>
      <c r="Q35" s="2"/>
      <c r="R35" s="19"/>
      <c r="S35" s="2"/>
      <c r="T35" s="2">
        <f>--258147.65</f>
        <v>258147.65</v>
      </c>
      <c r="U35" s="2"/>
      <c r="V35" s="19"/>
      <c r="W35" s="2"/>
      <c r="X35" s="2">
        <f t="shared" si="2"/>
        <v>-92747.16</v>
      </c>
      <c r="Y35" s="2"/>
      <c r="Z35" s="19">
        <f t="shared" si="3"/>
        <v>-0.35927950535284753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--2095.44</f>
        <v>2095.44</v>
      </c>
      <c r="E36" s="2"/>
      <c r="F36" s="19"/>
      <c r="G36" s="2"/>
      <c r="H36" s="2">
        <f>--30667.82</f>
        <v>30667.82</v>
      </c>
      <c r="I36" s="2"/>
      <c r="J36" s="19"/>
      <c r="K36" s="2"/>
      <c r="L36" s="2">
        <f t="shared" si="0"/>
        <v>-28572.38</v>
      </c>
      <c r="M36" s="2"/>
      <c r="N36" s="19">
        <f t="shared" si="1"/>
        <v>-0.93167300447178836</v>
      </c>
      <c r="O36" s="11"/>
      <c r="P36" s="2">
        <f>--56879.12</f>
        <v>56879.12</v>
      </c>
      <c r="Q36" s="2"/>
      <c r="R36" s="19"/>
      <c r="S36" s="2"/>
      <c r="T36" s="2">
        <f>--154978.19</f>
        <v>154978.19</v>
      </c>
      <c r="U36" s="2"/>
      <c r="V36" s="19"/>
      <c r="W36" s="2"/>
      <c r="X36" s="2">
        <f t="shared" si="2"/>
        <v>-98099.07</v>
      </c>
      <c r="Y36" s="2"/>
      <c r="Z36" s="19">
        <f t="shared" si="3"/>
        <v>-0.63298629310356513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--16932.18</f>
        <v>16932.18</v>
      </c>
      <c r="E37" s="2"/>
      <c r="F37" s="19"/>
      <c r="G37" s="2"/>
      <c r="H37" s="2">
        <f>--4302.17</f>
        <v>4302.17</v>
      </c>
      <c r="I37" s="2"/>
      <c r="J37" s="19"/>
      <c r="K37" s="2"/>
      <c r="L37" s="2">
        <f t="shared" si="0"/>
        <v>12630.01</v>
      </c>
      <c r="M37" s="2"/>
      <c r="N37" s="19">
        <f t="shared" si="1"/>
        <v>2.9357301082941865</v>
      </c>
      <c r="O37" s="11"/>
      <c r="P37" s="2">
        <f>--57178.22</f>
        <v>57178.22</v>
      </c>
      <c r="Q37" s="2"/>
      <c r="R37" s="19"/>
      <c r="S37" s="2"/>
      <c r="T37" s="2">
        <f>--4823.02</f>
        <v>4823.0200000000004</v>
      </c>
      <c r="U37" s="2"/>
      <c r="V37" s="19"/>
      <c r="W37" s="2"/>
      <c r="X37" s="2">
        <f t="shared" si="2"/>
        <v>52355.199999999997</v>
      </c>
      <c r="Y37" s="2"/>
      <c r="Z37" s="19">
        <f t="shared" si="3"/>
        <v>10.855273252028811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--2517.35</f>
        <v>2517.35</v>
      </c>
      <c r="E38" s="2"/>
      <c r="F38" s="19"/>
      <c r="G38" s="2"/>
      <c r="H38" s="2">
        <f>--8230.63</f>
        <v>8230.6299999999992</v>
      </c>
      <c r="I38" s="2"/>
      <c r="J38" s="19"/>
      <c r="K38" s="2"/>
      <c r="L38" s="2">
        <f t="shared" si="0"/>
        <v>-5713.2799999999988</v>
      </c>
      <c r="M38" s="2"/>
      <c r="N38" s="19">
        <f t="shared" si="1"/>
        <v>-0.69414856456917629</v>
      </c>
      <c r="O38" s="11"/>
      <c r="P38" s="2">
        <f>--15006.51</f>
        <v>15006.51</v>
      </c>
      <c r="Q38" s="2"/>
      <c r="R38" s="19"/>
      <c r="S38" s="2"/>
      <c r="T38" s="2">
        <f>--41297.78</f>
        <v>41297.78</v>
      </c>
      <c r="U38" s="2"/>
      <c r="V38" s="19"/>
      <c r="W38" s="2"/>
      <c r="X38" s="2">
        <f t="shared" si="2"/>
        <v>-26291.269999999997</v>
      </c>
      <c r="Y38" s="2"/>
      <c r="Z38" s="19">
        <f t="shared" si="3"/>
        <v>-0.63662671455947506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--11255.56</f>
        <v>11255.56</v>
      </c>
      <c r="E39" s="2"/>
      <c r="F39" s="19"/>
      <c r="G39" s="2"/>
      <c r="H39" s="2">
        <f>--18665.34</f>
        <v>18665.34</v>
      </c>
      <c r="I39" s="2"/>
      <c r="J39" s="19"/>
      <c r="K39" s="2"/>
      <c r="L39" s="2">
        <f t="shared" si="0"/>
        <v>-7409.7800000000007</v>
      </c>
      <c r="M39" s="2"/>
      <c r="N39" s="19">
        <f t="shared" si="1"/>
        <v>-0.39698071398645834</v>
      </c>
      <c r="O39" s="11"/>
      <c r="P39" s="2">
        <f>--108212.17</f>
        <v>108212.17</v>
      </c>
      <c r="Q39" s="2"/>
      <c r="R39" s="19"/>
      <c r="S39" s="2"/>
      <c r="T39" s="2">
        <f>--54518.44</f>
        <v>54518.44</v>
      </c>
      <c r="U39" s="2"/>
      <c r="V39" s="19"/>
      <c r="W39" s="2"/>
      <c r="X39" s="2">
        <f t="shared" si="2"/>
        <v>53693.729999999996</v>
      </c>
      <c r="Y39" s="2"/>
      <c r="Z39" s="19">
        <f t="shared" si="3"/>
        <v>0.98487282468097026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6" si="10">0</f>
        <v>0</v>
      </c>
      <c r="E40" s="2"/>
      <c r="F40" s="19"/>
      <c r="G40" s="2"/>
      <c r="H40" s="2">
        <f>--304.55</f>
        <v>304.55</v>
      </c>
      <c r="I40" s="2"/>
      <c r="J40" s="19"/>
      <c r="K40" s="2"/>
      <c r="L40" s="2">
        <f t="shared" si="0"/>
        <v>-304.55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--1678.55</f>
        <v>1678.55</v>
      </c>
      <c r="U40" s="2"/>
      <c r="V40" s="19"/>
      <c r="W40" s="2"/>
      <c r="X40" s="2">
        <f t="shared" si="2"/>
        <v>-1678.55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 t="shared" si="10"/>
        <v>0</v>
      </c>
      <c r="E41" s="2"/>
      <c r="F41" s="19"/>
      <c r="G41" s="2"/>
      <c r="H41" s="2">
        <f>--430.76</f>
        <v>430.76</v>
      </c>
      <c r="I41" s="2"/>
      <c r="J41" s="19"/>
      <c r="K41" s="2"/>
      <c r="L41" s="2">
        <f t="shared" si="0"/>
        <v>-430.76</v>
      </c>
      <c r="M41" s="2"/>
      <c r="N41" s="19">
        <f t="shared" si="1"/>
        <v>-1</v>
      </c>
      <c r="O41" s="11"/>
      <c r="P41" s="2">
        <f>--71.95</f>
        <v>71.95</v>
      </c>
      <c r="Q41" s="2"/>
      <c r="R41" s="19"/>
      <c r="S41" s="2"/>
      <c r="T41" s="2">
        <f>--2223.67</f>
        <v>2223.67</v>
      </c>
      <c r="U41" s="2"/>
      <c r="V41" s="19"/>
      <c r="W41" s="2"/>
      <c r="X41" s="2">
        <f t="shared" si="2"/>
        <v>-2151.7200000000003</v>
      </c>
      <c r="Y41" s="2"/>
      <c r="Z41" s="19">
        <f t="shared" si="3"/>
        <v>-0.96764358020749486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 t="shared" si="10"/>
        <v>0</v>
      </c>
      <c r="E42" s="2"/>
      <c r="F42" s="19"/>
      <c r="G42" s="2"/>
      <c r="H42" s="2">
        <f>0</f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0</f>
        <v>0</v>
      </c>
      <c r="Q42" s="2"/>
      <c r="R42" s="19"/>
      <c r="S42" s="2"/>
      <c r="T42" s="2">
        <f>--162</f>
        <v>162</v>
      </c>
      <c r="U42" s="2"/>
      <c r="V42" s="19"/>
      <c r="W42" s="2"/>
      <c r="X42" s="2">
        <f t="shared" si="2"/>
        <v>-162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 t="shared" si="10"/>
        <v>0</v>
      </c>
      <c r="E43" s="2"/>
      <c r="F43" s="19"/>
      <c r="G43" s="2"/>
      <c r="H43" s="2">
        <f>--139.91</f>
        <v>139.91</v>
      </c>
      <c r="I43" s="2"/>
      <c r="J43" s="19"/>
      <c r="K43" s="2"/>
      <c r="L43" s="2">
        <f t="shared" si="0"/>
        <v>-139.91</v>
      </c>
      <c r="M43" s="2"/>
      <c r="N43" s="19">
        <f t="shared" si="1"/>
        <v>-1</v>
      </c>
      <c r="O43" s="11"/>
      <c r="P43" s="2">
        <f>--9.99</f>
        <v>9.99</v>
      </c>
      <c r="Q43" s="2"/>
      <c r="R43" s="19"/>
      <c r="S43" s="2"/>
      <c r="T43" s="2">
        <f>--569.6</f>
        <v>569.6</v>
      </c>
      <c r="U43" s="2"/>
      <c r="V43" s="19"/>
      <c r="W43" s="2"/>
      <c r="X43" s="2">
        <f t="shared" si="2"/>
        <v>-559.61</v>
      </c>
      <c r="Y43" s="2"/>
      <c r="Z43" s="19">
        <f t="shared" si="3"/>
        <v>-0.98246137640449438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 t="shared" si="10"/>
        <v>0</v>
      </c>
      <c r="E44" s="2"/>
      <c r="F44" s="19"/>
      <c r="G44" s="2"/>
      <c r="H44" s="2">
        <f>--105</f>
        <v>105</v>
      </c>
      <c r="I44" s="2"/>
      <c r="J44" s="19"/>
      <c r="K44" s="2"/>
      <c r="L44" s="2">
        <f t="shared" si="0"/>
        <v>-105</v>
      </c>
      <c r="M44" s="2"/>
      <c r="N44" s="19">
        <f t="shared" si="1"/>
        <v>-1</v>
      </c>
      <c r="O44" s="11"/>
      <c r="P44" s="2">
        <f t="shared" ref="P44:P46" si="11">0</f>
        <v>0</v>
      </c>
      <c r="Q44" s="2"/>
      <c r="R44" s="19"/>
      <c r="S44" s="2"/>
      <c r="T44" s="2">
        <f>--639.79</f>
        <v>639.79</v>
      </c>
      <c r="U44" s="2"/>
      <c r="V44" s="19"/>
      <c r="W44" s="2"/>
      <c r="X44" s="2">
        <f t="shared" si="2"/>
        <v>-639.79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"4092", " - ", "TAXABLE SALES-GRAD MERCH")</f>
        <v xml:space="preserve">          4092 - TAXABLE SALES-GRAD MERCH</v>
      </c>
      <c r="C45" s="11"/>
      <c r="D45" s="2">
        <f t="shared" si="10"/>
        <v>0</v>
      </c>
      <c r="E45" s="2"/>
      <c r="F45" s="19"/>
      <c r="G45" s="2"/>
      <c r="H45" s="2">
        <f>--2389.54</f>
        <v>2389.54</v>
      </c>
      <c r="I45" s="2"/>
      <c r="J45" s="19"/>
      <c r="K45" s="2"/>
      <c r="L45" s="2">
        <f t="shared" si="0"/>
        <v>-2389.54</v>
      </c>
      <c r="M45" s="2"/>
      <c r="N45" s="19">
        <f t="shared" si="1"/>
        <v>-1</v>
      </c>
      <c r="O45" s="11"/>
      <c r="P45" s="2">
        <f t="shared" si="11"/>
        <v>0</v>
      </c>
      <c r="Q45" s="2"/>
      <c r="R45" s="19"/>
      <c r="S45" s="2"/>
      <c r="T45" s="2">
        <f>--7440.62</f>
        <v>7440.62</v>
      </c>
      <c r="U45" s="2"/>
      <c r="V45" s="19"/>
      <c r="W45" s="2"/>
      <c r="X45" s="2">
        <f t="shared" si="2"/>
        <v>-7440.62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 t="shared" si="10"/>
        <v>0</v>
      </c>
      <c r="E46" s="2"/>
      <c r="F46" s="19"/>
      <c r="G46" s="2"/>
      <c r="H46" s="2">
        <f>--31.83</f>
        <v>31.83</v>
      </c>
      <c r="I46" s="2"/>
      <c r="J46" s="19"/>
      <c r="K46" s="2"/>
      <c r="L46" s="2">
        <f t="shared" si="0"/>
        <v>-31.83</v>
      </c>
      <c r="M46" s="2"/>
      <c r="N46" s="19">
        <f t="shared" si="1"/>
        <v>-1</v>
      </c>
      <c r="O46" s="11"/>
      <c r="P46" s="2">
        <f t="shared" si="11"/>
        <v>0</v>
      </c>
      <c r="Q46" s="2"/>
      <c r="R46" s="19"/>
      <c r="S46" s="2"/>
      <c r="T46" s="2">
        <f>--276.44</f>
        <v>276.44</v>
      </c>
      <c r="U46" s="2"/>
      <c r="V46" s="19"/>
      <c r="W46" s="2"/>
      <c r="X46" s="2">
        <f t="shared" si="2"/>
        <v>-276.44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"4100", " - ", "NON-TAXABLE SALES")</f>
        <v xml:space="preserve">          4100 - NON-TAXABLE SALES</v>
      </c>
      <c r="C47" s="11"/>
      <c r="D47" s="2">
        <f>--1333.61</f>
        <v>1333.61</v>
      </c>
      <c r="E47" s="2"/>
      <c r="F47" s="19"/>
      <c r="G47" s="2"/>
      <c r="H47" s="2">
        <f>--458.89</f>
        <v>458.89</v>
      </c>
      <c r="I47" s="2"/>
      <c r="J47" s="19"/>
      <c r="K47" s="2"/>
      <c r="L47" s="2">
        <f t="shared" si="0"/>
        <v>874.71999999999991</v>
      </c>
      <c r="M47" s="2"/>
      <c r="N47" s="19">
        <f t="shared" si="1"/>
        <v>1.9061648761141012</v>
      </c>
      <c r="O47" s="11"/>
      <c r="P47" s="2">
        <f>--165813.42</f>
        <v>165813.42000000001</v>
      </c>
      <c r="Q47" s="2"/>
      <c r="R47" s="19"/>
      <c r="S47" s="2"/>
      <c r="T47" s="2">
        <f>--335840.56</f>
        <v>335840.56</v>
      </c>
      <c r="U47" s="2"/>
      <c r="V47" s="19"/>
      <c r="W47" s="2"/>
      <c r="X47" s="2">
        <f t="shared" si="2"/>
        <v>-170027.13999999998</v>
      </c>
      <c r="Y47" s="2"/>
      <c r="Z47" s="19">
        <f t="shared" si="3"/>
        <v>-0.50627339354126843</v>
      </c>
    </row>
    <row r="48" spans="1:26" s="24" customFormat="1" hidden="1" outlineLevel="1" x14ac:dyDescent="0.25">
      <c r="A48" s="44"/>
      <c r="B48" s="11" t="str">
        <f>CONCATENATE("          ", "4101", " - ", "NON-TAXABLE SALES-NEW TEXT")</f>
        <v xml:space="preserve">          4101 - NON-TAXABLE SALES-NEW TEXT</v>
      </c>
      <c r="C48" s="11"/>
      <c r="D48" s="2">
        <f>--1270.83</f>
        <v>1270.83</v>
      </c>
      <c r="E48" s="2"/>
      <c r="F48" s="19"/>
      <c r="G48" s="2"/>
      <c r="H48" s="2">
        <f>--349.66</f>
        <v>349.66</v>
      </c>
      <c r="I48" s="2"/>
      <c r="J48" s="19"/>
      <c r="K48" s="2"/>
      <c r="L48" s="2">
        <f t="shared" si="0"/>
        <v>921.16999999999985</v>
      </c>
      <c r="M48" s="2"/>
      <c r="N48" s="19">
        <f t="shared" si="1"/>
        <v>2.6344734885317158</v>
      </c>
      <c r="O48" s="11"/>
      <c r="P48" s="2">
        <f>--78935.72</f>
        <v>78935.72</v>
      </c>
      <c r="Q48" s="2"/>
      <c r="R48" s="19"/>
      <c r="S48" s="2"/>
      <c r="T48" s="2">
        <f>--92680.75</f>
        <v>92680.75</v>
      </c>
      <c r="U48" s="2"/>
      <c r="V48" s="19"/>
      <c r="W48" s="2"/>
      <c r="X48" s="2">
        <f t="shared" si="2"/>
        <v>-13745.029999999999</v>
      </c>
      <c r="Y48" s="2"/>
      <c r="Z48" s="19">
        <f t="shared" si="3"/>
        <v>-0.14830512269268428</v>
      </c>
    </row>
    <row r="49" spans="1:26" s="24" customFormat="1" hidden="1" outlineLevel="1" x14ac:dyDescent="0.25">
      <c r="A49" s="44"/>
      <c r="B49" s="11" t="str">
        <f>CONCATENATE("          ", "4102", " - ", "NON-TAXABLE SALES-USED TEXT")</f>
        <v xml:space="preserve">          4102 - NON-TAXABLE SALES-USED TEXT</v>
      </c>
      <c r="C49" s="11"/>
      <c r="D49" s="2">
        <f>--320.72</f>
        <v>320.72000000000003</v>
      </c>
      <c r="E49" s="2"/>
      <c r="F49" s="19"/>
      <c r="G49" s="2"/>
      <c r="H49" s="2">
        <f>--584.52</f>
        <v>584.52</v>
      </c>
      <c r="I49" s="2"/>
      <c r="J49" s="19"/>
      <c r="K49" s="2"/>
      <c r="L49" s="2">
        <f t="shared" si="0"/>
        <v>-263.79999999999995</v>
      </c>
      <c r="M49" s="2"/>
      <c r="N49" s="19">
        <f t="shared" si="1"/>
        <v>-0.45131047697255861</v>
      </c>
      <c r="O49" s="11"/>
      <c r="P49" s="2">
        <f>--33033.19</f>
        <v>33033.19</v>
      </c>
      <c r="Q49" s="2"/>
      <c r="R49" s="19"/>
      <c r="S49" s="2"/>
      <c r="T49" s="2">
        <f>--37606.84</f>
        <v>37606.839999999997</v>
      </c>
      <c r="U49" s="2"/>
      <c r="V49" s="19"/>
      <c r="W49" s="2"/>
      <c r="X49" s="2">
        <f t="shared" si="2"/>
        <v>-4573.6499999999942</v>
      </c>
      <c r="Y49" s="2"/>
      <c r="Z49" s="19">
        <f t="shared" si="3"/>
        <v>-0.12161750362434054</v>
      </c>
    </row>
    <row r="50" spans="1:26" s="24" customFormat="1" hidden="1" outlineLevel="1" x14ac:dyDescent="0.25">
      <c r="A50" s="44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0</f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--284.97</f>
        <v>284.97000000000003</v>
      </c>
      <c r="Q50" s="2"/>
      <c r="R50" s="19"/>
      <c r="S50" s="2"/>
      <c r="T50" s="2">
        <f>--329.98</f>
        <v>329.98</v>
      </c>
      <c r="U50" s="2"/>
      <c r="V50" s="19"/>
      <c r="W50" s="2"/>
      <c r="X50" s="2">
        <f t="shared" si="2"/>
        <v>-45.009999999999991</v>
      </c>
      <c r="Y50" s="2"/>
      <c r="Z50" s="19">
        <f t="shared" si="3"/>
        <v>-0.13640220619431478</v>
      </c>
    </row>
    <row r="51" spans="1:26" s="24" customFormat="1" hidden="1" outlineLevel="1" x14ac:dyDescent="0.25">
      <c r="A51" s="44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--1414.19</f>
        <v>1414.19</v>
      </c>
      <c r="E51" s="2"/>
      <c r="F51" s="19"/>
      <c r="G51" s="2"/>
      <c r="H51" s="2">
        <f>--206.24</f>
        <v>206.24</v>
      </c>
      <c r="I51" s="2"/>
      <c r="J51" s="19"/>
      <c r="K51" s="2"/>
      <c r="L51" s="2">
        <f t="shared" si="0"/>
        <v>1207.95</v>
      </c>
      <c r="M51" s="2"/>
      <c r="N51" s="19">
        <f t="shared" si="1"/>
        <v>5.8570112490302559</v>
      </c>
      <c r="O51" s="11"/>
      <c r="P51" s="2">
        <f>--294889.71</f>
        <v>294889.71000000002</v>
      </c>
      <c r="Q51" s="2"/>
      <c r="R51" s="19"/>
      <c r="S51" s="2"/>
      <c r="T51" s="2">
        <f>--320699.09</f>
        <v>320699.09000000003</v>
      </c>
      <c r="U51" s="2"/>
      <c r="V51" s="19"/>
      <c r="W51" s="2"/>
      <c r="X51" s="2">
        <f t="shared" si="2"/>
        <v>-25809.380000000005</v>
      </c>
      <c r="Y51" s="2"/>
      <c r="Z51" s="19">
        <f t="shared" si="3"/>
        <v>-8.0478494653664287E-2</v>
      </c>
    </row>
    <row r="52" spans="1:26" s="24" customFormat="1" hidden="1" outlineLevel="1" x14ac:dyDescent="0.25">
      <c r="A52" s="44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0</f>
        <v>0</v>
      </c>
      <c r="E52" s="2"/>
      <c r="F52" s="19"/>
      <c r="G52" s="2"/>
      <c r="H52" s="2">
        <f>--492.72</f>
        <v>492.72</v>
      </c>
      <c r="I52" s="2"/>
      <c r="J52" s="19"/>
      <c r="K52" s="2"/>
      <c r="L52" s="2">
        <f t="shared" si="0"/>
        <v>-492.72</v>
      </c>
      <c r="M52" s="2"/>
      <c r="N52" s="19">
        <f t="shared" si="1"/>
        <v>-1</v>
      </c>
      <c r="O52" s="11"/>
      <c r="P52" s="2">
        <f>0</f>
        <v>0</v>
      </c>
      <c r="Q52" s="2"/>
      <c r="R52" s="19"/>
      <c r="S52" s="2"/>
      <c r="T52" s="2">
        <f>--7592.19</f>
        <v>7592.19</v>
      </c>
      <c r="U52" s="2"/>
      <c r="V52" s="19"/>
      <c r="W52" s="2"/>
      <c r="X52" s="2">
        <f t="shared" si="2"/>
        <v>-7592.19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>--630</f>
        <v>630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630</v>
      </c>
      <c r="M53" s="2"/>
      <c r="N53" s="19">
        <f t="shared" si="1"/>
        <v>0</v>
      </c>
      <c r="O53" s="11"/>
      <c r="P53" s="2">
        <f>--2285.95</f>
        <v>2285.9499999999998</v>
      </c>
      <c r="Q53" s="2"/>
      <c r="R53" s="19"/>
      <c r="S53" s="2"/>
      <c r="T53" s="2">
        <f>--1146.72</f>
        <v>1146.72</v>
      </c>
      <c r="U53" s="2"/>
      <c r="V53" s="19"/>
      <c r="W53" s="2"/>
      <c r="X53" s="2">
        <f t="shared" si="2"/>
        <v>1139.2299999999998</v>
      </c>
      <c r="Y53" s="2"/>
      <c r="Z53" s="19">
        <f t="shared" si="3"/>
        <v>0.99346832705455534</v>
      </c>
    </row>
    <row r="54" spans="1:26" s="24" customFormat="1" hidden="1" outlineLevel="1" x14ac:dyDescent="0.25">
      <c r="A54" s="44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>--27.8</f>
        <v>27.8</v>
      </c>
      <c r="E54" s="2"/>
      <c r="F54" s="19"/>
      <c r="G54" s="2"/>
      <c r="H54" s="2">
        <f>--14.04</f>
        <v>14.04</v>
      </c>
      <c r="I54" s="2"/>
      <c r="J54" s="19"/>
      <c r="K54" s="2"/>
      <c r="L54" s="2">
        <f t="shared" si="0"/>
        <v>13.760000000000002</v>
      </c>
      <c r="M54" s="2"/>
      <c r="N54" s="19">
        <f t="shared" si="1"/>
        <v>0.98005698005698028</v>
      </c>
      <c r="O54" s="11"/>
      <c r="P54" s="2">
        <f>--233.43</f>
        <v>233.43</v>
      </c>
      <c r="Q54" s="2"/>
      <c r="R54" s="19"/>
      <c r="S54" s="2"/>
      <c r="T54" s="2">
        <f>--34.96</f>
        <v>34.96</v>
      </c>
      <c r="U54" s="2"/>
      <c r="V54" s="19"/>
      <c r="W54" s="2"/>
      <c r="X54" s="2">
        <f t="shared" si="2"/>
        <v>198.47</v>
      </c>
      <c r="Y54" s="2"/>
      <c r="Z54" s="19">
        <f t="shared" si="3"/>
        <v>5.6770594965675052</v>
      </c>
    </row>
    <row r="55" spans="1:26" s="24" customFormat="1" hidden="1" outlineLevel="1" x14ac:dyDescent="0.25">
      <c r="A55" s="44"/>
      <c r="B55" s="11" t="str">
        <f>CONCATENATE("          ", "4125", " - ", "NON-TAXABLE SALES-TEST FORMS")</f>
        <v xml:space="preserve">          4125 - NON-TAXABLE SALES-TEST FORMS</v>
      </c>
      <c r="C55" s="11"/>
      <c r="D55" s="2">
        <f t="shared" ref="D55:D56" si="12">0</f>
        <v>0</v>
      </c>
      <c r="E55" s="2"/>
      <c r="F55" s="19"/>
      <c r="G55" s="2"/>
      <c r="H55" s="2">
        <f>0</f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0</f>
        <v>0</v>
      </c>
      <c r="Q55" s="2"/>
      <c r="R55" s="19"/>
      <c r="S55" s="2"/>
      <c r="T55" s="2">
        <f>--124.18</f>
        <v>124.18</v>
      </c>
      <c r="U55" s="2"/>
      <c r="V55" s="19"/>
      <c r="W55" s="2"/>
      <c r="X55" s="2">
        <f t="shared" si="2"/>
        <v>-124.18</v>
      </c>
      <c r="Y55" s="2"/>
      <c r="Z55" s="19">
        <f t="shared" si="3"/>
        <v>-1</v>
      </c>
    </row>
    <row r="56" spans="1:26" s="24" customFormat="1" hidden="1" outlineLevel="1" x14ac:dyDescent="0.25">
      <c r="A56" s="44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 t="shared" si="12"/>
        <v>0</v>
      </c>
      <c r="E56" s="2"/>
      <c r="F56" s="19"/>
      <c r="G56" s="2"/>
      <c r="H56" s="2">
        <f>--11.85</f>
        <v>11.85</v>
      </c>
      <c r="I56" s="2"/>
      <c r="J56" s="19"/>
      <c r="K56" s="2"/>
      <c r="L56" s="2">
        <f t="shared" si="0"/>
        <v>-11.85</v>
      </c>
      <c r="M56" s="2"/>
      <c r="N56" s="19">
        <f t="shared" si="1"/>
        <v>-1</v>
      </c>
      <c r="O56" s="11"/>
      <c r="P56" s="2">
        <f>--52.68</f>
        <v>52.68</v>
      </c>
      <c r="Q56" s="2"/>
      <c r="R56" s="19"/>
      <c r="S56" s="2"/>
      <c r="T56" s="2">
        <f>--1470.38</f>
        <v>1470.38</v>
      </c>
      <c r="U56" s="2"/>
      <c r="V56" s="19"/>
      <c r="W56" s="2"/>
      <c r="X56" s="2">
        <f t="shared" si="2"/>
        <v>-1417.7</v>
      </c>
      <c r="Y56" s="2"/>
      <c r="Z56" s="19">
        <f t="shared" si="3"/>
        <v>-0.96417252682979904</v>
      </c>
    </row>
    <row r="57" spans="1:26" s="24" customFormat="1" hidden="1" outlineLevel="1" x14ac:dyDescent="0.25">
      <c r="A57" s="44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>--114.89</f>
        <v>114.89</v>
      </c>
      <c r="E57" s="2"/>
      <c r="F57" s="19"/>
      <c r="G57" s="2"/>
      <c r="H57" s="2">
        <f>--6.28</f>
        <v>6.28</v>
      </c>
      <c r="I57" s="2"/>
      <c r="J57" s="19"/>
      <c r="K57" s="2"/>
      <c r="L57" s="2">
        <f t="shared" si="0"/>
        <v>108.61</v>
      </c>
      <c r="M57" s="2"/>
      <c r="N57" s="19">
        <f t="shared" si="1"/>
        <v>17.294585987261147</v>
      </c>
      <c r="O57" s="11"/>
      <c r="P57" s="2">
        <f>--2946.58</f>
        <v>2946.58</v>
      </c>
      <c r="Q57" s="2"/>
      <c r="R57" s="19"/>
      <c r="S57" s="2"/>
      <c r="T57" s="2">
        <f>--2603.4</f>
        <v>2603.4</v>
      </c>
      <c r="U57" s="2"/>
      <c r="V57" s="19"/>
      <c r="W57" s="2"/>
      <c r="X57" s="2">
        <f t="shared" si="2"/>
        <v>343.17999999999984</v>
      </c>
      <c r="Y57" s="2"/>
      <c r="Z57" s="19">
        <f t="shared" si="3"/>
        <v>0.13181992778674034</v>
      </c>
    </row>
    <row r="58" spans="1:26" s="24" customFormat="1" hidden="1" outlineLevel="1" x14ac:dyDescent="0.25">
      <c r="A58" s="44"/>
      <c r="B58" s="11" t="str">
        <f>CONCATENATE("          ", "4128", " - ", "NON-TAXABLE SALES-ART/TECH")</f>
        <v xml:space="preserve">          4128 - NON-TAXABLE SALES-ART/TECH</v>
      </c>
      <c r="C58" s="11"/>
      <c r="D58" s="2">
        <f>--24.78</f>
        <v>24.78</v>
      </c>
      <c r="E58" s="2"/>
      <c r="F58" s="19"/>
      <c r="G58" s="2"/>
      <c r="H58" s="2">
        <f>0</f>
        <v>0</v>
      </c>
      <c r="I58" s="2"/>
      <c r="J58" s="19"/>
      <c r="K58" s="2"/>
      <c r="L58" s="2">
        <f t="shared" si="0"/>
        <v>24.78</v>
      </c>
      <c r="M58" s="2"/>
      <c r="N58" s="19">
        <f t="shared" si="1"/>
        <v>0</v>
      </c>
      <c r="O58" s="11"/>
      <c r="P58" s="2">
        <f>--24.78</f>
        <v>24.78</v>
      </c>
      <c r="Q58" s="2"/>
      <c r="R58" s="19"/>
      <c r="S58" s="2"/>
      <c r="T58" s="2">
        <f>--348.72</f>
        <v>348.72</v>
      </c>
      <c r="U58" s="2"/>
      <c r="V58" s="19"/>
      <c r="W58" s="2"/>
      <c r="X58" s="2">
        <f t="shared" si="2"/>
        <v>-323.94000000000005</v>
      </c>
      <c r="Y58" s="2"/>
      <c r="Z58" s="19">
        <f t="shared" si="3"/>
        <v>-0.92894012388162428</v>
      </c>
    </row>
    <row r="59" spans="1:26" s="24" customFormat="1" hidden="1" outlineLevel="1" x14ac:dyDescent="0.25">
      <c r="A59" s="44"/>
      <c r="B59" s="11" t="str">
        <f>CONCATENATE("          ", "4131", " - ", "NON-TAXABLE SALES-FOOD")</f>
        <v xml:space="preserve">          4131 - NON-TAXABLE SALES-FOOD</v>
      </c>
      <c r="C59" s="11"/>
      <c r="D59" s="2">
        <f>--983.89</f>
        <v>983.89</v>
      </c>
      <c r="E59" s="2"/>
      <c r="F59" s="19"/>
      <c r="G59" s="2"/>
      <c r="H59" s="2">
        <f>--8305.09</f>
        <v>8305.09</v>
      </c>
      <c r="I59" s="2"/>
      <c r="J59" s="19"/>
      <c r="K59" s="2"/>
      <c r="L59" s="2">
        <f t="shared" si="0"/>
        <v>-7321.2</v>
      </c>
      <c r="M59" s="2"/>
      <c r="N59" s="19">
        <f t="shared" si="1"/>
        <v>-0.88153168719423869</v>
      </c>
      <c r="O59" s="11"/>
      <c r="P59" s="2">
        <f>--6509.33</f>
        <v>6509.33</v>
      </c>
      <c r="Q59" s="2"/>
      <c r="R59" s="19"/>
      <c r="S59" s="2"/>
      <c r="T59" s="2">
        <f>--35027.51</f>
        <v>35027.51</v>
      </c>
      <c r="U59" s="2"/>
      <c r="V59" s="19"/>
      <c r="W59" s="2"/>
      <c r="X59" s="2">
        <f t="shared" si="2"/>
        <v>-28518.18</v>
      </c>
      <c r="Y59" s="2"/>
      <c r="Z59" s="19">
        <f t="shared" si="3"/>
        <v>-0.8141652090028666</v>
      </c>
    </row>
    <row r="60" spans="1:26" s="24" customFormat="1" hidden="1" outlineLevel="1" x14ac:dyDescent="0.25">
      <c r="A60" s="44"/>
      <c r="B60" s="11" t="str">
        <f>CONCATENATE("          ", "4132", " - ", "NON-TAXABLE SALES-JUICE")</f>
        <v xml:space="preserve">          4132 - NON-TAXABLE SALES-JUICE</v>
      </c>
      <c r="C60" s="11"/>
      <c r="D60" s="2">
        <f t="shared" ref="D60:D64" si="13">0</f>
        <v>0</v>
      </c>
      <c r="E60" s="2"/>
      <c r="F60" s="19"/>
      <c r="G60" s="2"/>
      <c r="H60" s="2">
        <f>--2505.59</f>
        <v>2505.59</v>
      </c>
      <c r="I60" s="2"/>
      <c r="J60" s="19"/>
      <c r="K60" s="2"/>
      <c r="L60" s="2">
        <f t="shared" si="0"/>
        <v>-2505.59</v>
      </c>
      <c r="M60" s="2"/>
      <c r="N60" s="19">
        <f t="shared" si="1"/>
        <v>-1</v>
      </c>
      <c r="O60" s="11"/>
      <c r="P60" s="2">
        <f>--22.49</f>
        <v>22.49</v>
      </c>
      <c r="Q60" s="2"/>
      <c r="R60" s="19"/>
      <c r="S60" s="2"/>
      <c r="T60" s="2">
        <f>--10274.39</f>
        <v>10274.39</v>
      </c>
      <c r="U60" s="2"/>
      <c r="V60" s="19"/>
      <c r="W60" s="2"/>
      <c r="X60" s="2">
        <f t="shared" si="2"/>
        <v>-10251.9</v>
      </c>
      <c r="Y60" s="2"/>
      <c r="Z60" s="19">
        <f t="shared" si="3"/>
        <v>-0.99781106226257721</v>
      </c>
    </row>
    <row r="61" spans="1:26" s="24" customFormat="1" hidden="1" outlineLevel="1" x14ac:dyDescent="0.25">
      <c r="A61" s="44"/>
      <c r="B61" s="11" t="str">
        <f>CONCATENATE("          ", "4133", " - ", "NON-TAXABLE SALES-CANDY")</f>
        <v xml:space="preserve">          4133 - NON-TAXABLE SALES-CANDY</v>
      </c>
      <c r="C61" s="11"/>
      <c r="D61" s="2">
        <f t="shared" si="13"/>
        <v>0</v>
      </c>
      <c r="E61" s="2"/>
      <c r="F61" s="19"/>
      <c r="G61" s="2"/>
      <c r="H61" s="2">
        <f>--2349.7</f>
        <v>2349.6999999999998</v>
      </c>
      <c r="I61" s="2"/>
      <c r="J61" s="19"/>
      <c r="K61" s="2"/>
      <c r="L61" s="2">
        <f t="shared" si="0"/>
        <v>-2349.6999999999998</v>
      </c>
      <c r="M61" s="2"/>
      <c r="N61" s="19">
        <f t="shared" si="1"/>
        <v>-1</v>
      </c>
      <c r="O61" s="11"/>
      <c r="P61" s="2">
        <f>--80.71</f>
        <v>80.709999999999994</v>
      </c>
      <c r="Q61" s="2"/>
      <c r="R61" s="19"/>
      <c r="S61" s="2"/>
      <c r="T61" s="2">
        <f>--10816.56</f>
        <v>10816.56</v>
      </c>
      <c r="U61" s="2"/>
      <c r="V61" s="19"/>
      <c r="W61" s="2"/>
      <c r="X61" s="2">
        <f t="shared" si="2"/>
        <v>-10735.85</v>
      </c>
      <c r="Y61" s="2"/>
      <c r="Z61" s="19">
        <f t="shared" si="3"/>
        <v>-0.99253829313571051</v>
      </c>
    </row>
    <row r="62" spans="1:26" s="24" customFormat="1" hidden="1" outlineLevel="1" x14ac:dyDescent="0.25">
      <c r="A62" s="44"/>
      <c r="B62" s="11" t="str">
        <f>CONCATENATE("          ", "4134", " - ", "NON-TAXABLE SALES-SODA")</f>
        <v xml:space="preserve">          4134 - NON-TAXABLE SALES-SODA</v>
      </c>
      <c r="C62" s="11"/>
      <c r="D62" s="2">
        <f t="shared" si="13"/>
        <v>0</v>
      </c>
      <c r="E62" s="2"/>
      <c r="F62" s="19"/>
      <c r="G62" s="2"/>
      <c r="H62" s="2">
        <f>0</f>
        <v>0</v>
      </c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--45.53</f>
        <v>45.53</v>
      </c>
      <c r="Q62" s="2"/>
      <c r="R62" s="19"/>
      <c r="S62" s="2"/>
      <c r="T62" s="2">
        <f>0</f>
        <v>0</v>
      </c>
      <c r="U62" s="2"/>
      <c r="V62" s="19"/>
      <c r="W62" s="2"/>
      <c r="X62" s="2">
        <f t="shared" si="2"/>
        <v>45.53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"4135", " - ", "NON-TAXABLE SALES")</f>
        <v xml:space="preserve">          4135 - NON-TAXABLE SALES</v>
      </c>
      <c r="C63" s="11"/>
      <c r="D63" s="2">
        <f t="shared" si="13"/>
        <v>0</v>
      </c>
      <c r="E63" s="2"/>
      <c r="F63" s="19"/>
      <c r="G63" s="2"/>
      <c r="H63" s="2">
        <f>--10.77</f>
        <v>10.77</v>
      </c>
      <c r="I63" s="2"/>
      <c r="J63" s="19"/>
      <c r="K63" s="2"/>
      <c r="L63" s="2">
        <f t="shared" si="0"/>
        <v>-10.77</v>
      </c>
      <c r="M63" s="2"/>
      <c r="N63" s="19">
        <f t="shared" si="1"/>
        <v>-1</v>
      </c>
      <c r="O63" s="11"/>
      <c r="P63" s="2">
        <f>0</f>
        <v>0</v>
      </c>
      <c r="Q63" s="2"/>
      <c r="R63" s="19"/>
      <c r="S63" s="2"/>
      <c r="T63" s="2">
        <f>--114.73</f>
        <v>114.73</v>
      </c>
      <c r="U63" s="2"/>
      <c r="V63" s="19"/>
      <c r="W63" s="2"/>
      <c r="X63" s="2">
        <f t="shared" si="2"/>
        <v>-114.73</v>
      </c>
      <c r="Y63" s="2"/>
      <c r="Z63" s="19">
        <f t="shared" si="3"/>
        <v>-1</v>
      </c>
    </row>
    <row r="64" spans="1:26" s="24" customFormat="1" hidden="1" outlineLevel="1" x14ac:dyDescent="0.25">
      <c r="A64" s="44"/>
      <c r="B64" s="11" t="str">
        <f>CONCATENATE("          ", "4137", " - ", "NON-TAXABLE SALES-WATER")</f>
        <v xml:space="preserve">          4137 - NON-TAXABLE SALES-WATER</v>
      </c>
      <c r="C64" s="11"/>
      <c r="D64" s="2">
        <f t="shared" si="13"/>
        <v>0</v>
      </c>
      <c r="E64" s="2"/>
      <c r="F64" s="19"/>
      <c r="G64" s="2"/>
      <c r="H64" s="2">
        <f>--1024.04</f>
        <v>1024.04</v>
      </c>
      <c r="I64" s="2"/>
      <c r="J64" s="19"/>
      <c r="K64" s="2"/>
      <c r="L64" s="2">
        <f t="shared" si="0"/>
        <v>-1024.04</v>
      </c>
      <c r="M64" s="2"/>
      <c r="N64" s="19">
        <f t="shared" si="1"/>
        <v>-1</v>
      </c>
      <c r="O64" s="11"/>
      <c r="P64" s="2">
        <f>--68.25</f>
        <v>68.25</v>
      </c>
      <c r="Q64" s="2"/>
      <c r="R64" s="19"/>
      <c r="S64" s="2"/>
      <c r="T64" s="2">
        <f>--5289.34</f>
        <v>5289.34</v>
      </c>
      <c r="U64" s="2"/>
      <c r="V64" s="19"/>
      <c r="W64" s="2"/>
      <c r="X64" s="2">
        <f t="shared" si="2"/>
        <v>-5221.09</v>
      </c>
      <c r="Y64" s="2"/>
      <c r="Z64" s="19">
        <f t="shared" si="3"/>
        <v>-0.98709668881183665</v>
      </c>
    </row>
    <row r="65" spans="1:26" s="24" customFormat="1" hidden="1" outlineLevel="1" x14ac:dyDescent="0.25">
      <c r="A65" s="44"/>
      <c r="B65" s="11" t="str">
        <f>CONCATENATE("          ", "4140", " - ", "NON-TAXABLE SALES-LOGO CLOTHIN")</f>
        <v xml:space="preserve">          4140 - NON-TAXABLE SALES-LOGO CLOTHIN</v>
      </c>
      <c r="C65" s="11"/>
      <c r="D65" s="2">
        <f>--19704.79</f>
        <v>19704.79</v>
      </c>
      <c r="E65" s="2"/>
      <c r="F65" s="19"/>
      <c r="G65" s="2"/>
      <c r="H65" s="2">
        <f>--7373.27</f>
        <v>7373.27</v>
      </c>
      <c r="I65" s="2"/>
      <c r="J65" s="19"/>
      <c r="K65" s="2"/>
      <c r="L65" s="2">
        <f t="shared" si="0"/>
        <v>12331.52</v>
      </c>
      <c r="M65" s="2"/>
      <c r="N65" s="19">
        <f t="shared" si="1"/>
        <v>1.6724628285685998</v>
      </c>
      <c r="O65" s="11"/>
      <c r="P65" s="2">
        <f>--50320.27</f>
        <v>50320.27</v>
      </c>
      <c r="Q65" s="2"/>
      <c r="R65" s="19"/>
      <c r="S65" s="2"/>
      <c r="T65" s="2">
        <f>--20008.79</f>
        <v>20008.79</v>
      </c>
      <c r="U65" s="2"/>
      <c r="V65" s="19"/>
      <c r="W65" s="2"/>
      <c r="X65" s="2">
        <f t="shared" si="2"/>
        <v>30311.479999999996</v>
      </c>
      <c r="Y65" s="2"/>
      <c r="Z65" s="19">
        <f t="shared" si="3"/>
        <v>1.514908197847046</v>
      </c>
    </row>
    <row r="66" spans="1:26" s="24" customFormat="1" hidden="1" outlineLevel="1" x14ac:dyDescent="0.25">
      <c r="A66" s="44"/>
      <c r="B66" s="11" t="str">
        <f>CONCATENATE("          ", "4141", " - ", "NON-TAXABLE SALES-LOGO GIFTS")</f>
        <v xml:space="preserve">          4141 - NON-TAXABLE SALES-LOGO GIFTS</v>
      </c>
      <c r="C66" s="11"/>
      <c r="D66" s="2">
        <f>--806.32</f>
        <v>806.32</v>
      </c>
      <c r="E66" s="2"/>
      <c r="F66" s="19"/>
      <c r="G66" s="2"/>
      <c r="H66" s="2">
        <f>--434.35</f>
        <v>434.35</v>
      </c>
      <c r="I66" s="2"/>
      <c r="J66" s="19"/>
      <c r="K66" s="2"/>
      <c r="L66" s="2">
        <f t="shared" si="0"/>
        <v>371.97</v>
      </c>
      <c r="M66" s="2"/>
      <c r="N66" s="19">
        <f t="shared" si="1"/>
        <v>0.85638310118567973</v>
      </c>
      <c r="O66" s="11"/>
      <c r="P66" s="2">
        <f>--4189.02</f>
        <v>4189.0200000000004</v>
      </c>
      <c r="Q66" s="2"/>
      <c r="R66" s="19"/>
      <c r="S66" s="2"/>
      <c r="T66" s="2">
        <f>--1830.28</f>
        <v>1830.28</v>
      </c>
      <c r="U66" s="2"/>
      <c r="V66" s="19"/>
      <c r="W66" s="2"/>
      <c r="X66" s="2">
        <f t="shared" si="2"/>
        <v>2358.7400000000007</v>
      </c>
      <c r="Y66" s="2"/>
      <c r="Z66" s="19">
        <f t="shared" si="3"/>
        <v>1.2887317787442363</v>
      </c>
    </row>
    <row r="67" spans="1:26" s="24" customFormat="1" hidden="1" outlineLevel="1" x14ac:dyDescent="0.25">
      <c r="A67" s="44"/>
      <c r="B67" s="11" t="str">
        <f>CONCATENATE("          ", "4142", " - ", "NON-TAXABLE SALES-EVERYDAY GIF")</f>
        <v xml:space="preserve">          4142 - NON-TAXABLE SALES-EVERYDAY GIF</v>
      </c>
      <c r="C67" s="11"/>
      <c r="D67" s="2">
        <f>--887.78</f>
        <v>887.78</v>
      </c>
      <c r="E67" s="2"/>
      <c r="F67" s="19"/>
      <c r="G67" s="2"/>
      <c r="H67" s="2">
        <f>--2013.22</f>
        <v>2013.22</v>
      </c>
      <c r="I67" s="2"/>
      <c r="J67" s="19"/>
      <c r="K67" s="2"/>
      <c r="L67" s="2">
        <f t="shared" si="0"/>
        <v>-1125.44</v>
      </c>
      <c r="M67" s="2"/>
      <c r="N67" s="19">
        <f t="shared" si="1"/>
        <v>-0.55902484576946387</v>
      </c>
      <c r="O67" s="11"/>
      <c r="P67" s="2">
        <f>--2208.19</f>
        <v>2208.19</v>
      </c>
      <c r="Q67" s="2"/>
      <c r="R67" s="19"/>
      <c r="S67" s="2"/>
      <c r="T67" s="2">
        <f>--7932.83</f>
        <v>7932.83</v>
      </c>
      <c r="U67" s="2"/>
      <c r="V67" s="19"/>
      <c r="W67" s="2"/>
      <c r="X67" s="2">
        <f t="shared" si="2"/>
        <v>-5724.6399999999994</v>
      </c>
      <c r="Y67" s="2"/>
      <c r="Z67" s="19">
        <f t="shared" si="3"/>
        <v>-0.72163906197409999</v>
      </c>
    </row>
    <row r="68" spans="1:26" s="24" customFormat="1" hidden="1" outlineLevel="1" x14ac:dyDescent="0.25">
      <c r="A68" s="44"/>
      <c r="B68" s="11" t="str">
        <f>CONCATENATE("          ", "4143", " - ", "NON-TAXABLE SALES-CARDS")</f>
        <v xml:space="preserve">          4143 - NON-TAXABLE SALES-CARDS</v>
      </c>
      <c r="C68" s="11"/>
      <c r="D68" s="2">
        <f>--9.99</f>
        <v>9.99</v>
      </c>
      <c r="E68" s="2"/>
      <c r="F68" s="19"/>
      <c r="G68" s="2"/>
      <c r="H68" s="2">
        <f>0</f>
        <v>0</v>
      </c>
      <c r="I68" s="2"/>
      <c r="J68" s="19"/>
      <c r="K68" s="2"/>
      <c r="L68" s="2">
        <f t="shared" si="0"/>
        <v>9.99</v>
      </c>
      <c r="M68" s="2"/>
      <c r="N68" s="19">
        <f t="shared" si="1"/>
        <v>0</v>
      </c>
      <c r="O68" s="11"/>
      <c r="P68" s="2">
        <f>--39.96</f>
        <v>39.96</v>
      </c>
      <c r="Q68" s="2"/>
      <c r="R68" s="19"/>
      <c r="S68" s="2"/>
      <c r="T68" s="2">
        <f>0</f>
        <v>0</v>
      </c>
      <c r="U68" s="2"/>
      <c r="V68" s="19"/>
      <c r="W68" s="2"/>
      <c r="X68" s="2">
        <f t="shared" si="2"/>
        <v>39.96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"4144", " - ", "NON-TAXABLE SALES-ACCESSORIES")</f>
        <v xml:space="preserve">          4144 - NON-TAXABLE SALES-ACCESSORIES</v>
      </c>
      <c r="C69" s="11"/>
      <c r="D69" s="2">
        <f>--19.95</f>
        <v>19.95</v>
      </c>
      <c r="E69" s="2"/>
      <c r="F69" s="19"/>
      <c r="G69" s="2"/>
      <c r="H69" s="2">
        <f>--29.95</f>
        <v>29.95</v>
      </c>
      <c r="I69" s="2"/>
      <c r="J69" s="19"/>
      <c r="K69" s="2"/>
      <c r="L69" s="2">
        <f t="shared" si="0"/>
        <v>-10</v>
      </c>
      <c r="M69" s="2"/>
      <c r="N69" s="19">
        <f t="shared" si="1"/>
        <v>-0.333889816360601</v>
      </c>
      <c r="O69" s="11"/>
      <c r="P69" s="2">
        <f>--389.7</f>
        <v>389.7</v>
      </c>
      <c r="Q69" s="2"/>
      <c r="R69" s="19"/>
      <c r="S69" s="2"/>
      <c r="T69" s="2">
        <f>--241.56</f>
        <v>241.56</v>
      </c>
      <c r="U69" s="2"/>
      <c r="V69" s="19"/>
      <c r="W69" s="2"/>
      <c r="X69" s="2">
        <f t="shared" si="2"/>
        <v>148.13999999999999</v>
      </c>
      <c r="Y69" s="2"/>
      <c r="Z69" s="19">
        <f t="shared" si="3"/>
        <v>0.61326378539493287</v>
      </c>
    </row>
    <row r="70" spans="1:26" s="24" customFormat="1" hidden="1" outlineLevel="1" x14ac:dyDescent="0.25">
      <c r="A70" s="44"/>
      <c r="B70" s="11" t="str">
        <f>CONCATENATE("          ", "4145", " - ", "NON-TAXABLE SALES-SPECIAL ORDE")</f>
        <v xml:space="preserve">          4145 - NON-TAXABLE SALES-SPECIAL ORDE</v>
      </c>
      <c r="C70" s="11"/>
      <c r="D70" s="2">
        <f>--2800</f>
        <v>2800</v>
      </c>
      <c r="E70" s="2"/>
      <c r="F70" s="19"/>
      <c r="G70" s="2"/>
      <c r="H70" s="2">
        <f>--50</f>
        <v>50</v>
      </c>
      <c r="I70" s="2"/>
      <c r="J70" s="19"/>
      <c r="K70" s="2"/>
      <c r="L70" s="2">
        <f t="shared" si="0"/>
        <v>2750</v>
      </c>
      <c r="M70" s="2"/>
      <c r="N70" s="19">
        <f t="shared" si="1"/>
        <v>55</v>
      </c>
      <c r="O70" s="11"/>
      <c r="P70" s="2">
        <f>--38646</f>
        <v>38646</v>
      </c>
      <c r="Q70" s="2"/>
      <c r="R70" s="19"/>
      <c r="S70" s="2"/>
      <c r="T70" s="2">
        <f>--140</f>
        <v>140</v>
      </c>
      <c r="U70" s="2"/>
      <c r="V70" s="19"/>
      <c r="W70" s="2"/>
      <c r="X70" s="2">
        <f t="shared" si="2"/>
        <v>38506</v>
      </c>
      <c r="Y70" s="2"/>
      <c r="Z70" s="19">
        <f t="shared" si="3"/>
        <v>275.04285714285714</v>
      </c>
    </row>
    <row r="71" spans="1:26" s="24" customFormat="1" hidden="1" outlineLevel="1" x14ac:dyDescent="0.25">
      <c r="A71" s="44"/>
      <c r="B71" s="11" t="str">
        <f>CONCATENATE("          ", "4146", " - ", "NON-TAXABLE SALES-COIN OP MACH")</f>
        <v xml:space="preserve">          4146 - NON-TAXABLE SALES-COIN OP MACH</v>
      </c>
      <c r="C71" s="11"/>
      <c r="D71" s="2">
        <f>--21.5</f>
        <v>21.5</v>
      </c>
      <c r="E71" s="2"/>
      <c r="F71" s="19"/>
      <c r="G71" s="2"/>
      <c r="H71" s="2">
        <f>--28930.75</f>
        <v>28930.75</v>
      </c>
      <c r="I71" s="2"/>
      <c r="J71" s="19"/>
      <c r="K71" s="2"/>
      <c r="L71" s="2">
        <f t="shared" si="0"/>
        <v>-28909.25</v>
      </c>
      <c r="M71" s="2"/>
      <c r="N71" s="19">
        <f t="shared" si="1"/>
        <v>-0.9992568460893686</v>
      </c>
      <c r="O71" s="11"/>
      <c r="P71" s="2">
        <f>--108</f>
        <v>108</v>
      </c>
      <c r="Q71" s="2"/>
      <c r="R71" s="19"/>
      <c r="S71" s="2"/>
      <c r="T71" s="2">
        <f>--119341.05</f>
        <v>119341.05</v>
      </c>
      <c r="U71" s="2"/>
      <c r="V71" s="19"/>
      <c r="W71" s="2"/>
      <c r="X71" s="2">
        <f t="shared" si="2"/>
        <v>-119233.05</v>
      </c>
      <c r="Y71" s="2"/>
      <c r="Z71" s="19">
        <f t="shared" si="3"/>
        <v>-0.99909503058670923</v>
      </c>
    </row>
    <row r="72" spans="1:26" s="24" customFormat="1" hidden="1" outlineLevel="1" x14ac:dyDescent="0.25">
      <c r="A72" s="44"/>
      <c r="B72" s="11" t="str">
        <f>CONCATENATE("          ", "4147", " - ", "NON-TAXABLE SALES-MISC")</f>
        <v xml:space="preserve">          4147 - NON-TAXABLE SALES-MISC</v>
      </c>
      <c r="C72" s="11"/>
      <c r="D72" s="2">
        <f>--5</f>
        <v>5</v>
      </c>
      <c r="E72" s="2"/>
      <c r="F72" s="19"/>
      <c r="G72" s="2"/>
      <c r="H72" s="2">
        <f>--75</f>
        <v>75</v>
      </c>
      <c r="I72" s="2"/>
      <c r="J72" s="19"/>
      <c r="K72" s="2"/>
      <c r="L72" s="2">
        <f t="shared" si="0"/>
        <v>-70</v>
      </c>
      <c r="M72" s="2"/>
      <c r="N72" s="19">
        <f t="shared" si="1"/>
        <v>-0.93333333333333335</v>
      </c>
      <c r="O72" s="11"/>
      <c r="P72" s="2">
        <f>--91.5</f>
        <v>91.5</v>
      </c>
      <c r="Q72" s="2"/>
      <c r="R72" s="19"/>
      <c r="S72" s="2"/>
      <c r="T72" s="2">
        <f>--249.9</f>
        <v>249.9</v>
      </c>
      <c r="U72" s="2"/>
      <c r="V72" s="19"/>
      <c r="W72" s="2"/>
      <c r="X72" s="2">
        <f t="shared" si="2"/>
        <v>-158.4</v>
      </c>
      <c r="Y72" s="2"/>
      <c r="Z72" s="19">
        <f t="shared" si="3"/>
        <v>-0.63385354141656669</v>
      </c>
    </row>
    <row r="73" spans="1:26" s="24" customFormat="1" hidden="1" outlineLevel="1" x14ac:dyDescent="0.25">
      <c r="A73" s="44"/>
      <c r="B73" s="11" t="str">
        <f>CONCATENATE("          ", "4186", " - ", "NON-TAXABLE SALES-COMPUTER SUP")</f>
        <v xml:space="preserve">          4186 - NON-TAXABLE SALES-COMPUTER SUP</v>
      </c>
      <c r="C73" s="11"/>
      <c r="D73" s="2">
        <f>0</f>
        <v>0</v>
      </c>
      <c r="E73" s="2"/>
      <c r="F73" s="19"/>
      <c r="G73" s="2"/>
      <c r="H73" s="2">
        <f>0</f>
        <v>0</v>
      </c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0</f>
        <v>0</v>
      </c>
      <c r="Q73" s="2"/>
      <c r="R73" s="19"/>
      <c r="S73" s="2"/>
      <c r="T73" s="2">
        <f>-30.97</f>
        <v>-30.97</v>
      </c>
      <c r="U73" s="2"/>
      <c r="V73" s="19"/>
      <c r="W73" s="2"/>
      <c r="X73" s="2">
        <f t="shared" si="2"/>
        <v>30.97</v>
      </c>
      <c r="Y73" s="2"/>
      <c r="Z73" s="19">
        <f t="shared" si="3"/>
        <v>-1</v>
      </c>
    </row>
    <row r="74" spans="1:26" s="24" customFormat="1" hidden="1" outlineLevel="1" x14ac:dyDescent="0.25">
      <c r="A74" s="44"/>
      <c r="B74" s="11" t="str">
        <f>CONCATENATE("          ", "4201", " - ", "SALES RETURN TAXABLE-NEW TEXT")</f>
        <v xml:space="preserve">          4201 - SALES RETURN TAXABLE-NEW TEXT</v>
      </c>
      <c r="C74" s="11"/>
      <c r="D74" s="2">
        <f>-1333.42</f>
        <v>-1333.42</v>
      </c>
      <c r="E74" s="2"/>
      <c r="F74" s="19"/>
      <c r="G74" s="2"/>
      <c r="H74" s="2">
        <f>-314.9</f>
        <v>-314.89999999999998</v>
      </c>
      <c r="I74" s="2"/>
      <c r="J74" s="19"/>
      <c r="K74" s="2"/>
      <c r="L74" s="2">
        <f t="shared" si="0"/>
        <v>-1018.5200000000001</v>
      </c>
      <c r="M74" s="2"/>
      <c r="N74" s="19">
        <f t="shared" si="1"/>
        <v>3.2344236265481112</v>
      </c>
      <c r="O74" s="11"/>
      <c r="P74" s="2">
        <f>-35094.66</f>
        <v>-35094.660000000003</v>
      </c>
      <c r="Q74" s="2"/>
      <c r="R74" s="19"/>
      <c r="S74" s="2"/>
      <c r="T74" s="2">
        <f>-78098.57</f>
        <v>-78098.570000000007</v>
      </c>
      <c r="U74" s="2"/>
      <c r="V74" s="19"/>
      <c r="W74" s="2"/>
      <c r="X74" s="2">
        <f t="shared" si="2"/>
        <v>43003.91</v>
      </c>
      <c r="Y74" s="2"/>
      <c r="Z74" s="19">
        <f t="shared" si="3"/>
        <v>-0.55063633047314442</v>
      </c>
    </row>
    <row r="75" spans="1:26" s="24" customFormat="1" hidden="1" outlineLevel="1" x14ac:dyDescent="0.25">
      <c r="A75" s="44"/>
      <c r="B75" s="11" t="str">
        <f>CONCATENATE("          ", "4202", " - ", "SALES RETURN TAXABLE-USED TEXT")</f>
        <v xml:space="preserve">          4202 - SALES RETURN TAXABLE-USED TEXT</v>
      </c>
      <c r="C75" s="11"/>
      <c r="D75" s="2">
        <f>-3274.35</f>
        <v>-3274.35</v>
      </c>
      <c r="E75" s="2"/>
      <c r="F75" s="19"/>
      <c r="G75" s="2"/>
      <c r="H75" s="2">
        <f>-113.2</f>
        <v>-113.2</v>
      </c>
      <c r="I75" s="2"/>
      <c r="J75" s="19"/>
      <c r="K75" s="2"/>
      <c r="L75" s="2">
        <f t="shared" si="0"/>
        <v>-3161.15</v>
      </c>
      <c r="M75" s="2"/>
      <c r="N75" s="19">
        <f t="shared" si="1"/>
        <v>27.925353356890458</v>
      </c>
      <c r="O75" s="11"/>
      <c r="P75" s="2">
        <f>-13803.35</f>
        <v>-13803.35</v>
      </c>
      <c r="Q75" s="2"/>
      <c r="R75" s="19"/>
      <c r="S75" s="2"/>
      <c r="T75" s="2">
        <f>-27042.2</f>
        <v>-27042.2</v>
      </c>
      <c r="U75" s="2"/>
      <c r="V75" s="19"/>
      <c r="W75" s="2"/>
      <c r="X75" s="2">
        <f t="shared" si="2"/>
        <v>13238.85</v>
      </c>
      <c r="Y75" s="2"/>
      <c r="Z75" s="19">
        <f t="shared" si="3"/>
        <v>-0.48956260955099806</v>
      </c>
    </row>
    <row r="76" spans="1:26" s="24" customFormat="1" hidden="1" outlineLevel="1" x14ac:dyDescent="0.25">
      <c r="A76" s="44"/>
      <c r="B76" s="11" t="str">
        <f>CONCATENATE("          ", "4203", " - ", "SALES RETURN TAXABLE-RENTAL TE")</f>
        <v xml:space="preserve">          4203 - SALES RETURN TAXABLE-RENTAL TE</v>
      </c>
      <c r="C76" s="11"/>
      <c r="D76" s="2">
        <f t="shared" ref="D76:D82" si="14">0</f>
        <v>0</v>
      </c>
      <c r="E76" s="2"/>
      <c r="F76" s="19"/>
      <c r="G76" s="2"/>
      <c r="H76" s="2">
        <f>0</f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0</f>
        <v>0</v>
      </c>
      <c r="Q76" s="2"/>
      <c r="R76" s="19"/>
      <c r="S76" s="2"/>
      <c r="T76" s="2">
        <f>-144.99</f>
        <v>-144.99</v>
      </c>
      <c r="U76" s="2"/>
      <c r="V76" s="19"/>
      <c r="W76" s="2"/>
      <c r="X76" s="2">
        <f t="shared" si="2"/>
        <v>144.99</v>
      </c>
      <c r="Y76" s="2"/>
      <c r="Z76" s="19">
        <f t="shared" si="3"/>
        <v>-1</v>
      </c>
    </row>
    <row r="77" spans="1:26" s="24" customFormat="1" hidden="1" outlineLevel="1" x14ac:dyDescent="0.25">
      <c r="A77" s="44"/>
      <c r="B77" s="11" t="str">
        <f>CONCATENATE("          ", "4204", " - ", "SALES RETURN TAXABLE-DIGITAL T")</f>
        <v xml:space="preserve">          4204 - SALES RETURN TAXABLE-DIGITAL T</v>
      </c>
      <c r="C77" s="11"/>
      <c r="D77" s="2">
        <f t="shared" si="14"/>
        <v>0</v>
      </c>
      <c r="E77" s="2"/>
      <c r="F77" s="19"/>
      <c r="G77" s="2"/>
      <c r="H77" s="2">
        <f>-119.4</f>
        <v>-119.4</v>
      </c>
      <c r="I77" s="2"/>
      <c r="J77" s="19"/>
      <c r="K77" s="2"/>
      <c r="L77" s="2">
        <f t="shared" si="0"/>
        <v>119.4</v>
      </c>
      <c r="M77" s="2"/>
      <c r="N77" s="19">
        <f t="shared" si="1"/>
        <v>-1</v>
      </c>
      <c r="O77" s="11"/>
      <c r="P77" s="2">
        <f>-1630.85</f>
        <v>-1630.85</v>
      </c>
      <c r="Q77" s="2"/>
      <c r="R77" s="19"/>
      <c r="S77" s="2"/>
      <c r="T77" s="2">
        <f>-11369.46</f>
        <v>-11369.46</v>
      </c>
      <c r="U77" s="2"/>
      <c r="V77" s="19"/>
      <c r="W77" s="2"/>
      <c r="X77" s="2">
        <f t="shared" si="2"/>
        <v>9738.6099999999988</v>
      </c>
      <c r="Y77" s="2"/>
      <c r="Z77" s="19">
        <f t="shared" si="3"/>
        <v>-0.85655871079189327</v>
      </c>
    </row>
    <row r="78" spans="1:26" s="24" customFormat="1" hidden="1" outlineLevel="1" x14ac:dyDescent="0.25">
      <c r="A78" s="44"/>
      <c r="B78" s="11" t="str">
        <f>CONCATENATE("          ", "4213", " - ", "NON-TAXABLE SALES-TRADE BOOKS")</f>
        <v xml:space="preserve">          4213 - NON-TAXABLE SALES-TRADE BOOKS</v>
      </c>
      <c r="C78" s="11"/>
      <c r="D78" s="2">
        <f t="shared" si="14"/>
        <v>0</v>
      </c>
      <c r="E78" s="2"/>
      <c r="F78" s="19"/>
      <c r="G78" s="2"/>
      <c r="H78" s="2">
        <f>-67.34</f>
        <v>-67.34</v>
      </c>
      <c r="I78" s="2"/>
      <c r="J78" s="19"/>
      <c r="K78" s="2"/>
      <c r="L78" s="2">
        <f t="shared" si="0"/>
        <v>67.34</v>
      </c>
      <c r="M78" s="2"/>
      <c r="N78" s="19">
        <f t="shared" si="1"/>
        <v>-1</v>
      </c>
      <c r="O78" s="11"/>
      <c r="P78" s="2">
        <f t="shared" ref="P78:P81" si="15">0</f>
        <v>0</v>
      </c>
      <c r="Q78" s="2"/>
      <c r="R78" s="19"/>
      <c r="S78" s="2"/>
      <c r="T78" s="2">
        <f>-102.71</f>
        <v>-102.71</v>
      </c>
      <c r="U78" s="2"/>
      <c r="V78" s="19"/>
      <c r="W78" s="2"/>
      <c r="X78" s="2">
        <f t="shared" si="2"/>
        <v>102.71</v>
      </c>
      <c r="Y78" s="2"/>
      <c r="Z78" s="19">
        <f t="shared" si="3"/>
        <v>-1</v>
      </c>
    </row>
    <row r="79" spans="1:26" s="24" customFormat="1" hidden="1" outlineLevel="1" x14ac:dyDescent="0.25">
      <c r="A79" s="44"/>
      <c r="B79" s="11" t="str">
        <f>CONCATENATE("          ", "4217", " - ", "NON-TAXABLE SALES-DORM/HOUSEWA")</f>
        <v xml:space="preserve">          4217 - NON-TAXABLE SALES-DORM/HOUSEWA</v>
      </c>
      <c r="C79" s="11"/>
      <c r="D79" s="2">
        <f t="shared" si="14"/>
        <v>0</v>
      </c>
      <c r="E79" s="2"/>
      <c r="F79" s="19"/>
      <c r="G79" s="2"/>
      <c r="H79" s="2">
        <f t="shared" ref="H79:H80" si="16"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 t="shared" si="15"/>
        <v>0</v>
      </c>
      <c r="Q79" s="2"/>
      <c r="R79" s="19"/>
      <c r="S79" s="2"/>
      <c r="T79" s="2">
        <f>-2.98</f>
        <v>-2.98</v>
      </c>
      <c r="U79" s="2"/>
      <c r="V79" s="19"/>
      <c r="W79" s="2"/>
      <c r="X79" s="2">
        <f t="shared" si="2"/>
        <v>2.98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"4218", " - ", "SALES RETURN TAXABLE-STUDY GUI")</f>
        <v xml:space="preserve">          4218 - SALES RETURN TAXABLE-STUDY GUI</v>
      </c>
      <c r="C80" s="11"/>
      <c r="D80" s="2">
        <f t="shared" si="14"/>
        <v>0</v>
      </c>
      <c r="E80" s="2"/>
      <c r="F80" s="19"/>
      <c r="G80" s="2"/>
      <c r="H80" s="2">
        <f t="shared" si="16"/>
        <v>0</v>
      </c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 t="shared" si="15"/>
        <v>0</v>
      </c>
      <c r="Q80" s="2"/>
      <c r="R80" s="19"/>
      <c r="S80" s="2"/>
      <c r="T80" s="2">
        <f>-32.75</f>
        <v>-32.75</v>
      </c>
      <c r="U80" s="2"/>
      <c r="V80" s="19"/>
      <c r="W80" s="2"/>
      <c r="X80" s="2">
        <f t="shared" si="2"/>
        <v>32.75</v>
      </c>
      <c r="Y80" s="2"/>
      <c r="Z80" s="19">
        <f t="shared" si="3"/>
        <v>-1</v>
      </c>
    </row>
    <row r="81" spans="1:26" s="24" customFormat="1" hidden="1" outlineLevel="1" x14ac:dyDescent="0.25">
      <c r="A81" s="44"/>
      <c r="B81" s="11" t="str">
        <f>CONCATENATE("          ", "4225", " - ", "SALES RETURN TAXABLE-TEST FORM")</f>
        <v xml:space="preserve">          4225 - SALES RETURN TAXABLE-TEST FORM</v>
      </c>
      <c r="C81" s="11"/>
      <c r="D81" s="2">
        <f t="shared" si="14"/>
        <v>0</v>
      </c>
      <c r="E81" s="2"/>
      <c r="F81" s="19"/>
      <c r="G81" s="2"/>
      <c r="H81" s="2">
        <f>-23.91</f>
        <v>-23.91</v>
      </c>
      <c r="I81" s="2"/>
      <c r="J81" s="19"/>
      <c r="K81" s="2"/>
      <c r="L81" s="2">
        <f t="shared" si="0"/>
        <v>23.91</v>
      </c>
      <c r="M81" s="2"/>
      <c r="N81" s="19">
        <f t="shared" si="1"/>
        <v>-1</v>
      </c>
      <c r="O81" s="11"/>
      <c r="P81" s="2">
        <f t="shared" si="15"/>
        <v>0</v>
      </c>
      <c r="Q81" s="2"/>
      <c r="R81" s="19"/>
      <c r="S81" s="2"/>
      <c r="T81" s="2">
        <f>-65.46</f>
        <v>-65.459999999999994</v>
      </c>
      <c r="U81" s="2"/>
      <c r="V81" s="19"/>
      <c r="W81" s="2"/>
      <c r="X81" s="2">
        <f t="shared" si="2"/>
        <v>65.459999999999994</v>
      </c>
      <c r="Y81" s="2"/>
      <c r="Z81" s="19">
        <f t="shared" si="3"/>
        <v>-1</v>
      </c>
    </row>
    <row r="82" spans="1:26" s="24" customFormat="1" hidden="1" outlineLevel="1" x14ac:dyDescent="0.25">
      <c r="A82" s="44"/>
      <c r="B82" s="11" t="str">
        <f>CONCATENATE("          ", "4226", " - ", "SALES RETURN TAXABLE-WRITING I")</f>
        <v xml:space="preserve">          4226 - SALES RETURN TAXABLE-WRITING I</v>
      </c>
      <c r="C82" s="11"/>
      <c r="D82" s="2">
        <f t="shared" si="14"/>
        <v>0</v>
      </c>
      <c r="E82" s="2"/>
      <c r="F82" s="19"/>
      <c r="G82" s="2"/>
      <c r="H82" s="2">
        <f>-13.74</f>
        <v>-13.74</v>
      </c>
      <c r="I82" s="2"/>
      <c r="J82" s="19"/>
      <c r="K82" s="2"/>
      <c r="L82" s="2">
        <f t="shared" si="0"/>
        <v>13.74</v>
      </c>
      <c r="M82" s="2"/>
      <c r="N82" s="19">
        <f t="shared" si="1"/>
        <v>-1</v>
      </c>
      <c r="O82" s="11"/>
      <c r="P82" s="2">
        <f>-34.23</f>
        <v>-34.229999999999997</v>
      </c>
      <c r="Q82" s="2"/>
      <c r="R82" s="19"/>
      <c r="S82" s="2"/>
      <c r="T82" s="2">
        <f>-489.71</f>
        <v>-489.71</v>
      </c>
      <c r="U82" s="2"/>
      <c r="V82" s="19"/>
      <c r="W82" s="2"/>
      <c r="X82" s="2">
        <f t="shared" si="2"/>
        <v>455.47999999999996</v>
      </c>
      <c r="Y82" s="2"/>
      <c r="Z82" s="19">
        <f t="shared" si="3"/>
        <v>-0.93010148863613151</v>
      </c>
    </row>
    <row r="83" spans="1:26" s="24" customFormat="1" hidden="1" outlineLevel="1" x14ac:dyDescent="0.25">
      <c r="A83" s="44"/>
      <c r="B83" s="11" t="str">
        <f>CONCATENATE("          ", "4227", " - ", "SALES RETURN TAXABLE-SCHOOL SU")</f>
        <v xml:space="preserve">          4227 - SALES RETURN TAXABLE-SCHOOL SU</v>
      </c>
      <c r="C83" s="11"/>
      <c r="D83" s="2">
        <f>-31.98</f>
        <v>-31.98</v>
      </c>
      <c r="E83" s="2"/>
      <c r="F83" s="19"/>
      <c r="G83" s="2"/>
      <c r="H83" s="2">
        <f>-917.34</f>
        <v>-917.34</v>
      </c>
      <c r="I83" s="2"/>
      <c r="J83" s="19"/>
      <c r="K83" s="2"/>
      <c r="L83" s="2">
        <f t="shared" si="0"/>
        <v>885.36</v>
      </c>
      <c r="M83" s="2"/>
      <c r="N83" s="19">
        <f t="shared" si="1"/>
        <v>-0.96513833475047417</v>
      </c>
      <c r="O83" s="11"/>
      <c r="P83" s="2">
        <f>-610.64</f>
        <v>-610.64</v>
      </c>
      <c r="Q83" s="2"/>
      <c r="R83" s="19"/>
      <c r="S83" s="2"/>
      <c r="T83" s="2">
        <f>-5743.82</f>
        <v>-5743.82</v>
      </c>
      <c r="U83" s="2"/>
      <c r="V83" s="19"/>
      <c r="W83" s="2"/>
      <c r="X83" s="2">
        <f t="shared" si="2"/>
        <v>5133.1799999999994</v>
      </c>
      <c r="Y83" s="2"/>
      <c r="Z83" s="19">
        <f t="shared" si="3"/>
        <v>-0.8936874762788527</v>
      </c>
    </row>
    <row r="84" spans="1:26" s="24" customFormat="1" hidden="1" outlineLevel="1" x14ac:dyDescent="0.25">
      <c r="A84" s="44"/>
      <c r="B84" s="11" t="str">
        <f>CONCATENATE("          ", "4228", " - ", "SALES RETURN TAXABLE-ART/TECH")</f>
        <v xml:space="preserve">          4228 - SALES RETURN TAXABLE-ART/TECH</v>
      </c>
      <c r="C84" s="11"/>
      <c r="D84" s="2">
        <f>-32.49</f>
        <v>-32.49</v>
      </c>
      <c r="E84" s="2"/>
      <c r="F84" s="19"/>
      <c r="G84" s="2"/>
      <c r="H84" s="2">
        <f>-441.03</f>
        <v>-441.03</v>
      </c>
      <c r="I84" s="2"/>
      <c r="J84" s="19"/>
      <c r="K84" s="2"/>
      <c r="L84" s="2">
        <f t="shared" si="0"/>
        <v>408.53999999999996</v>
      </c>
      <c r="M84" s="2"/>
      <c r="N84" s="19">
        <f t="shared" si="1"/>
        <v>-0.92633154207196788</v>
      </c>
      <c r="O84" s="11"/>
      <c r="P84" s="2">
        <f>-254.69</f>
        <v>-254.69</v>
      </c>
      <c r="Q84" s="2"/>
      <c r="R84" s="19"/>
      <c r="S84" s="2"/>
      <c r="T84" s="2">
        <f>-2871.29</f>
        <v>-2871.29</v>
      </c>
      <c r="U84" s="2"/>
      <c r="V84" s="19"/>
      <c r="W84" s="2"/>
      <c r="X84" s="2">
        <f t="shared" si="2"/>
        <v>2616.6</v>
      </c>
      <c r="Y84" s="2"/>
      <c r="Z84" s="19">
        <f t="shared" si="3"/>
        <v>-0.91129770939194576</v>
      </c>
    </row>
    <row r="85" spans="1:26" s="24" customFormat="1" hidden="1" outlineLevel="1" x14ac:dyDescent="0.25">
      <c r="A85" s="44"/>
      <c r="B85" s="11" t="str">
        <f>CONCATENATE("          ", "4233", " - ", "SALES RETURN TAXABLE-CANDY")</f>
        <v xml:space="preserve">          4233 - SALES RETURN TAXABLE-CANDY</v>
      </c>
      <c r="C85" s="11"/>
      <c r="D85" s="2">
        <f>0</f>
        <v>0</v>
      </c>
      <c r="E85" s="2"/>
      <c r="F85" s="19"/>
      <c r="G85" s="2"/>
      <c r="H85" s="2">
        <f>-1.29</f>
        <v>-1.29</v>
      </c>
      <c r="I85" s="2"/>
      <c r="J85" s="19"/>
      <c r="K85" s="2"/>
      <c r="L85" s="2">
        <f t="shared" si="0"/>
        <v>1.29</v>
      </c>
      <c r="M85" s="2"/>
      <c r="N85" s="19">
        <f t="shared" si="1"/>
        <v>-1</v>
      </c>
      <c r="O85" s="11"/>
      <c r="P85" s="2">
        <f>0</f>
        <v>0</v>
      </c>
      <c r="Q85" s="2"/>
      <c r="R85" s="19"/>
      <c r="S85" s="2"/>
      <c r="T85" s="2">
        <f>-1.29</f>
        <v>-1.29</v>
      </c>
      <c r="U85" s="2"/>
      <c r="V85" s="19"/>
      <c r="W85" s="2"/>
      <c r="X85" s="2">
        <f t="shared" si="2"/>
        <v>1.29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"4240", " - ", "SALES RETURN TAXABLE-LOGO CLOT")</f>
        <v xml:space="preserve">          4240 - SALES RETURN TAXABLE-LOGO CLOT</v>
      </c>
      <c r="C86" s="11"/>
      <c r="D86" s="2">
        <f>-1729.15</f>
        <v>-1729.15</v>
      </c>
      <c r="E86" s="2"/>
      <c r="F86" s="19"/>
      <c r="G86" s="2"/>
      <c r="H86" s="2">
        <f>-10814.23</f>
        <v>-10814.23</v>
      </c>
      <c r="I86" s="2"/>
      <c r="J86" s="19"/>
      <c r="K86" s="2"/>
      <c r="L86" s="2">
        <f t="shared" si="0"/>
        <v>9085.08</v>
      </c>
      <c r="M86" s="2"/>
      <c r="N86" s="19">
        <f t="shared" si="1"/>
        <v>-0.84010419604539577</v>
      </c>
      <c r="O86" s="11"/>
      <c r="P86" s="2">
        <f>-15578.67</f>
        <v>-15578.67</v>
      </c>
      <c r="Q86" s="2"/>
      <c r="R86" s="19"/>
      <c r="S86" s="2"/>
      <c r="T86" s="2">
        <f>-41109.03</f>
        <v>-41109.03</v>
      </c>
      <c r="U86" s="2"/>
      <c r="V86" s="19"/>
      <c r="W86" s="2"/>
      <c r="X86" s="2">
        <f t="shared" si="2"/>
        <v>25530.36</v>
      </c>
      <c r="Y86" s="2"/>
      <c r="Z86" s="19">
        <f t="shared" si="3"/>
        <v>-0.62104019481851069</v>
      </c>
    </row>
    <row r="87" spans="1:26" s="24" customFormat="1" hidden="1" outlineLevel="1" x14ac:dyDescent="0.25">
      <c r="A87" s="44"/>
      <c r="B87" s="11" t="str">
        <f>CONCATENATE("          ", "4241", " - ", "SALES RETURN TAXABLE-LOGO GIFT")</f>
        <v xml:space="preserve">          4241 - SALES RETURN TAXABLE-LOGO GIFT</v>
      </c>
      <c r="C87" s="11"/>
      <c r="D87" s="2">
        <f>-108.29</f>
        <v>-108.29</v>
      </c>
      <c r="E87" s="2"/>
      <c r="F87" s="19"/>
      <c r="G87" s="2"/>
      <c r="H87" s="2">
        <f>-491.64</f>
        <v>-491.64</v>
      </c>
      <c r="I87" s="2"/>
      <c r="J87" s="19"/>
      <c r="K87" s="2"/>
      <c r="L87" s="2">
        <f t="shared" si="0"/>
        <v>383.34999999999997</v>
      </c>
      <c r="M87" s="2"/>
      <c r="N87" s="19">
        <f t="shared" si="1"/>
        <v>-0.77973720608575381</v>
      </c>
      <c r="O87" s="11"/>
      <c r="P87" s="2">
        <f>-2804.85</f>
        <v>-2804.85</v>
      </c>
      <c r="Q87" s="2"/>
      <c r="R87" s="19"/>
      <c r="S87" s="2"/>
      <c r="T87" s="2">
        <f>-3209.59</f>
        <v>-3209.59</v>
      </c>
      <c r="U87" s="2"/>
      <c r="V87" s="19"/>
      <c r="W87" s="2"/>
      <c r="X87" s="2">
        <f t="shared" si="2"/>
        <v>404.74000000000024</v>
      </c>
      <c r="Y87" s="2"/>
      <c r="Z87" s="19">
        <f t="shared" si="3"/>
        <v>-0.12610333407070692</v>
      </c>
    </row>
    <row r="88" spans="1:26" s="24" customFormat="1" hidden="1" outlineLevel="1" x14ac:dyDescent="0.25">
      <c r="A88" s="44"/>
      <c r="B88" s="11" t="str">
        <f>CONCATENATE("          ", "4242", " - ", "SALES RETURN TAXABLE-EVERYDAY")</f>
        <v xml:space="preserve">          4242 - SALES RETURN TAXABLE-EVERYDAY</v>
      </c>
      <c r="C88" s="11"/>
      <c r="D88" s="2">
        <f>-7.48</f>
        <v>-7.48</v>
      </c>
      <c r="E88" s="2"/>
      <c r="F88" s="19"/>
      <c r="G88" s="2"/>
      <c r="H88" s="2">
        <f>-532.3</f>
        <v>-532.29999999999995</v>
      </c>
      <c r="I88" s="2"/>
      <c r="J88" s="19"/>
      <c r="K88" s="2"/>
      <c r="L88" s="2">
        <f t="shared" si="0"/>
        <v>524.81999999999994</v>
      </c>
      <c r="M88" s="2"/>
      <c r="N88" s="19">
        <f t="shared" si="1"/>
        <v>-0.98594777381176024</v>
      </c>
      <c r="O88" s="11"/>
      <c r="P88" s="2">
        <f>-1328.99</f>
        <v>-1328.99</v>
      </c>
      <c r="Q88" s="2"/>
      <c r="R88" s="19"/>
      <c r="S88" s="2"/>
      <c r="T88" s="2">
        <f>-1691.87</f>
        <v>-1691.87</v>
      </c>
      <c r="U88" s="2"/>
      <c r="V88" s="19"/>
      <c r="W88" s="2"/>
      <c r="X88" s="2">
        <f t="shared" si="2"/>
        <v>362.87999999999988</v>
      </c>
      <c r="Y88" s="2"/>
      <c r="Z88" s="19">
        <f t="shared" si="3"/>
        <v>-0.21448456441688776</v>
      </c>
    </row>
    <row r="89" spans="1:26" s="24" customFormat="1" hidden="1" outlineLevel="1" x14ac:dyDescent="0.25">
      <c r="A89" s="44"/>
      <c r="B89" s="11" t="str">
        <f>CONCATENATE("          ", "4243", " - ", "SALES RETURN TAXABLE-CARDS")</f>
        <v xml:space="preserve">          4243 - SALES RETURN TAXABLE-CARDS</v>
      </c>
      <c r="C89" s="11"/>
      <c r="D89" s="2">
        <f>-829.54</f>
        <v>-829.54</v>
      </c>
      <c r="E89" s="2"/>
      <c r="F89" s="19"/>
      <c r="G89" s="2"/>
      <c r="H89" s="2">
        <f>-316.34</f>
        <v>-316.33999999999997</v>
      </c>
      <c r="I89" s="2"/>
      <c r="J89" s="19"/>
      <c r="K89" s="2"/>
      <c r="L89" s="2">
        <f t="shared" si="0"/>
        <v>-513.20000000000005</v>
      </c>
      <c r="M89" s="2"/>
      <c r="N89" s="19">
        <f t="shared" si="1"/>
        <v>1.6223051147499528</v>
      </c>
      <c r="O89" s="11"/>
      <c r="P89" s="2">
        <f>-1812.46</f>
        <v>-1812.46</v>
      </c>
      <c r="Q89" s="2"/>
      <c r="R89" s="19"/>
      <c r="S89" s="2"/>
      <c r="T89" s="2">
        <f>-320.84</f>
        <v>-320.83999999999997</v>
      </c>
      <c r="U89" s="2"/>
      <c r="V89" s="19"/>
      <c r="W89" s="2"/>
      <c r="X89" s="2">
        <f t="shared" si="2"/>
        <v>-1491.6200000000001</v>
      </c>
      <c r="Y89" s="2"/>
      <c r="Z89" s="19">
        <f t="shared" si="3"/>
        <v>4.6491085899513784</v>
      </c>
    </row>
    <row r="90" spans="1:26" s="24" customFormat="1" hidden="1" outlineLevel="1" x14ac:dyDescent="0.25">
      <c r="A90" s="44"/>
      <c r="B90" s="11" t="str">
        <f>CONCATENATE("          ", "4244", " - ", "SALES RETURN TAXABLE-ACCESSORI")</f>
        <v xml:space="preserve">          4244 - SALES RETURN TAXABLE-ACCESSORI</v>
      </c>
      <c r="C90" s="11"/>
      <c r="D90" s="2">
        <f>-179.95</f>
        <v>-179.95</v>
      </c>
      <c r="E90" s="2"/>
      <c r="F90" s="19"/>
      <c r="G90" s="2"/>
      <c r="H90" s="2">
        <f>-96.7</f>
        <v>-96.7</v>
      </c>
      <c r="I90" s="2"/>
      <c r="J90" s="19"/>
      <c r="K90" s="2"/>
      <c r="L90" s="2">
        <f t="shared" si="0"/>
        <v>-83.249999999999986</v>
      </c>
      <c r="M90" s="2"/>
      <c r="N90" s="19">
        <f t="shared" si="1"/>
        <v>0.86091003102378472</v>
      </c>
      <c r="O90" s="11"/>
      <c r="P90" s="2">
        <f>-590.94</f>
        <v>-590.94000000000005</v>
      </c>
      <c r="Q90" s="2"/>
      <c r="R90" s="19"/>
      <c r="S90" s="2"/>
      <c r="T90" s="2">
        <f>-1529.06</f>
        <v>-1529.06</v>
      </c>
      <c r="U90" s="2"/>
      <c r="V90" s="19"/>
      <c r="W90" s="2"/>
      <c r="X90" s="2">
        <f t="shared" si="2"/>
        <v>938.11999999999989</v>
      </c>
      <c r="Y90" s="2"/>
      <c r="Z90" s="19">
        <f t="shared" si="3"/>
        <v>-0.61352726511713074</v>
      </c>
    </row>
    <row r="91" spans="1:26" s="24" customFormat="1" hidden="1" outlineLevel="1" x14ac:dyDescent="0.25">
      <c r="A91" s="44"/>
      <c r="B91" s="11" t="str">
        <f>CONCATENATE("          ", "4245", " - ", "SALES RETURN TAXABLE-SPECIAL O")</f>
        <v xml:space="preserve">          4245 - SALES RETURN TAXABLE-SPECIAL O</v>
      </c>
      <c r="C91" s="11"/>
      <c r="D91" s="2">
        <f>-45.89</f>
        <v>-45.89</v>
      </c>
      <c r="E91" s="2"/>
      <c r="F91" s="19"/>
      <c r="G91" s="2"/>
      <c r="H91" s="2">
        <f t="shared" ref="H91:H92" si="17">0</f>
        <v>0</v>
      </c>
      <c r="I91" s="2"/>
      <c r="J91" s="19"/>
      <c r="K91" s="2"/>
      <c r="L91" s="2">
        <f t="shared" si="0"/>
        <v>-45.89</v>
      </c>
      <c r="M91" s="2"/>
      <c r="N91" s="19">
        <f t="shared" si="1"/>
        <v>0</v>
      </c>
      <c r="O91" s="11"/>
      <c r="P91" s="2">
        <f>-1592.82</f>
        <v>-1592.82</v>
      </c>
      <c r="Q91" s="2"/>
      <c r="R91" s="19"/>
      <c r="S91" s="2"/>
      <c r="T91" s="2">
        <f>-91.96</f>
        <v>-91.96</v>
      </c>
      <c r="U91" s="2"/>
      <c r="V91" s="19"/>
      <c r="W91" s="2"/>
      <c r="X91" s="2">
        <f t="shared" si="2"/>
        <v>-1500.86</v>
      </c>
      <c r="Y91" s="2"/>
      <c r="Z91" s="19">
        <f t="shared" si="3"/>
        <v>16.320791648542844</v>
      </c>
    </row>
    <row r="92" spans="1:26" s="24" customFormat="1" hidden="1" outlineLevel="1" x14ac:dyDescent="0.25">
      <c r="A92" s="44"/>
      <c r="B92" s="11" t="str">
        <f>CONCATENATE("          ", "4281", " - ", "SALES RETURN TAXABLE-ELECTRONI")</f>
        <v xml:space="preserve">          4281 - SALES RETURN TAXABLE-ELECTRONI</v>
      </c>
      <c r="C92" s="11"/>
      <c r="D92" s="2">
        <f t="shared" ref="D92:D95" si="18">0</f>
        <v>0</v>
      </c>
      <c r="E92" s="2"/>
      <c r="F92" s="19"/>
      <c r="G92" s="2"/>
      <c r="H92" s="2">
        <f t="shared" si="17"/>
        <v>0</v>
      </c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 t="shared" ref="P92:P94" si="19">0</f>
        <v>0</v>
      </c>
      <c r="Q92" s="2"/>
      <c r="R92" s="19"/>
      <c r="S92" s="2"/>
      <c r="T92" s="2">
        <f>-44.98</f>
        <v>-44.98</v>
      </c>
      <c r="U92" s="2"/>
      <c r="V92" s="19"/>
      <c r="W92" s="2"/>
      <c r="X92" s="2">
        <f t="shared" si="2"/>
        <v>44.98</v>
      </c>
      <c r="Y92" s="2"/>
      <c r="Z92" s="19">
        <f t="shared" si="3"/>
        <v>-1</v>
      </c>
    </row>
    <row r="93" spans="1:26" s="24" customFormat="1" hidden="1" outlineLevel="1" x14ac:dyDescent="0.25">
      <c r="A93" s="44"/>
      <c r="B93" s="11" t="str">
        <f>CONCATENATE("          ", "4292", " - ", "SALES RETURN TAXABLE-GRAD MERC")</f>
        <v xml:space="preserve">          4292 - SALES RETURN TAXABLE-GRAD MERC</v>
      </c>
      <c r="C93" s="11"/>
      <c r="D93" s="2">
        <f t="shared" si="18"/>
        <v>0</v>
      </c>
      <c r="E93" s="2"/>
      <c r="F93" s="19"/>
      <c r="G93" s="2"/>
      <c r="H93" s="2">
        <f>-9.95</f>
        <v>-9.9499999999999993</v>
      </c>
      <c r="I93" s="2"/>
      <c r="J93" s="19"/>
      <c r="K93" s="2"/>
      <c r="L93" s="2">
        <f t="shared" si="0"/>
        <v>9.9499999999999993</v>
      </c>
      <c r="M93" s="2"/>
      <c r="N93" s="19">
        <f t="shared" si="1"/>
        <v>-1</v>
      </c>
      <c r="O93" s="11"/>
      <c r="P93" s="2">
        <f t="shared" si="19"/>
        <v>0</v>
      </c>
      <c r="Q93" s="2"/>
      <c r="R93" s="19"/>
      <c r="S93" s="2"/>
      <c r="T93" s="2">
        <f>-419.05</f>
        <v>-419.05</v>
      </c>
      <c r="U93" s="2"/>
      <c r="V93" s="19"/>
      <c r="W93" s="2"/>
      <c r="X93" s="2">
        <f t="shared" si="2"/>
        <v>419.05</v>
      </c>
      <c r="Y93" s="2"/>
      <c r="Z93" s="19">
        <f t="shared" si="3"/>
        <v>-1</v>
      </c>
    </row>
    <row r="94" spans="1:26" s="24" customFormat="1" hidden="1" outlineLevel="1" x14ac:dyDescent="0.25">
      <c r="A94" s="44"/>
      <c r="B94" s="11" t="str">
        <f>CONCATENATE("          ", "4295", " - ", "SALES RETURN TAXABLE-CUSTOMER")</f>
        <v xml:space="preserve">          4295 - SALES RETURN TAXABLE-CUSTOMER</v>
      </c>
      <c r="C94" s="11"/>
      <c r="D94" s="2">
        <f t="shared" si="18"/>
        <v>0</v>
      </c>
      <c r="E94" s="2"/>
      <c r="F94" s="19"/>
      <c r="G94" s="2"/>
      <c r="H94" s="2">
        <f t="shared" ref="H94:H97" si="20">0</f>
        <v>0</v>
      </c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 t="shared" si="19"/>
        <v>0</v>
      </c>
      <c r="Q94" s="2"/>
      <c r="R94" s="19"/>
      <c r="S94" s="2"/>
      <c r="T94" s="2">
        <f>--0.99</f>
        <v>0.99</v>
      </c>
      <c r="U94" s="2"/>
      <c r="V94" s="19"/>
      <c r="W94" s="2"/>
      <c r="X94" s="2">
        <f t="shared" si="2"/>
        <v>-0.99</v>
      </c>
      <c r="Y94" s="2"/>
      <c r="Z94" s="19">
        <f t="shared" si="3"/>
        <v>-1</v>
      </c>
    </row>
    <row r="95" spans="1:26" s="24" customFormat="1" hidden="1" outlineLevel="1" x14ac:dyDescent="0.25">
      <c r="A95" s="44"/>
      <c r="B95" s="11" t="str">
        <f>CONCATENATE("          ", "4301", " - ", "SALES RETURN NON TAXABLE-NEW T")</f>
        <v xml:space="preserve">          4301 - SALES RETURN NON TAXABLE-NEW T</v>
      </c>
      <c r="C95" s="11"/>
      <c r="D95" s="2">
        <f t="shared" si="18"/>
        <v>0</v>
      </c>
      <c r="E95" s="2"/>
      <c r="F95" s="19"/>
      <c r="G95" s="2"/>
      <c r="H95" s="2">
        <f t="shared" si="20"/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-2376.17</f>
        <v>-2376.17</v>
      </c>
      <c r="Q95" s="2"/>
      <c r="R95" s="19"/>
      <c r="S95" s="2"/>
      <c r="T95" s="2">
        <f>-12310.98</f>
        <v>-12310.98</v>
      </c>
      <c r="U95" s="2"/>
      <c r="V95" s="19"/>
      <c r="W95" s="2"/>
      <c r="X95" s="2">
        <f t="shared" si="2"/>
        <v>9934.81</v>
      </c>
      <c r="Y95" s="2"/>
      <c r="Z95" s="19">
        <f t="shared" si="3"/>
        <v>-0.80698774589837685</v>
      </c>
    </row>
    <row r="96" spans="1:26" s="24" customFormat="1" hidden="1" outlineLevel="1" x14ac:dyDescent="0.25">
      <c r="A96" s="44"/>
      <c r="B96" s="11" t="str">
        <f>CONCATENATE("          ", "4302", " - ", "SALES RETURN NON TAXABLE-TEXT")</f>
        <v xml:space="preserve">          4302 - SALES RETURN NON TAXABLE-TEXT</v>
      </c>
      <c r="C96" s="11"/>
      <c r="D96" s="2">
        <f>-76.05</f>
        <v>-76.05</v>
      </c>
      <c r="E96" s="2"/>
      <c r="F96" s="19"/>
      <c r="G96" s="2"/>
      <c r="H96" s="2">
        <f t="shared" si="20"/>
        <v>0</v>
      </c>
      <c r="I96" s="2"/>
      <c r="J96" s="19"/>
      <c r="K96" s="2"/>
      <c r="L96" s="2">
        <f t="shared" si="0"/>
        <v>-76.05</v>
      </c>
      <c r="M96" s="2"/>
      <c r="N96" s="19">
        <f t="shared" si="1"/>
        <v>0</v>
      </c>
      <c r="O96" s="11"/>
      <c r="P96" s="2">
        <f>-1392.85</f>
        <v>-1392.85</v>
      </c>
      <c r="Q96" s="2"/>
      <c r="R96" s="19"/>
      <c r="S96" s="2"/>
      <c r="T96" s="2">
        <f>-683.8</f>
        <v>-683.8</v>
      </c>
      <c r="U96" s="2"/>
      <c r="V96" s="19"/>
      <c r="W96" s="2"/>
      <c r="X96" s="2">
        <f t="shared" si="2"/>
        <v>-709.05</v>
      </c>
      <c r="Y96" s="2"/>
      <c r="Z96" s="19">
        <f t="shared" si="3"/>
        <v>1.0369260017548991</v>
      </c>
    </row>
    <row r="97" spans="1:26" s="24" customFormat="1" hidden="1" outlineLevel="1" x14ac:dyDescent="0.25">
      <c r="A97" s="44"/>
      <c r="B97" s="11" t="str">
        <f>CONCATENATE("          ", "4303", " - ", "SALES RETURN NON-TAXABLE-RENTA")</f>
        <v xml:space="preserve">          4303 - SALES RETURN NON-TAXABLE-RENTA</v>
      </c>
      <c r="C97" s="11"/>
      <c r="D97" s="2">
        <f>0</f>
        <v>0</v>
      </c>
      <c r="E97" s="2"/>
      <c r="F97" s="19"/>
      <c r="G97" s="2"/>
      <c r="H97" s="2">
        <f t="shared" si="20"/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0</f>
        <v>0</v>
      </c>
      <c r="Q97" s="2"/>
      <c r="R97" s="19"/>
      <c r="S97" s="2"/>
      <c r="T97" s="2">
        <f>-184.99</f>
        <v>-184.99</v>
      </c>
      <c r="U97" s="2"/>
      <c r="V97" s="19"/>
      <c r="W97" s="2"/>
      <c r="X97" s="2">
        <f t="shared" si="2"/>
        <v>184.99</v>
      </c>
      <c r="Y97" s="2"/>
      <c r="Z97" s="19">
        <f t="shared" si="3"/>
        <v>-1</v>
      </c>
    </row>
    <row r="98" spans="1:26" s="24" customFormat="1" hidden="1" outlineLevel="1" x14ac:dyDescent="0.25">
      <c r="A98" s="44"/>
      <c r="B98" s="11" t="str">
        <f>CONCATENATE("          ", "4304", " - ", "SALES RETURN NON TAXABLE-DIGIT")</f>
        <v xml:space="preserve">          4304 - SALES RETURN NON TAXABLE-DIGIT</v>
      </c>
      <c r="C98" s="11"/>
      <c r="D98" s="2">
        <f>-176.43</f>
        <v>-176.43</v>
      </c>
      <c r="E98" s="2"/>
      <c r="F98" s="19"/>
      <c r="G98" s="2"/>
      <c r="H98" s="2">
        <f>-70.58</f>
        <v>-70.58</v>
      </c>
      <c r="I98" s="2"/>
      <c r="J98" s="19"/>
      <c r="K98" s="2"/>
      <c r="L98" s="2">
        <f t="shared" si="0"/>
        <v>-105.85000000000001</v>
      </c>
      <c r="M98" s="2"/>
      <c r="N98" s="19">
        <f t="shared" si="1"/>
        <v>1.4997166336072543</v>
      </c>
      <c r="O98" s="11"/>
      <c r="P98" s="2">
        <f>-14278.54</f>
        <v>-14278.54</v>
      </c>
      <c r="Q98" s="2"/>
      <c r="R98" s="19"/>
      <c r="S98" s="2"/>
      <c r="T98" s="2">
        <f>-13203.87</f>
        <v>-13203.87</v>
      </c>
      <c r="U98" s="2"/>
      <c r="V98" s="19"/>
      <c r="W98" s="2"/>
      <c r="X98" s="2">
        <f t="shared" si="2"/>
        <v>-1074.67</v>
      </c>
      <c r="Y98" s="2"/>
      <c r="Z98" s="19">
        <f t="shared" si="3"/>
        <v>8.1390531715322859E-2</v>
      </c>
    </row>
    <row r="99" spans="1:26" s="24" customFormat="1" hidden="1" outlineLevel="1" x14ac:dyDescent="0.25">
      <c r="A99" s="44"/>
      <c r="B99" s="11" t="str">
        <f>CONCATENATE("          ", "4311", " - ", "SALES RETURN NON TAXABLE-NO VA")</f>
        <v xml:space="preserve">          4311 - SALES RETURN NON TAXABLE-NO VA</v>
      </c>
      <c r="C99" s="11"/>
      <c r="D99" s="2">
        <f t="shared" ref="D99:D100" si="21">0</f>
        <v>0</v>
      </c>
      <c r="E99" s="2"/>
      <c r="F99" s="19"/>
      <c r="G99" s="2"/>
      <c r="H99" s="2">
        <f t="shared" ref="H99:H100" si="22">0</f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 t="shared" ref="P99:P100" si="23">0</f>
        <v>0</v>
      </c>
      <c r="Q99" s="2"/>
      <c r="R99" s="19"/>
      <c r="S99" s="2"/>
      <c r="T99" s="2">
        <f>-387.96</f>
        <v>-387.96</v>
      </c>
      <c r="U99" s="2"/>
      <c r="V99" s="19"/>
      <c r="W99" s="2"/>
      <c r="X99" s="2">
        <f t="shared" si="2"/>
        <v>387.96</v>
      </c>
      <c r="Y99" s="2"/>
      <c r="Z99" s="19">
        <f t="shared" si="3"/>
        <v>-1</v>
      </c>
    </row>
    <row r="100" spans="1:26" s="24" customFormat="1" hidden="1" outlineLevel="1" x14ac:dyDescent="0.25">
      <c r="A100" s="44"/>
      <c r="B100" s="11" t="str">
        <f>CONCATENATE("          ", "4327", " - ", "SALES RETURN NON TAXABLE-SCHOO")</f>
        <v xml:space="preserve">          4327 - SALES RETURN NON TAXABLE-SCHOO</v>
      </c>
      <c r="C100" s="11"/>
      <c r="D100" s="2">
        <f t="shared" si="21"/>
        <v>0</v>
      </c>
      <c r="E100" s="2"/>
      <c r="F100" s="19"/>
      <c r="G100" s="2"/>
      <c r="H100" s="2">
        <f t="shared" si="22"/>
        <v>0</v>
      </c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 t="shared" si="23"/>
        <v>0</v>
      </c>
      <c r="Q100" s="2"/>
      <c r="R100" s="19"/>
      <c r="S100" s="2"/>
      <c r="T100" s="2">
        <f>-21.87</f>
        <v>-21.87</v>
      </c>
      <c r="U100" s="2"/>
      <c r="V100" s="19"/>
      <c r="W100" s="2"/>
      <c r="X100" s="2">
        <f t="shared" si="2"/>
        <v>21.87</v>
      </c>
      <c r="Y100" s="2"/>
      <c r="Z100" s="19">
        <f t="shared" si="3"/>
        <v>-1</v>
      </c>
    </row>
    <row r="101" spans="1:26" s="24" customFormat="1" hidden="1" outlineLevel="1" x14ac:dyDescent="0.25">
      <c r="A101" s="44"/>
      <c r="B101" s="11" t="str">
        <f>CONCATENATE("          ", "4340", " - ", "SALES RETURN NON TAXABLE-LOGO")</f>
        <v xml:space="preserve">          4340 - SALES RETURN NON TAXABLE-LOGO</v>
      </c>
      <c r="C101" s="11"/>
      <c r="D101" s="2">
        <f>-203.75</f>
        <v>-203.75</v>
      </c>
      <c r="E101" s="2"/>
      <c r="F101" s="19"/>
      <c r="G101" s="2"/>
      <c r="H101" s="2">
        <f>-29.95</f>
        <v>-29.95</v>
      </c>
      <c r="I101" s="2"/>
      <c r="J101" s="19"/>
      <c r="K101" s="2"/>
      <c r="L101" s="2">
        <f t="shared" si="0"/>
        <v>-173.8</v>
      </c>
      <c r="M101" s="2"/>
      <c r="N101" s="19">
        <f t="shared" si="1"/>
        <v>5.8030050083472462</v>
      </c>
      <c r="O101" s="11"/>
      <c r="P101" s="2">
        <f>-940.48</f>
        <v>-940.48</v>
      </c>
      <c r="Q101" s="2"/>
      <c r="R101" s="19"/>
      <c r="S101" s="2"/>
      <c r="T101" s="2">
        <f>-323.4</f>
        <v>-323.39999999999998</v>
      </c>
      <c r="U101" s="2"/>
      <c r="V101" s="19"/>
      <c r="W101" s="2"/>
      <c r="X101" s="2">
        <f t="shared" si="2"/>
        <v>-617.08000000000004</v>
      </c>
      <c r="Y101" s="2"/>
      <c r="Z101" s="19">
        <f t="shared" si="3"/>
        <v>1.9081014223871369</v>
      </c>
    </row>
    <row r="102" spans="1:26" s="24" customFormat="1" hidden="1" outlineLevel="1" x14ac:dyDescent="0.25">
      <c r="A102" s="44"/>
      <c r="B102" s="11" t="str">
        <f>CONCATENATE("          ", "4341", " - ", "SALES RETURN NON TAXABLE-LOGO")</f>
        <v xml:space="preserve">          4341 - SALES RETURN NON TAXABLE-LOGO</v>
      </c>
      <c r="C102" s="11"/>
      <c r="D102" s="2">
        <f>-154.89</f>
        <v>-154.88999999999999</v>
      </c>
      <c r="E102" s="2"/>
      <c r="F102" s="19"/>
      <c r="G102" s="2"/>
      <c r="H102" s="2">
        <f>0</f>
        <v>0</v>
      </c>
      <c r="I102" s="2"/>
      <c r="J102" s="19"/>
      <c r="K102" s="2"/>
      <c r="L102" s="2">
        <f t="shared" si="0"/>
        <v>-154.88999999999999</v>
      </c>
      <c r="M102" s="2"/>
      <c r="N102" s="19">
        <f t="shared" si="1"/>
        <v>0</v>
      </c>
      <c r="O102" s="11"/>
      <c r="P102" s="2">
        <f>-301.79</f>
        <v>-301.79000000000002</v>
      </c>
      <c r="Q102" s="2"/>
      <c r="R102" s="19"/>
      <c r="S102" s="2"/>
      <c r="T102" s="2">
        <f>-10.9</f>
        <v>-10.9</v>
      </c>
      <c r="U102" s="2"/>
      <c r="V102" s="19"/>
      <c r="W102" s="2"/>
      <c r="X102" s="2">
        <f t="shared" si="2"/>
        <v>-290.89000000000004</v>
      </c>
      <c r="Y102" s="2"/>
      <c r="Z102" s="19">
        <f t="shared" si="3"/>
        <v>26.687155963302754</v>
      </c>
    </row>
    <row r="103" spans="1:26" s="24" customFormat="1" hidden="1" outlineLevel="1" x14ac:dyDescent="0.25">
      <c r="A103" s="44"/>
      <c r="B103" s="11" t="str">
        <f>CONCATENATE("          ", "4342", " - ", "SALES RETURN NON TAXABLE-EVERY")</f>
        <v xml:space="preserve">          4342 - SALES RETURN NON TAXABLE-EVERY</v>
      </c>
      <c r="C103" s="11"/>
      <c r="D103" s="2">
        <f t="shared" ref="D103:D104" si="24">0</f>
        <v>0</v>
      </c>
      <c r="E103" s="2"/>
      <c r="F103" s="19"/>
      <c r="G103" s="2"/>
      <c r="H103" s="2">
        <f>-6.95</f>
        <v>-6.95</v>
      </c>
      <c r="I103" s="2"/>
      <c r="J103" s="19"/>
      <c r="K103" s="2"/>
      <c r="L103" s="2">
        <f t="shared" si="0"/>
        <v>6.95</v>
      </c>
      <c r="M103" s="2"/>
      <c r="N103" s="19">
        <f t="shared" si="1"/>
        <v>-1</v>
      </c>
      <c r="O103" s="11"/>
      <c r="P103" s="2">
        <f>-118.7</f>
        <v>-118.7</v>
      </c>
      <c r="Q103" s="2"/>
      <c r="R103" s="19"/>
      <c r="S103" s="2"/>
      <c r="T103" s="2">
        <f>-109.8</f>
        <v>-109.8</v>
      </c>
      <c r="U103" s="2"/>
      <c r="V103" s="19"/>
      <c r="W103" s="2"/>
      <c r="X103" s="2">
        <f t="shared" si="2"/>
        <v>-8.9000000000000057</v>
      </c>
      <c r="Y103" s="2"/>
      <c r="Z103" s="19">
        <f t="shared" si="3"/>
        <v>8.1056466302367999E-2</v>
      </c>
    </row>
    <row r="104" spans="1:26" s="24" customFormat="1" hidden="1" outlineLevel="1" x14ac:dyDescent="0.25">
      <c r="A104" s="44"/>
      <c r="B104" s="11" t="str">
        <f>CONCATENATE("          ", "4346", " - ", "SALES RETURN NON TAXABLE-COIN-")</f>
        <v xml:space="preserve">          4346 - SALES RETURN NON TAXABLE-COIN-</v>
      </c>
      <c r="C104" s="11"/>
      <c r="D104" s="2">
        <f t="shared" si="24"/>
        <v>0</v>
      </c>
      <c r="E104" s="2"/>
      <c r="F104" s="19"/>
      <c r="G104" s="2"/>
      <c r="H104" s="2">
        <f>0</f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0</f>
        <v>0</v>
      </c>
      <c r="Q104" s="2"/>
      <c r="R104" s="19"/>
      <c r="S104" s="2"/>
      <c r="T104" s="2">
        <f>-8.15</f>
        <v>-8.15</v>
      </c>
      <c r="U104" s="2"/>
      <c r="V104" s="19"/>
      <c r="W104" s="2"/>
      <c r="X104" s="2">
        <f t="shared" si="2"/>
        <v>8.15</v>
      </c>
      <c r="Y104" s="2"/>
      <c r="Z104" s="19">
        <f t="shared" si="3"/>
        <v>-1</v>
      </c>
    </row>
    <row r="105" spans="1:26" x14ac:dyDescent="0.25">
      <c r="A105" s="9"/>
      <c r="B105" s="10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collapsed="1" x14ac:dyDescent="0.25">
      <c r="A106" s="10"/>
      <c r="B106" s="29" t="s">
        <v>8</v>
      </c>
      <c r="C106" s="10"/>
      <c r="D106" s="4">
        <f>SUM(OSRRefD16x_0)</f>
        <v>61344.100000000013</v>
      </c>
      <c r="E106" s="4"/>
      <c r="F106" s="12">
        <f t="shared" ref="F106:F156" si="25">IF(D$12=0,0,D106/D$12)</f>
        <v>0.55278570415451878</v>
      </c>
      <c r="G106" s="4"/>
      <c r="H106" s="4">
        <f>SUM(OSRRefH16x_0)</f>
        <v>211070.68000000014</v>
      </c>
      <c r="I106" s="4"/>
      <c r="J106" s="12">
        <f t="shared" ref="J106:J156" si="26">IF(H$12=0,0,H106/H$12)</f>
        <v>0.46866804247579436</v>
      </c>
      <c r="K106" s="4"/>
      <c r="L106" s="4">
        <f t="shared" ref="L106:L156" si="27">+D106-H106</f>
        <v>-149726.58000000013</v>
      </c>
      <c r="M106" s="4"/>
      <c r="N106" s="12">
        <f t="shared" ref="N106:N156" si="28">IF(H106=0,0,L106/H106)</f>
        <v>-0.7093670234065671</v>
      </c>
      <c r="O106" s="10"/>
      <c r="P106" s="4">
        <f>SUM(OSRRefP16x_0)</f>
        <v>1601774.0300000005</v>
      </c>
      <c r="Q106" s="4"/>
      <c r="R106" s="12">
        <f t="shared" ref="R106:R156" si="29">IF(P$12=0,0,P106/P$12)</f>
        <v>0.64981141126933262</v>
      </c>
      <c r="S106" s="4"/>
      <c r="T106" s="4">
        <f>SUM(OSRRefT16x_0)</f>
        <v>3026263.9000000008</v>
      </c>
      <c r="U106" s="4"/>
      <c r="V106" s="12">
        <f t="shared" ref="V106:V156" si="30">IF(T$12=0,0,T106/T$12)</f>
        <v>0.59675746838615351</v>
      </c>
      <c r="W106" s="4"/>
      <c r="X106" s="4">
        <f t="shared" ref="X106:X156" si="31">+P106-T106</f>
        <v>-1424489.8700000003</v>
      </c>
      <c r="Y106" s="4"/>
      <c r="Z106" s="12">
        <f t="shared" ref="Z106:Z156" si="32">IF(T106=0,0,X106/T106)</f>
        <v>-0.47070907134040751</v>
      </c>
    </row>
    <row r="107" spans="1:26" s="24" customFormat="1" hidden="1" outlineLevel="1" x14ac:dyDescent="0.25">
      <c r="A107" s="44"/>
      <c r="B107" s="11" t="str">
        <f>CONCATENATE("          ", "5001", " - ", "PURCHASES @ COST-NEW TEXT")</f>
        <v xml:space="preserve">          5001 - PURCHASES @ COST-NEW TEXT</v>
      </c>
      <c r="C107" s="11"/>
      <c r="D107" s="2">
        <v>-108601.35</v>
      </c>
      <c r="E107" s="2"/>
      <c r="F107" s="19">
        <f t="shared" si="25"/>
        <v>-0.978631583671149</v>
      </c>
      <c r="G107" s="2"/>
      <c r="H107" s="2">
        <v>-175297.72999999998</v>
      </c>
      <c r="I107" s="2"/>
      <c r="J107" s="19">
        <f t="shared" si="26"/>
        <v>-0.38923664797758867</v>
      </c>
      <c r="K107" s="2"/>
      <c r="L107" s="2">
        <f t="shared" si="27"/>
        <v>66696.379999999976</v>
      </c>
      <c r="M107" s="2"/>
      <c r="N107" s="19">
        <f t="shared" si="28"/>
        <v>-0.38047486410691106</v>
      </c>
      <c r="O107" s="11"/>
      <c r="P107" s="2">
        <v>1240595.48</v>
      </c>
      <c r="Q107" s="2"/>
      <c r="R107" s="19">
        <f t="shared" si="29"/>
        <v>0.50328765766863814</v>
      </c>
      <c r="S107" s="2"/>
      <c r="T107" s="2">
        <v>1581850.69</v>
      </c>
      <c r="U107" s="2"/>
      <c r="V107" s="19">
        <f t="shared" si="30"/>
        <v>0.31192957531869242</v>
      </c>
      <c r="W107" s="2"/>
      <c r="X107" s="2">
        <f t="shared" si="31"/>
        <v>-341255.20999999996</v>
      </c>
      <c r="Y107" s="2"/>
      <c r="Z107" s="19">
        <f t="shared" si="32"/>
        <v>-0.21573161876611754</v>
      </c>
    </row>
    <row r="108" spans="1:26" s="24" customFormat="1" hidden="1" outlineLevel="1" x14ac:dyDescent="0.25">
      <c r="A108" s="44"/>
      <c r="B108" s="11" t="str">
        <f>CONCATENATE("          ", "5002", " - ", "PURCHASES @ COST-USED TEXT")</f>
        <v xml:space="preserve">          5002 - PURCHASES @ COST-USED TEXT</v>
      </c>
      <c r="C108" s="11"/>
      <c r="D108" s="2">
        <v>-208829.28</v>
      </c>
      <c r="E108" s="2"/>
      <c r="F108" s="19">
        <f t="shared" si="25"/>
        <v>-1.8818083661327027</v>
      </c>
      <c r="G108" s="2"/>
      <c r="H108" s="2">
        <v>-155785.26999999999</v>
      </c>
      <c r="I108" s="2"/>
      <c r="J108" s="19">
        <f t="shared" si="26"/>
        <v>-0.34591056198550663</v>
      </c>
      <c r="K108" s="2"/>
      <c r="L108" s="2">
        <f t="shared" si="27"/>
        <v>-53044.010000000009</v>
      </c>
      <c r="M108" s="2"/>
      <c r="N108" s="19">
        <f t="shared" si="28"/>
        <v>0.34049438692117689</v>
      </c>
      <c r="O108" s="11"/>
      <c r="P108" s="2">
        <v>94234.05</v>
      </c>
      <c r="Q108" s="2"/>
      <c r="R108" s="19">
        <f t="shared" si="29"/>
        <v>3.8229088418998053E-2</v>
      </c>
      <c r="S108" s="2"/>
      <c r="T108" s="2">
        <v>212247.9</v>
      </c>
      <c r="U108" s="2"/>
      <c r="V108" s="19">
        <f t="shared" si="30"/>
        <v>4.1853758845775954E-2</v>
      </c>
      <c r="W108" s="2"/>
      <c r="X108" s="2">
        <f t="shared" si="31"/>
        <v>-118013.84999999999</v>
      </c>
      <c r="Y108" s="2"/>
      <c r="Z108" s="19">
        <f t="shared" si="32"/>
        <v>-0.55601892880918957</v>
      </c>
    </row>
    <row r="109" spans="1:26" s="24" customFormat="1" hidden="1" outlineLevel="1" x14ac:dyDescent="0.25">
      <c r="A109" s="44"/>
      <c r="B109" s="11" t="str">
        <f>CONCATENATE("          ", "5003", " - ", "PURCHASES @ COST-RENTAL TEXT")</f>
        <v xml:space="preserve">          5003 - PURCHASES @ COST-RENTAL TEXT</v>
      </c>
      <c r="C109" s="11"/>
      <c r="D109" s="2">
        <v>517.92999999999995</v>
      </c>
      <c r="E109" s="2"/>
      <c r="F109" s="19">
        <f t="shared" si="25"/>
        <v>4.6671855932803614E-3</v>
      </c>
      <c r="G109" s="2"/>
      <c r="H109" s="2"/>
      <c r="I109" s="2"/>
      <c r="J109" s="19">
        <f t="shared" si="26"/>
        <v>0</v>
      </c>
      <c r="K109" s="2"/>
      <c r="L109" s="2">
        <f t="shared" si="27"/>
        <v>517.92999999999995</v>
      </c>
      <c r="M109" s="2"/>
      <c r="N109" s="19">
        <f t="shared" si="28"/>
        <v>0</v>
      </c>
      <c r="O109" s="11"/>
      <c r="P109" s="2">
        <v>32.520000000000003</v>
      </c>
      <c r="Q109" s="2"/>
      <c r="R109" s="19">
        <f t="shared" si="29"/>
        <v>1.3192789181679199E-5</v>
      </c>
      <c r="S109" s="2"/>
      <c r="T109" s="2">
        <v>-78.400000000000006</v>
      </c>
      <c r="U109" s="2"/>
      <c r="V109" s="19">
        <f t="shared" si="30"/>
        <v>-1.5459915945028596E-5</v>
      </c>
      <c r="W109" s="2"/>
      <c r="X109" s="2">
        <f t="shared" si="31"/>
        <v>110.92000000000002</v>
      </c>
      <c r="Y109" s="2"/>
      <c r="Z109" s="19">
        <f t="shared" si="32"/>
        <v>-1.4147959183673471</v>
      </c>
    </row>
    <row r="110" spans="1:26" s="24" customFormat="1" hidden="1" outlineLevel="1" x14ac:dyDescent="0.25">
      <c r="A110" s="44"/>
      <c r="B110" s="11" t="str">
        <f>CONCATENATE("          ", "5004", " - ", "PURCHASES @ COST-DIGITAL TEXT")</f>
        <v xml:space="preserve">          5004 - PURCHASES @ COST-DIGITAL TEXT</v>
      </c>
      <c r="C110" s="11"/>
      <c r="D110" s="2">
        <v>1418.58</v>
      </c>
      <c r="E110" s="2"/>
      <c r="F110" s="19">
        <f t="shared" si="25"/>
        <v>1.2783148570107263E-2</v>
      </c>
      <c r="G110" s="2"/>
      <c r="H110" s="2">
        <v>0.94</v>
      </c>
      <c r="I110" s="2"/>
      <c r="J110" s="19">
        <f t="shared" si="26"/>
        <v>2.0872058588490188E-6</v>
      </c>
      <c r="K110" s="2"/>
      <c r="L110" s="2">
        <f t="shared" si="27"/>
        <v>1417.6399999999999</v>
      </c>
      <c r="M110" s="2"/>
      <c r="N110" s="19">
        <f t="shared" si="28"/>
        <v>1508.127659574468</v>
      </c>
      <c r="O110" s="11"/>
      <c r="P110" s="2">
        <v>196938.11000000002</v>
      </c>
      <c r="Q110" s="2"/>
      <c r="R110" s="19">
        <f t="shared" si="29"/>
        <v>7.9894310180453509E-2</v>
      </c>
      <c r="S110" s="2"/>
      <c r="T110" s="2">
        <v>322779.97000000003</v>
      </c>
      <c r="U110" s="2"/>
      <c r="V110" s="19">
        <f t="shared" si="30"/>
        <v>6.3649887818097606E-2</v>
      </c>
      <c r="W110" s="2"/>
      <c r="X110" s="2">
        <f t="shared" si="31"/>
        <v>-125841.86000000002</v>
      </c>
      <c r="Y110" s="2"/>
      <c r="Z110" s="19">
        <f t="shared" si="32"/>
        <v>-0.3898688633002847</v>
      </c>
    </row>
    <row r="111" spans="1:26" s="24" customFormat="1" hidden="1" outlineLevel="1" x14ac:dyDescent="0.25">
      <c r="A111" s="44"/>
      <c r="B111" s="11" t="str">
        <f>CONCATENATE("          ", "5011", " - ", "PURCHASES @ COST-NO VALUE TEXT")</f>
        <v xml:space="preserve">          5011 - PURCHASES @ COST-NO VALUE TEXT</v>
      </c>
      <c r="C111" s="11"/>
      <c r="D111" s="2"/>
      <c r="E111" s="2"/>
      <c r="F111" s="19">
        <f t="shared" si="25"/>
        <v>0</v>
      </c>
      <c r="G111" s="2"/>
      <c r="H111" s="2">
        <v>66</v>
      </c>
      <c r="I111" s="2"/>
      <c r="J111" s="19">
        <f t="shared" si="26"/>
        <v>1.4654849647237792E-4</v>
      </c>
      <c r="K111" s="2"/>
      <c r="L111" s="2">
        <f t="shared" si="27"/>
        <v>-66</v>
      </c>
      <c r="M111" s="2"/>
      <c r="N111" s="19">
        <f t="shared" si="28"/>
        <v>-1</v>
      </c>
      <c r="O111" s="11"/>
      <c r="P111" s="2">
        <v>67.17</v>
      </c>
      <c r="Q111" s="2"/>
      <c r="R111" s="19">
        <f t="shared" si="29"/>
        <v>2.7249681713818936E-5</v>
      </c>
      <c r="S111" s="2"/>
      <c r="T111" s="2">
        <v>3741</v>
      </c>
      <c r="U111" s="2"/>
      <c r="V111" s="19">
        <f t="shared" si="30"/>
        <v>7.3769828508102005E-4</v>
      </c>
      <c r="W111" s="2"/>
      <c r="X111" s="2">
        <f t="shared" si="31"/>
        <v>-3673.83</v>
      </c>
      <c r="Y111" s="2"/>
      <c r="Z111" s="19">
        <f t="shared" si="32"/>
        <v>-0.98204490777866882</v>
      </c>
    </row>
    <row r="112" spans="1:26" s="24" customFormat="1" hidden="1" outlineLevel="1" x14ac:dyDescent="0.25">
      <c r="A112" s="44"/>
      <c r="B112" s="11" t="str">
        <f>CONCATENATE("          ", "5013", " - ", "PURCHASES @ COST-TRADE BOOKS")</f>
        <v xml:space="preserve">          5013 - PURCHASES @ COST-TRADE BOOKS</v>
      </c>
      <c r="C112" s="11"/>
      <c r="D112" s="2">
        <v>611.1</v>
      </c>
      <c r="E112" s="2"/>
      <c r="F112" s="19">
        <f t="shared" si="25"/>
        <v>5.5067617555531233E-3</v>
      </c>
      <c r="G112" s="2"/>
      <c r="H112" s="2">
        <v>10.79</v>
      </c>
      <c r="I112" s="2"/>
      <c r="J112" s="19">
        <f t="shared" si="26"/>
        <v>2.3958458741469053E-5</v>
      </c>
      <c r="K112" s="2"/>
      <c r="L112" s="2">
        <f t="shared" si="27"/>
        <v>600.31000000000006</v>
      </c>
      <c r="M112" s="2"/>
      <c r="N112" s="19">
        <f t="shared" si="28"/>
        <v>55.63577386468954</v>
      </c>
      <c r="O112" s="11"/>
      <c r="P112" s="2">
        <v>2094.7399999999998</v>
      </c>
      <c r="Q112" s="2"/>
      <c r="R112" s="19">
        <f t="shared" si="29"/>
        <v>8.4979899171066056E-4</v>
      </c>
      <c r="S112" s="2"/>
      <c r="T112" s="2">
        <v>698.14</v>
      </c>
      <c r="U112" s="2"/>
      <c r="V112" s="19">
        <f t="shared" si="30"/>
        <v>1.3766818517681458E-4</v>
      </c>
      <c r="W112" s="2"/>
      <c r="X112" s="2">
        <f t="shared" si="31"/>
        <v>1396.6</v>
      </c>
      <c r="Y112" s="2"/>
      <c r="Z112" s="19">
        <f t="shared" si="32"/>
        <v>2.0004583607872344</v>
      </c>
    </row>
    <row r="113" spans="1:26" s="24" customFormat="1" hidden="1" outlineLevel="1" x14ac:dyDescent="0.25">
      <c r="A113" s="44"/>
      <c r="B113" s="11" t="str">
        <f>CONCATENATE("          ", "5014", " - ", "PURCHASES @ COST-REMAINDERS")</f>
        <v xml:space="preserve">          5014 - PURCHASES @ COST-REMAINDERS</v>
      </c>
      <c r="C113" s="11"/>
      <c r="D113" s="2"/>
      <c r="E113" s="2"/>
      <c r="F113" s="19">
        <f t="shared" si="25"/>
        <v>0</v>
      </c>
      <c r="G113" s="2"/>
      <c r="H113" s="2">
        <v>114.84</v>
      </c>
      <c r="I113" s="2"/>
      <c r="J113" s="19">
        <f t="shared" si="26"/>
        <v>2.5499438386193755E-4</v>
      </c>
      <c r="K113" s="2"/>
      <c r="L113" s="2">
        <f t="shared" si="27"/>
        <v>-114.84</v>
      </c>
      <c r="M113" s="2"/>
      <c r="N113" s="19">
        <f t="shared" si="28"/>
        <v>-1</v>
      </c>
      <c r="O113" s="11"/>
      <c r="P113" s="2">
        <v>90.41</v>
      </c>
      <c r="Q113" s="2"/>
      <c r="R113" s="19">
        <f t="shared" si="29"/>
        <v>3.6677738927294476E-5</v>
      </c>
      <c r="S113" s="2"/>
      <c r="T113" s="2">
        <v>456.81</v>
      </c>
      <c r="U113" s="2"/>
      <c r="V113" s="19">
        <f t="shared" si="30"/>
        <v>9.0079645444496328E-5</v>
      </c>
      <c r="W113" s="2"/>
      <c r="X113" s="2">
        <f t="shared" si="31"/>
        <v>-366.4</v>
      </c>
      <c r="Y113" s="2"/>
      <c r="Z113" s="19">
        <f t="shared" si="32"/>
        <v>-0.80208401742518765</v>
      </c>
    </row>
    <row r="114" spans="1:26" s="24" customFormat="1" hidden="1" outlineLevel="1" x14ac:dyDescent="0.25">
      <c r="A114" s="44"/>
      <c r="B114" s="11" t="str">
        <f>CONCATENATE("          ", "5017", " - ", "PURCHASES @ COST-DORM/HOUSEWAR")</f>
        <v xml:space="preserve">          5017 - PURCHASES @ COST-DORM/HOUSEWAR</v>
      </c>
      <c r="C114" s="11"/>
      <c r="D114" s="2"/>
      <c r="E114" s="2"/>
      <c r="F114" s="19">
        <f t="shared" si="25"/>
        <v>0</v>
      </c>
      <c r="G114" s="2"/>
      <c r="H114" s="2"/>
      <c r="I114" s="2"/>
      <c r="J114" s="19">
        <f t="shared" si="26"/>
        <v>0</v>
      </c>
      <c r="K114" s="2"/>
      <c r="L114" s="2">
        <f t="shared" si="27"/>
        <v>0</v>
      </c>
      <c r="M114" s="2"/>
      <c r="N114" s="19">
        <f t="shared" si="28"/>
        <v>0</v>
      </c>
      <c r="O114" s="11"/>
      <c r="P114" s="2"/>
      <c r="Q114" s="2"/>
      <c r="R114" s="19">
        <f t="shared" si="29"/>
        <v>0</v>
      </c>
      <c r="S114" s="2"/>
      <c r="T114" s="2">
        <v>0</v>
      </c>
      <c r="U114" s="2"/>
      <c r="V114" s="19">
        <f t="shared" si="30"/>
        <v>0</v>
      </c>
      <c r="W114" s="2"/>
      <c r="X114" s="2">
        <f t="shared" si="31"/>
        <v>0</v>
      </c>
      <c r="Y114" s="2"/>
      <c r="Z114" s="19">
        <f t="shared" si="32"/>
        <v>0</v>
      </c>
    </row>
    <row r="115" spans="1:26" s="24" customFormat="1" hidden="1" outlineLevel="1" x14ac:dyDescent="0.25">
      <c r="A115" s="44"/>
      <c r="B115" s="11" t="str">
        <f>CONCATENATE("          ", "5018", " - ", "PURCHASES @ COST-STUDY GUIDES")</f>
        <v xml:space="preserve">          5018 - PURCHASES @ COST-STUDY GUIDES</v>
      </c>
      <c r="C115" s="11"/>
      <c r="D115" s="2">
        <v>106.34</v>
      </c>
      <c r="E115" s="2"/>
      <c r="F115" s="19">
        <f t="shared" si="25"/>
        <v>9.5825404203161361E-4</v>
      </c>
      <c r="G115" s="2"/>
      <c r="H115" s="2"/>
      <c r="I115" s="2"/>
      <c r="J115" s="19">
        <f t="shared" si="26"/>
        <v>0</v>
      </c>
      <c r="K115" s="2"/>
      <c r="L115" s="2">
        <f t="shared" si="27"/>
        <v>106.34</v>
      </c>
      <c r="M115" s="2"/>
      <c r="N115" s="19">
        <f t="shared" si="28"/>
        <v>0</v>
      </c>
      <c r="O115" s="11"/>
      <c r="P115" s="2">
        <v>106.34</v>
      </c>
      <c r="Q115" s="2"/>
      <c r="R115" s="19">
        <f t="shared" si="29"/>
        <v>4.3140258351161316E-5</v>
      </c>
      <c r="S115" s="2"/>
      <c r="T115" s="2">
        <v>802.09</v>
      </c>
      <c r="U115" s="2"/>
      <c r="V115" s="19">
        <f t="shared" si="30"/>
        <v>1.5816637730035698E-4</v>
      </c>
      <c r="W115" s="2"/>
      <c r="X115" s="2">
        <f t="shared" si="31"/>
        <v>-695.75</v>
      </c>
      <c r="Y115" s="2"/>
      <c r="Z115" s="19">
        <f t="shared" si="32"/>
        <v>-0.86742136169257811</v>
      </c>
    </row>
    <row r="116" spans="1:26" s="24" customFormat="1" hidden="1" outlineLevel="1" x14ac:dyDescent="0.25">
      <c r="A116" s="44"/>
      <c r="B116" s="11" t="str">
        <f>CONCATENATE("          ", "5025", " - ", "PURCHASES @ COST-TEST FORMS")</f>
        <v xml:space="preserve">          5025 - PURCHASES @ COST-TEST FORMS</v>
      </c>
      <c r="C116" s="11"/>
      <c r="D116" s="2"/>
      <c r="E116" s="2"/>
      <c r="F116" s="19">
        <f t="shared" si="25"/>
        <v>0</v>
      </c>
      <c r="G116" s="2"/>
      <c r="H116" s="2">
        <v>18846</v>
      </c>
      <c r="I116" s="2"/>
      <c r="J116" s="19">
        <f t="shared" si="26"/>
        <v>4.1846257038158093E-2</v>
      </c>
      <c r="K116" s="2"/>
      <c r="L116" s="2">
        <f t="shared" si="27"/>
        <v>-18846</v>
      </c>
      <c r="M116" s="2"/>
      <c r="N116" s="19">
        <f t="shared" si="28"/>
        <v>-1</v>
      </c>
      <c r="O116" s="11"/>
      <c r="P116" s="2">
        <v>599.29</v>
      </c>
      <c r="Q116" s="2"/>
      <c r="R116" s="19">
        <f t="shared" si="29"/>
        <v>2.4312136004577263E-4</v>
      </c>
      <c r="S116" s="2"/>
      <c r="T116" s="2">
        <v>22098.390000000003</v>
      </c>
      <c r="U116" s="2"/>
      <c r="V116" s="19">
        <f t="shared" si="30"/>
        <v>4.3576435193936284E-3</v>
      </c>
      <c r="W116" s="2"/>
      <c r="X116" s="2">
        <f t="shared" si="31"/>
        <v>-21499.100000000002</v>
      </c>
      <c r="Y116" s="2"/>
      <c r="Z116" s="19">
        <f t="shared" si="32"/>
        <v>-0.97288082977990697</v>
      </c>
    </row>
    <row r="117" spans="1:26" s="24" customFormat="1" hidden="1" outlineLevel="1" x14ac:dyDescent="0.25">
      <c r="A117" s="44"/>
      <c r="B117" s="11" t="str">
        <f>CONCATENATE("          ", "5026", " - ", "PURCHASES @ COST-WRITING INSTR")</f>
        <v xml:space="preserve">          5026 - PURCHASES @ COST-WRITING INSTR</v>
      </c>
      <c r="C117" s="11"/>
      <c r="D117" s="2"/>
      <c r="E117" s="2"/>
      <c r="F117" s="19">
        <f t="shared" si="25"/>
        <v>0</v>
      </c>
      <c r="G117" s="2"/>
      <c r="H117" s="2">
        <v>4633</v>
      </c>
      <c r="I117" s="2"/>
      <c r="J117" s="19">
        <f t="shared" si="26"/>
        <v>1.0287260366007982E-2</v>
      </c>
      <c r="K117" s="2"/>
      <c r="L117" s="2">
        <f t="shared" si="27"/>
        <v>-4633</v>
      </c>
      <c r="M117" s="2"/>
      <c r="N117" s="19">
        <f t="shared" si="28"/>
        <v>-1</v>
      </c>
      <c r="O117" s="11"/>
      <c r="P117" s="2">
        <v>380.02</v>
      </c>
      <c r="Q117" s="2"/>
      <c r="R117" s="19">
        <f t="shared" si="29"/>
        <v>1.5416739682723644E-4</v>
      </c>
      <c r="S117" s="2"/>
      <c r="T117" s="2">
        <v>29950.57</v>
      </c>
      <c r="U117" s="2"/>
      <c r="V117" s="19">
        <f t="shared" si="30"/>
        <v>5.9060369222665192E-3</v>
      </c>
      <c r="W117" s="2"/>
      <c r="X117" s="2">
        <f t="shared" si="31"/>
        <v>-29570.55</v>
      </c>
      <c r="Y117" s="2"/>
      <c r="Z117" s="19">
        <f t="shared" si="32"/>
        <v>-0.98731176067767656</v>
      </c>
    </row>
    <row r="118" spans="1:26" s="24" customFormat="1" hidden="1" outlineLevel="1" x14ac:dyDescent="0.25">
      <c r="A118" s="44"/>
      <c r="B118" s="11" t="str">
        <f>CONCATENATE("          ", "5027", " - ", "PURCHASES @ COST-SCHOOL SUPPLI")</f>
        <v xml:space="preserve">          5027 - PURCHASES @ COST-SCHOOL SUPPLI</v>
      </c>
      <c r="C118" s="11"/>
      <c r="D118" s="2"/>
      <c r="E118" s="2"/>
      <c r="F118" s="19">
        <f t="shared" si="25"/>
        <v>0</v>
      </c>
      <c r="G118" s="2"/>
      <c r="H118" s="2">
        <v>3483.98</v>
      </c>
      <c r="I118" s="2"/>
      <c r="J118" s="19">
        <f t="shared" si="26"/>
        <v>7.7359398596944726E-3</v>
      </c>
      <c r="K118" s="2"/>
      <c r="L118" s="2">
        <f t="shared" si="27"/>
        <v>-3483.98</v>
      </c>
      <c r="M118" s="2"/>
      <c r="N118" s="19">
        <f t="shared" si="28"/>
        <v>-1</v>
      </c>
      <c r="O118" s="11"/>
      <c r="P118" s="2">
        <v>19071.350000000002</v>
      </c>
      <c r="Q118" s="2"/>
      <c r="R118" s="19">
        <f t="shared" si="29"/>
        <v>7.7369095928664705E-3</v>
      </c>
      <c r="S118" s="2"/>
      <c r="T118" s="2">
        <v>75506.36</v>
      </c>
      <c r="U118" s="2"/>
      <c r="V118" s="19">
        <f t="shared" si="30"/>
        <v>1.4889310955549353E-2</v>
      </c>
      <c r="W118" s="2"/>
      <c r="X118" s="2">
        <f t="shared" si="31"/>
        <v>-56435.009999999995</v>
      </c>
      <c r="Y118" s="2"/>
      <c r="Z118" s="19">
        <f t="shared" si="32"/>
        <v>-0.74742061463431686</v>
      </c>
    </row>
    <row r="119" spans="1:26" s="24" customFormat="1" hidden="1" outlineLevel="1" x14ac:dyDescent="0.25">
      <c r="A119" s="44"/>
      <c r="B119" s="11" t="str">
        <f>CONCATENATE("          ", "5028", " - ", "PURCHASES @ COST-ART/TECH")</f>
        <v xml:space="preserve">          5028 - PURCHASES @ COST-ART/TECH</v>
      </c>
      <c r="C119" s="11"/>
      <c r="D119" s="2">
        <v>15.89</v>
      </c>
      <c r="E119" s="2"/>
      <c r="F119" s="19">
        <f t="shared" si="25"/>
        <v>1.431884213643252E-4</v>
      </c>
      <c r="G119" s="2"/>
      <c r="H119" s="2">
        <v>4931.4399999999996</v>
      </c>
      <c r="I119" s="2"/>
      <c r="J119" s="19">
        <f t="shared" si="26"/>
        <v>1.0949926021874898E-2</v>
      </c>
      <c r="K119" s="2"/>
      <c r="L119" s="2">
        <f t="shared" si="27"/>
        <v>-4915.5499999999993</v>
      </c>
      <c r="M119" s="2"/>
      <c r="N119" s="19">
        <f t="shared" si="28"/>
        <v>-0.99677781743263627</v>
      </c>
      <c r="O119" s="11"/>
      <c r="P119" s="2">
        <v>41358.449999999997</v>
      </c>
      <c r="Q119" s="2"/>
      <c r="R119" s="19">
        <f t="shared" si="29"/>
        <v>1.677839211965006E-2</v>
      </c>
      <c r="S119" s="2"/>
      <c r="T119" s="2">
        <v>95270.51</v>
      </c>
      <c r="U119" s="2"/>
      <c r="V119" s="19">
        <f t="shared" si="30"/>
        <v>1.8786659140816404E-2</v>
      </c>
      <c r="W119" s="2"/>
      <c r="X119" s="2">
        <f t="shared" si="31"/>
        <v>-53912.06</v>
      </c>
      <c r="Y119" s="2"/>
      <c r="Z119" s="19">
        <f t="shared" si="32"/>
        <v>-0.5658840285414658</v>
      </c>
    </row>
    <row r="120" spans="1:26" s="24" customFormat="1" hidden="1" outlineLevel="1" x14ac:dyDescent="0.25">
      <c r="A120" s="44"/>
      <c r="B120" s="11" t="str">
        <f>CONCATENATE("          ", "5031", " - ", "PURCHASES @ COST-FOOD")</f>
        <v xml:space="preserve">          5031 - PURCHASES @ COST-FOOD</v>
      </c>
      <c r="C120" s="11"/>
      <c r="D120" s="2"/>
      <c r="E120" s="2"/>
      <c r="F120" s="19">
        <f t="shared" si="25"/>
        <v>0</v>
      </c>
      <c r="G120" s="2"/>
      <c r="H120" s="2">
        <v>4825.3999999999996</v>
      </c>
      <c r="I120" s="2"/>
      <c r="J120" s="19">
        <f t="shared" si="26"/>
        <v>1.0714471437542611E-2</v>
      </c>
      <c r="K120" s="2"/>
      <c r="L120" s="2">
        <f t="shared" si="27"/>
        <v>-4825.3999999999996</v>
      </c>
      <c r="M120" s="2"/>
      <c r="N120" s="19">
        <f t="shared" si="28"/>
        <v>-1</v>
      </c>
      <c r="O120" s="11"/>
      <c r="P120" s="2">
        <v>8535.1</v>
      </c>
      <c r="Q120" s="2"/>
      <c r="R120" s="19">
        <f t="shared" si="29"/>
        <v>3.462539204936966E-3</v>
      </c>
      <c r="S120" s="2"/>
      <c r="T120" s="2">
        <v>20814.489999999998</v>
      </c>
      <c r="U120" s="2"/>
      <c r="V120" s="19">
        <f t="shared" si="30"/>
        <v>4.1044676765132427E-3</v>
      </c>
      <c r="W120" s="2"/>
      <c r="X120" s="2">
        <f t="shared" si="31"/>
        <v>-12279.389999999998</v>
      </c>
      <c r="Y120" s="2"/>
      <c r="Z120" s="19">
        <f t="shared" si="32"/>
        <v>-0.58994431283207027</v>
      </c>
    </row>
    <row r="121" spans="1:26" s="24" customFormat="1" hidden="1" outlineLevel="1" x14ac:dyDescent="0.25">
      <c r="A121" s="44"/>
      <c r="B121" s="11" t="str">
        <f>CONCATENATE("          ", "5032", " - ", "PURCHASES @ COST-JUICE")</f>
        <v xml:space="preserve">          5032 - PURCHASES @ COST-JUICE</v>
      </c>
      <c r="C121" s="11"/>
      <c r="D121" s="2"/>
      <c r="E121" s="2"/>
      <c r="F121" s="19">
        <f t="shared" si="25"/>
        <v>0</v>
      </c>
      <c r="G121" s="2"/>
      <c r="H121" s="2">
        <v>1278.21</v>
      </c>
      <c r="I121" s="2"/>
      <c r="J121" s="19">
        <f t="shared" si="26"/>
        <v>2.8381780859993663E-3</v>
      </c>
      <c r="K121" s="2"/>
      <c r="L121" s="2">
        <f t="shared" si="27"/>
        <v>-1278.21</v>
      </c>
      <c r="M121" s="2"/>
      <c r="N121" s="19">
        <f t="shared" si="28"/>
        <v>-1</v>
      </c>
      <c r="O121" s="11"/>
      <c r="P121" s="2"/>
      <c r="Q121" s="2"/>
      <c r="R121" s="19">
        <f t="shared" si="29"/>
        <v>0</v>
      </c>
      <c r="S121" s="2"/>
      <c r="T121" s="2">
        <v>4662.49</v>
      </c>
      <c r="U121" s="2"/>
      <c r="V121" s="19">
        <f t="shared" si="30"/>
        <v>9.1940948334867819E-4</v>
      </c>
      <c r="W121" s="2"/>
      <c r="X121" s="2">
        <f t="shared" si="31"/>
        <v>-4662.49</v>
      </c>
      <c r="Y121" s="2"/>
      <c r="Z121" s="19">
        <f t="shared" si="32"/>
        <v>-1</v>
      </c>
    </row>
    <row r="122" spans="1:26" s="24" customFormat="1" hidden="1" outlineLevel="1" x14ac:dyDescent="0.25">
      <c r="A122" s="44"/>
      <c r="B122" s="11" t="str">
        <f>CONCATENATE("          ", "5033", " - ", "PURCHASES @ COST-CANDY")</f>
        <v xml:space="preserve">          5033 - PURCHASES @ COST-CANDY</v>
      </c>
      <c r="C122" s="11"/>
      <c r="D122" s="2"/>
      <c r="E122" s="2"/>
      <c r="F122" s="19">
        <f t="shared" si="25"/>
        <v>0</v>
      </c>
      <c r="G122" s="2"/>
      <c r="H122" s="2">
        <v>1482.54</v>
      </c>
      <c r="I122" s="2"/>
      <c r="J122" s="19">
        <f t="shared" si="26"/>
        <v>3.2918789084872596E-3</v>
      </c>
      <c r="K122" s="2"/>
      <c r="L122" s="2">
        <f t="shared" si="27"/>
        <v>-1482.54</v>
      </c>
      <c r="M122" s="2"/>
      <c r="N122" s="19">
        <f t="shared" si="28"/>
        <v>-1</v>
      </c>
      <c r="O122" s="11"/>
      <c r="P122" s="2"/>
      <c r="Q122" s="2"/>
      <c r="R122" s="19">
        <f t="shared" si="29"/>
        <v>0</v>
      </c>
      <c r="S122" s="2"/>
      <c r="T122" s="2">
        <v>5937.74</v>
      </c>
      <c r="U122" s="2"/>
      <c r="V122" s="19">
        <f t="shared" si="30"/>
        <v>1.1708796084621694E-3</v>
      </c>
      <c r="W122" s="2"/>
      <c r="X122" s="2">
        <f t="shared" si="31"/>
        <v>-5937.74</v>
      </c>
      <c r="Y122" s="2"/>
      <c r="Z122" s="19">
        <f t="shared" si="32"/>
        <v>-1</v>
      </c>
    </row>
    <row r="123" spans="1:26" s="24" customFormat="1" hidden="1" outlineLevel="1" x14ac:dyDescent="0.25">
      <c r="A123" s="44"/>
      <c r="B123" s="11" t="str">
        <f>CONCATENATE("          ", "5034", " - ", "PURCHASES @ COST-SODA")</f>
        <v xml:space="preserve">          5034 - PURCHASES @ COST-SODA</v>
      </c>
      <c r="C123" s="11"/>
      <c r="D123" s="2"/>
      <c r="E123" s="2"/>
      <c r="F123" s="19">
        <f t="shared" si="25"/>
        <v>0</v>
      </c>
      <c r="G123" s="2"/>
      <c r="H123" s="2">
        <v>587.38</v>
      </c>
      <c r="I123" s="2"/>
      <c r="J123" s="19">
        <f t="shared" si="26"/>
        <v>1.3042372099688687E-3</v>
      </c>
      <c r="K123" s="2"/>
      <c r="L123" s="2">
        <f t="shared" si="27"/>
        <v>-587.38</v>
      </c>
      <c r="M123" s="2"/>
      <c r="N123" s="19">
        <f t="shared" si="28"/>
        <v>-1</v>
      </c>
      <c r="O123" s="11"/>
      <c r="P123" s="2"/>
      <c r="Q123" s="2"/>
      <c r="R123" s="19">
        <f t="shared" si="29"/>
        <v>0</v>
      </c>
      <c r="S123" s="2"/>
      <c r="T123" s="2">
        <v>2081.92</v>
      </c>
      <c r="U123" s="2"/>
      <c r="V123" s="19">
        <f t="shared" si="30"/>
        <v>4.1053964546267774E-4</v>
      </c>
      <c r="W123" s="2"/>
      <c r="X123" s="2">
        <f t="shared" si="31"/>
        <v>-2081.92</v>
      </c>
      <c r="Y123" s="2"/>
      <c r="Z123" s="19">
        <f t="shared" si="32"/>
        <v>-1</v>
      </c>
    </row>
    <row r="124" spans="1:26" s="24" customFormat="1" hidden="1" outlineLevel="1" x14ac:dyDescent="0.25">
      <c r="A124" s="44"/>
      <c r="B124" s="11" t="str">
        <f>CONCATENATE("          ", "5035", " - ", "PURCHASES @ COST-HEALTH &amp; BEAU")</f>
        <v xml:space="preserve">          5035 - PURCHASES @ COST-HEALTH &amp; BEAU</v>
      </c>
      <c r="C124" s="11"/>
      <c r="D124" s="2"/>
      <c r="E124" s="2"/>
      <c r="F124" s="19">
        <f t="shared" si="25"/>
        <v>0</v>
      </c>
      <c r="G124" s="2"/>
      <c r="H124" s="2">
        <v>222.52</v>
      </c>
      <c r="I124" s="2"/>
      <c r="J124" s="19">
        <f t="shared" si="26"/>
        <v>4.9409047628838686E-4</v>
      </c>
      <c r="K124" s="2"/>
      <c r="L124" s="2">
        <f t="shared" si="27"/>
        <v>-222.52</v>
      </c>
      <c r="M124" s="2"/>
      <c r="N124" s="19">
        <f t="shared" si="28"/>
        <v>-1</v>
      </c>
      <c r="O124" s="11"/>
      <c r="P124" s="2"/>
      <c r="Q124" s="2"/>
      <c r="R124" s="19">
        <f t="shared" si="29"/>
        <v>0</v>
      </c>
      <c r="S124" s="2"/>
      <c r="T124" s="2">
        <v>801.21</v>
      </c>
      <c r="U124" s="2"/>
      <c r="V124" s="19">
        <f t="shared" si="30"/>
        <v>1.5799284763158623E-4</v>
      </c>
      <c r="W124" s="2"/>
      <c r="X124" s="2">
        <f t="shared" si="31"/>
        <v>-801.21</v>
      </c>
      <c r="Y124" s="2"/>
      <c r="Z124" s="19">
        <f t="shared" si="32"/>
        <v>-1</v>
      </c>
    </row>
    <row r="125" spans="1:26" s="24" customFormat="1" hidden="1" outlineLevel="1" x14ac:dyDescent="0.25">
      <c r="A125" s="44"/>
      <c r="B125" s="11" t="str">
        <f>CONCATENATE("          ", "5037", " - ", "PURCHASES @ COST-WATER")</f>
        <v xml:space="preserve">          5037 - PURCHASES @ COST-WATER</v>
      </c>
      <c r="C125" s="11"/>
      <c r="D125" s="2"/>
      <c r="E125" s="2"/>
      <c r="F125" s="19">
        <f t="shared" si="25"/>
        <v>0</v>
      </c>
      <c r="G125" s="2"/>
      <c r="H125" s="2">
        <v>667.52</v>
      </c>
      <c r="I125" s="2"/>
      <c r="J125" s="19">
        <f t="shared" si="26"/>
        <v>1.4821826115945713E-3</v>
      </c>
      <c r="K125" s="2"/>
      <c r="L125" s="2">
        <f t="shared" si="27"/>
        <v>-667.52</v>
      </c>
      <c r="M125" s="2"/>
      <c r="N125" s="19">
        <f t="shared" si="28"/>
        <v>-1</v>
      </c>
      <c r="O125" s="11"/>
      <c r="P125" s="2"/>
      <c r="Q125" s="2"/>
      <c r="R125" s="19">
        <f t="shared" si="29"/>
        <v>0</v>
      </c>
      <c r="S125" s="2"/>
      <c r="T125" s="2">
        <v>3523.37</v>
      </c>
      <c r="U125" s="2"/>
      <c r="V125" s="19">
        <f t="shared" si="30"/>
        <v>6.9478321483718616E-4</v>
      </c>
      <c r="W125" s="2"/>
      <c r="X125" s="2">
        <f t="shared" si="31"/>
        <v>-3523.37</v>
      </c>
      <c r="Y125" s="2"/>
      <c r="Z125" s="19">
        <f t="shared" si="32"/>
        <v>-1</v>
      </c>
    </row>
    <row r="126" spans="1:26" s="24" customFormat="1" hidden="1" outlineLevel="1" x14ac:dyDescent="0.25">
      <c r="A126" s="44"/>
      <c r="B126" s="11" t="str">
        <f>CONCATENATE("          ", "5040", " - ", "PURCHASES @ COST-LOGO CLOTHING")</f>
        <v xml:space="preserve">          5040 - PURCHASES @ COST-LOGO CLOTHING</v>
      </c>
      <c r="C126" s="11"/>
      <c r="D126" s="2">
        <v>55124.33</v>
      </c>
      <c r="E126" s="2"/>
      <c r="F126" s="19">
        <f t="shared" si="25"/>
        <v>0.49673793527162441</v>
      </c>
      <c r="G126" s="2"/>
      <c r="H126" s="2">
        <v>105691.4</v>
      </c>
      <c r="I126" s="2"/>
      <c r="J126" s="19">
        <f t="shared" si="26"/>
        <v>0.23468054181910125</v>
      </c>
      <c r="K126" s="2"/>
      <c r="L126" s="2">
        <f t="shared" si="27"/>
        <v>-50567.069999999992</v>
      </c>
      <c r="M126" s="2"/>
      <c r="N126" s="19">
        <f t="shared" si="28"/>
        <v>-0.47844072460010934</v>
      </c>
      <c r="O126" s="11"/>
      <c r="P126" s="2">
        <v>94295.28</v>
      </c>
      <c r="Q126" s="2"/>
      <c r="R126" s="19">
        <f t="shared" si="29"/>
        <v>3.8253928347706363E-2</v>
      </c>
      <c r="S126" s="2"/>
      <c r="T126" s="2">
        <v>618292.30999999994</v>
      </c>
      <c r="U126" s="2"/>
      <c r="V126" s="19">
        <f t="shared" si="30"/>
        <v>0.12192279517930564</v>
      </c>
      <c r="W126" s="2"/>
      <c r="X126" s="2">
        <f t="shared" si="31"/>
        <v>-523997.02999999991</v>
      </c>
      <c r="Y126" s="2"/>
      <c r="Z126" s="19">
        <f t="shared" si="32"/>
        <v>-0.84749077665222772</v>
      </c>
    </row>
    <row r="127" spans="1:26" s="24" customFormat="1" hidden="1" outlineLevel="1" x14ac:dyDescent="0.25">
      <c r="A127" s="44"/>
      <c r="B127" s="11" t="str">
        <f>CONCATENATE("          ", "5041", " - ", "PURCHASES @ COST-LOGO GIFTS")</f>
        <v xml:space="preserve">          5041 - PURCHASES @ COST-LOGO GIFTS</v>
      </c>
      <c r="C127" s="11"/>
      <c r="D127" s="2">
        <v>9354.43</v>
      </c>
      <c r="E127" s="2"/>
      <c r="F127" s="19">
        <f t="shared" si="25"/>
        <v>8.4294906511207329E-2</v>
      </c>
      <c r="G127" s="2"/>
      <c r="H127" s="2">
        <v>18340.09</v>
      </c>
      <c r="I127" s="2"/>
      <c r="J127" s="19">
        <f t="shared" si="26"/>
        <v>4.0722918404062024E-2</v>
      </c>
      <c r="K127" s="2"/>
      <c r="L127" s="2">
        <f t="shared" si="27"/>
        <v>-8985.66</v>
      </c>
      <c r="M127" s="2"/>
      <c r="N127" s="19">
        <f t="shared" si="28"/>
        <v>-0.48994634159374351</v>
      </c>
      <c r="O127" s="11"/>
      <c r="P127" s="2">
        <v>26641.769999999997</v>
      </c>
      <c r="Q127" s="2"/>
      <c r="R127" s="19">
        <f t="shared" si="29"/>
        <v>1.0808095173332883E-2</v>
      </c>
      <c r="S127" s="2"/>
      <c r="T127" s="2">
        <v>88796.55</v>
      </c>
      <c r="U127" s="2"/>
      <c r="V127" s="19">
        <f t="shared" si="30"/>
        <v>1.7510040806231236E-2</v>
      </c>
      <c r="W127" s="2"/>
      <c r="X127" s="2">
        <f t="shared" si="31"/>
        <v>-62154.780000000006</v>
      </c>
      <c r="Y127" s="2"/>
      <c r="Z127" s="19">
        <f t="shared" si="32"/>
        <v>-0.69996841093488438</v>
      </c>
    </row>
    <row r="128" spans="1:26" s="24" customFormat="1" hidden="1" outlineLevel="1" x14ac:dyDescent="0.25">
      <c r="A128" s="44"/>
      <c r="B128" s="11" t="str">
        <f>CONCATENATE("          ", "5042", " - ", "PURCHASES @ COST-EVERYDAY GIFT")</f>
        <v xml:space="preserve">          5042 - PURCHASES @ COST-EVERYDAY GIFT</v>
      </c>
      <c r="C128" s="11"/>
      <c r="D128" s="2"/>
      <c r="E128" s="2"/>
      <c r="F128" s="19">
        <f t="shared" si="25"/>
        <v>0</v>
      </c>
      <c r="G128" s="2"/>
      <c r="H128" s="2">
        <v>31316.85</v>
      </c>
      <c r="I128" s="2"/>
      <c r="J128" s="19">
        <f t="shared" si="26"/>
        <v>6.9536928511378604E-2</v>
      </c>
      <c r="K128" s="2"/>
      <c r="L128" s="2">
        <f t="shared" si="27"/>
        <v>-31316.85</v>
      </c>
      <c r="M128" s="2"/>
      <c r="N128" s="19">
        <f t="shared" si="28"/>
        <v>-1</v>
      </c>
      <c r="O128" s="11"/>
      <c r="P128" s="2">
        <v>10912.68</v>
      </c>
      <c r="Q128" s="2"/>
      <c r="R128" s="19">
        <f t="shared" si="29"/>
        <v>4.4270813852130058E-3</v>
      </c>
      <c r="S128" s="2"/>
      <c r="T128" s="2">
        <v>80565.319999999992</v>
      </c>
      <c r="U128" s="2"/>
      <c r="V128" s="19">
        <f t="shared" si="30"/>
        <v>1.5886901470463406E-2</v>
      </c>
      <c r="W128" s="2"/>
      <c r="X128" s="2">
        <f t="shared" si="31"/>
        <v>-69652.639999999985</v>
      </c>
      <c r="Y128" s="2"/>
      <c r="Z128" s="19">
        <f t="shared" si="32"/>
        <v>-0.8645486668457345</v>
      </c>
    </row>
    <row r="129" spans="1:26" s="24" customFormat="1" hidden="1" outlineLevel="1" x14ac:dyDescent="0.25">
      <c r="A129" s="44"/>
      <c r="B129" s="11" t="str">
        <f>CONCATENATE("          ", "5043", " - ", "PURCHASES @ COST-CARDS")</f>
        <v xml:space="preserve">          5043 - PURCHASES @ COST-CARDS</v>
      </c>
      <c r="C129" s="11"/>
      <c r="D129" s="2">
        <v>38530.230000000003</v>
      </c>
      <c r="E129" s="2"/>
      <c r="F129" s="19">
        <f t="shared" si="25"/>
        <v>0.34720470789832369</v>
      </c>
      <c r="G129" s="2"/>
      <c r="H129" s="2">
        <v>2188.66</v>
      </c>
      <c r="I129" s="2"/>
      <c r="J129" s="19">
        <f t="shared" si="26"/>
        <v>4.8597701862005249E-3</v>
      </c>
      <c r="K129" s="2"/>
      <c r="L129" s="2">
        <f t="shared" si="27"/>
        <v>36341.570000000007</v>
      </c>
      <c r="M129" s="2"/>
      <c r="N129" s="19">
        <f t="shared" si="28"/>
        <v>16.604484022187094</v>
      </c>
      <c r="O129" s="11"/>
      <c r="P129" s="2">
        <v>44173.23</v>
      </c>
      <c r="Q129" s="2"/>
      <c r="R129" s="19">
        <f t="shared" si="29"/>
        <v>1.7920298612048802E-2</v>
      </c>
      <c r="S129" s="2"/>
      <c r="T129" s="2">
        <v>3528.74</v>
      </c>
      <c r="U129" s="2"/>
      <c r="V129" s="19">
        <f t="shared" si="30"/>
        <v>6.9584214020229846E-4</v>
      </c>
      <c r="W129" s="2"/>
      <c r="X129" s="2">
        <f t="shared" si="31"/>
        <v>40644.490000000005</v>
      </c>
      <c r="Y129" s="2"/>
      <c r="Z129" s="19">
        <f t="shared" si="32"/>
        <v>11.518131117622723</v>
      </c>
    </row>
    <row r="130" spans="1:26" s="24" customFormat="1" hidden="1" outlineLevel="1" x14ac:dyDescent="0.25">
      <c r="A130" s="44"/>
      <c r="B130" s="11" t="str">
        <f>CONCATENATE("          ", "5044", " - ", "PURCHASES @ COST-ACCESSORIES")</f>
        <v xml:space="preserve">          5044 - PURCHASES @ COST-ACCESSORIES</v>
      </c>
      <c r="C130" s="11"/>
      <c r="D130" s="2">
        <v>282.33</v>
      </c>
      <c r="E130" s="2"/>
      <c r="F130" s="19">
        <f t="shared" si="25"/>
        <v>2.5441401512768993E-3</v>
      </c>
      <c r="G130" s="2"/>
      <c r="H130" s="2">
        <v>-6895.55</v>
      </c>
      <c r="I130" s="2"/>
      <c r="J130" s="19">
        <f t="shared" si="26"/>
        <v>-1.5311098255304629E-2</v>
      </c>
      <c r="K130" s="2"/>
      <c r="L130" s="2">
        <f t="shared" si="27"/>
        <v>7177.88</v>
      </c>
      <c r="M130" s="2"/>
      <c r="N130" s="19">
        <f t="shared" si="28"/>
        <v>-1.0409437970865267</v>
      </c>
      <c r="O130" s="11"/>
      <c r="P130" s="2">
        <v>282.33</v>
      </c>
      <c r="Q130" s="2"/>
      <c r="R130" s="19">
        <f t="shared" si="29"/>
        <v>1.1453629058005805E-4</v>
      </c>
      <c r="S130" s="2"/>
      <c r="T130" s="2">
        <v>17255.580000000002</v>
      </c>
      <c r="U130" s="2"/>
      <c r="V130" s="19">
        <f t="shared" si="30"/>
        <v>3.4026762293713846E-3</v>
      </c>
      <c r="W130" s="2"/>
      <c r="X130" s="2">
        <f t="shared" si="31"/>
        <v>-16973.25</v>
      </c>
      <c r="Y130" s="2"/>
      <c r="Z130" s="19">
        <f t="shared" si="32"/>
        <v>-0.98363833612083729</v>
      </c>
    </row>
    <row r="131" spans="1:26" s="24" customFormat="1" hidden="1" outlineLevel="1" x14ac:dyDescent="0.25">
      <c r="A131" s="44"/>
      <c r="B131" s="11" t="str">
        <f>CONCATENATE("          ", "5045", " - ", "PURCHASES @ COST-SPECIAL ORDER")</f>
        <v xml:space="preserve">          5045 - PURCHASES @ COST-SPECIAL ORDER</v>
      </c>
      <c r="C131" s="11"/>
      <c r="D131" s="2">
        <v>5678</v>
      </c>
      <c r="E131" s="2"/>
      <c r="F131" s="19">
        <f t="shared" si="25"/>
        <v>5.1165755601424695E-2</v>
      </c>
      <c r="G131" s="2"/>
      <c r="H131" s="2">
        <v>14163.29</v>
      </c>
      <c r="I131" s="2"/>
      <c r="J131" s="19">
        <f t="shared" si="26"/>
        <v>3.1448619009125232E-2</v>
      </c>
      <c r="K131" s="2"/>
      <c r="L131" s="2">
        <f t="shared" si="27"/>
        <v>-8485.2900000000009</v>
      </c>
      <c r="M131" s="2"/>
      <c r="N131" s="19">
        <f t="shared" si="28"/>
        <v>-0.59910444536544827</v>
      </c>
      <c r="O131" s="11"/>
      <c r="P131" s="2">
        <v>76932.51999999999</v>
      </c>
      <c r="Q131" s="2"/>
      <c r="R131" s="19">
        <f t="shared" si="29"/>
        <v>3.1210163517076211E-2</v>
      </c>
      <c r="S131" s="2"/>
      <c r="T131" s="2">
        <v>42226.49</v>
      </c>
      <c r="U131" s="2"/>
      <c r="V131" s="19">
        <f t="shared" si="30"/>
        <v>8.3267600261937563E-3</v>
      </c>
      <c r="W131" s="2"/>
      <c r="X131" s="2">
        <f t="shared" si="31"/>
        <v>34706.029999999992</v>
      </c>
      <c r="Y131" s="2"/>
      <c r="Z131" s="19">
        <f t="shared" si="32"/>
        <v>0.82190184407939171</v>
      </c>
    </row>
    <row r="132" spans="1:26" s="24" customFormat="1" hidden="1" outlineLevel="1" x14ac:dyDescent="0.25">
      <c r="A132" s="44"/>
      <c r="B132" s="11" t="str">
        <f>CONCATENATE("          ", "5081", " - ", "PURCHASES @ COST-ELECTRONICS")</f>
        <v xml:space="preserve">          5081 - PURCHASES @ COST-ELECTRONICS</v>
      </c>
      <c r="C132" s="11"/>
      <c r="D132" s="2"/>
      <c r="E132" s="2"/>
      <c r="F132" s="19">
        <f t="shared" si="25"/>
        <v>0</v>
      </c>
      <c r="G132" s="2"/>
      <c r="H132" s="2">
        <v>281.74</v>
      </c>
      <c r="I132" s="2"/>
      <c r="J132" s="19">
        <f t="shared" si="26"/>
        <v>6.2558444539587501E-4</v>
      </c>
      <c r="K132" s="2"/>
      <c r="L132" s="2">
        <f t="shared" si="27"/>
        <v>-281.74</v>
      </c>
      <c r="M132" s="2"/>
      <c r="N132" s="19">
        <f t="shared" si="28"/>
        <v>-1</v>
      </c>
      <c r="O132" s="11"/>
      <c r="P132" s="2"/>
      <c r="Q132" s="2"/>
      <c r="R132" s="19">
        <f t="shared" si="29"/>
        <v>0</v>
      </c>
      <c r="S132" s="2"/>
      <c r="T132" s="2">
        <v>1244.81</v>
      </c>
      <c r="U132" s="2"/>
      <c r="V132" s="19">
        <f t="shared" si="30"/>
        <v>2.4546757611646738E-4</v>
      </c>
      <c r="W132" s="2"/>
      <c r="X132" s="2">
        <f t="shared" si="31"/>
        <v>-1244.81</v>
      </c>
      <c r="Y132" s="2"/>
      <c r="Z132" s="19">
        <f t="shared" si="32"/>
        <v>-1</v>
      </c>
    </row>
    <row r="133" spans="1:26" s="24" customFormat="1" hidden="1" outlineLevel="1" x14ac:dyDescent="0.25">
      <c r="A133" s="44"/>
      <c r="B133" s="11" t="str">
        <f>CONCATENATE("          ", "5082", " - ", "PURCHASES @ COST-COMPUTER HARD")</f>
        <v xml:space="preserve">          5082 - PURCHASES @ COST-COMPUTER HARD</v>
      </c>
      <c r="C133" s="11"/>
      <c r="D133" s="2"/>
      <c r="E133" s="2"/>
      <c r="F133" s="19">
        <f t="shared" si="25"/>
        <v>0</v>
      </c>
      <c r="G133" s="2"/>
      <c r="H133" s="2">
        <v>95</v>
      </c>
      <c r="I133" s="2"/>
      <c r="J133" s="19">
        <f t="shared" si="26"/>
        <v>2.1094101764963487E-4</v>
      </c>
      <c r="K133" s="2"/>
      <c r="L133" s="2">
        <f t="shared" si="27"/>
        <v>-95</v>
      </c>
      <c r="M133" s="2"/>
      <c r="N133" s="19">
        <f t="shared" si="28"/>
        <v>-1</v>
      </c>
      <c r="O133" s="11"/>
      <c r="P133" s="2"/>
      <c r="Q133" s="2"/>
      <c r="R133" s="19">
        <f t="shared" si="29"/>
        <v>0</v>
      </c>
      <c r="S133" s="2"/>
      <c r="T133" s="2">
        <v>244.6</v>
      </c>
      <c r="U133" s="2"/>
      <c r="V133" s="19">
        <f t="shared" si="30"/>
        <v>4.8233360206045842E-5</v>
      </c>
      <c r="W133" s="2"/>
      <c r="X133" s="2">
        <f t="shared" si="31"/>
        <v>-244.6</v>
      </c>
      <c r="Y133" s="2"/>
      <c r="Z133" s="19">
        <f t="shared" si="32"/>
        <v>-1</v>
      </c>
    </row>
    <row r="134" spans="1:26" s="24" customFormat="1" hidden="1" outlineLevel="1" x14ac:dyDescent="0.25">
      <c r="A134" s="44"/>
      <c r="B134" s="11" t="str">
        <f>CONCATENATE("          ", "5083", " - ", "PURCHASES @ COST-COMPUTER EQUI")</f>
        <v xml:space="preserve">          5083 - PURCHASES @ COST-COMPUTER EQUI</v>
      </c>
      <c r="C134" s="11"/>
      <c r="D134" s="2"/>
      <c r="E134" s="2"/>
      <c r="F134" s="19">
        <f t="shared" si="25"/>
        <v>0</v>
      </c>
      <c r="G134" s="2"/>
      <c r="H134" s="2"/>
      <c r="I134" s="2"/>
      <c r="J134" s="19">
        <f t="shared" si="26"/>
        <v>0</v>
      </c>
      <c r="K134" s="2"/>
      <c r="L134" s="2">
        <f t="shared" si="27"/>
        <v>0</v>
      </c>
      <c r="M134" s="2"/>
      <c r="N134" s="19">
        <f t="shared" si="28"/>
        <v>0</v>
      </c>
      <c r="O134" s="11"/>
      <c r="P134" s="2"/>
      <c r="Q134" s="2"/>
      <c r="R134" s="19">
        <f t="shared" si="29"/>
        <v>0</v>
      </c>
      <c r="S134" s="2"/>
      <c r="T134" s="2">
        <v>232.15</v>
      </c>
      <c r="U134" s="2"/>
      <c r="V134" s="19">
        <f t="shared" si="30"/>
        <v>4.5778309778550869E-5</v>
      </c>
      <c r="W134" s="2"/>
      <c r="X134" s="2">
        <f t="shared" si="31"/>
        <v>-232.15</v>
      </c>
      <c r="Y134" s="2"/>
      <c r="Z134" s="19">
        <f t="shared" si="32"/>
        <v>-1</v>
      </c>
    </row>
    <row r="135" spans="1:26" s="24" customFormat="1" hidden="1" outlineLevel="1" x14ac:dyDescent="0.25">
      <c r="A135" s="44"/>
      <c r="B135" s="11" t="str">
        <f>CONCATENATE("          ", "5086", " - ", "PURCHASES @ COST-COMPUTER SUPP")</f>
        <v xml:space="preserve">          5086 - PURCHASES @ COST-COMPUTER SUPP</v>
      </c>
      <c r="C135" s="11"/>
      <c r="D135" s="2"/>
      <c r="E135" s="2"/>
      <c r="F135" s="19">
        <f t="shared" si="25"/>
        <v>0</v>
      </c>
      <c r="G135" s="2"/>
      <c r="H135" s="2">
        <v>87</v>
      </c>
      <c r="I135" s="2"/>
      <c r="J135" s="19">
        <f t="shared" si="26"/>
        <v>1.9317756353177089E-4</v>
      </c>
      <c r="K135" s="2"/>
      <c r="L135" s="2">
        <f t="shared" si="27"/>
        <v>-87</v>
      </c>
      <c r="M135" s="2"/>
      <c r="N135" s="19">
        <f t="shared" si="28"/>
        <v>-1</v>
      </c>
      <c r="O135" s="11"/>
      <c r="P135" s="2"/>
      <c r="Q135" s="2"/>
      <c r="R135" s="19">
        <f t="shared" si="29"/>
        <v>0</v>
      </c>
      <c r="S135" s="2"/>
      <c r="T135" s="2">
        <v>228</v>
      </c>
      <c r="U135" s="2"/>
      <c r="V135" s="19">
        <f t="shared" si="30"/>
        <v>4.4959959636052549E-5</v>
      </c>
      <c r="W135" s="2"/>
      <c r="X135" s="2">
        <f t="shared" si="31"/>
        <v>-228</v>
      </c>
      <c r="Y135" s="2"/>
      <c r="Z135" s="19">
        <f t="shared" si="32"/>
        <v>-1</v>
      </c>
    </row>
    <row r="136" spans="1:26" s="24" customFormat="1" hidden="1" outlineLevel="1" x14ac:dyDescent="0.25">
      <c r="A136" s="44"/>
      <c r="B136" s="11" t="str">
        <f>CONCATENATE("          ", "5092", " - ", "PURCHASES @ COST-GRAD MERCH")</f>
        <v xml:space="preserve">          5092 - PURCHASES @ COST-GRAD MERCH</v>
      </c>
      <c r="C136" s="11"/>
      <c r="D136" s="2"/>
      <c r="E136" s="2"/>
      <c r="F136" s="19">
        <f t="shared" si="25"/>
        <v>0</v>
      </c>
      <c r="G136" s="2"/>
      <c r="H136" s="2">
        <v>628</v>
      </c>
      <c r="I136" s="2"/>
      <c r="J136" s="19">
        <f t="shared" si="26"/>
        <v>1.3944311482523232E-3</v>
      </c>
      <c r="K136" s="2"/>
      <c r="L136" s="2">
        <f t="shared" si="27"/>
        <v>-628</v>
      </c>
      <c r="M136" s="2"/>
      <c r="N136" s="19">
        <f t="shared" si="28"/>
        <v>-1</v>
      </c>
      <c r="O136" s="11"/>
      <c r="P136" s="2"/>
      <c r="Q136" s="2"/>
      <c r="R136" s="19">
        <f t="shared" si="29"/>
        <v>0</v>
      </c>
      <c r="S136" s="2"/>
      <c r="T136" s="2">
        <v>1924.14</v>
      </c>
      <c r="U136" s="2"/>
      <c r="V136" s="19">
        <f t="shared" si="30"/>
        <v>3.7942656462330767E-4</v>
      </c>
      <c r="W136" s="2"/>
      <c r="X136" s="2">
        <f t="shared" si="31"/>
        <v>-1924.14</v>
      </c>
      <c r="Y136" s="2"/>
      <c r="Z136" s="19">
        <f t="shared" si="32"/>
        <v>-1</v>
      </c>
    </row>
    <row r="137" spans="1:26" s="24" customFormat="1" hidden="1" outlineLevel="1" x14ac:dyDescent="0.25">
      <c r="A137" s="44"/>
      <c r="B137" s="11" t="str">
        <f>CONCATENATE("          ", "5095", " - ", "PURCHASES @ COST-CUSTOMER SERV")</f>
        <v xml:space="preserve">          5095 - PURCHASES @ COST-CUSTOMER SERV</v>
      </c>
      <c r="C137" s="11"/>
      <c r="D137" s="2"/>
      <c r="E137" s="2"/>
      <c r="F137" s="19">
        <f t="shared" si="25"/>
        <v>0</v>
      </c>
      <c r="G137" s="2"/>
      <c r="H137" s="2"/>
      <c r="I137" s="2"/>
      <c r="J137" s="19">
        <f t="shared" si="26"/>
        <v>0</v>
      </c>
      <c r="K137" s="2"/>
      <c r="L137" s="2">
        <f t="shared" si="27"/>
        <v>0</v>
      </c>
      <c r="M137" s="2"/>
      <c r="N137" s="19">
        <f t="shared" si="28"/>
        <v>0</v>
      </c>
      <c r="O137" s="11"/>
      <c r="P137" s="2"/>
      <c r="Q137" s="2"/>
      <c r="R137" s="19">
        <f t="shared" si="29"/>
        <v>0</v>
      </c>
      <c r="S137" s="2"/>
      <c r="T137" s="2">
        <v>0</v>
      </c>
      <c r="U137" s="2"/>
      <c r="V137" s="19">
        <f t="shared" si="30"/>
        <v>0</v>
      </c>
      <c r="W137" s="2"/>
      <c r="X137" s="2">
        <f t="shared" si="31"/>
        <v>0</v>
      </c>
      <c r="Y137" s="2"/>
      <c r="Z137" s="19">
        <f t="shared" si="32"/>
        <v>0</v>
      </c>
    </row>
    <row r="138" spans="1:26" s="24" customFormat="1" hidden="1" outlineLevel="1" x14ac:dyDescent="0.25">
      <c r="A138" s="44"/>
      <c r="B138" s="11" t="str">
        <f>CONCATENATE("          ", "5200", " - ", "PURCHASES OFFSET")</f>
        <v xml:space="preserve">          5200 - PURCHASES OFFSET</v>
      </c>
      <c r="C138" s="11"/>
      <c r="D138" s="2">
        <v>196761.90999999997</v>
      </c>
      <c r="E138" s="2"/>
      <c r="F138" s="19">
        <f t="shared" si="25"/>
        <v>1.7730665372894541</v>
      </c>
      <c r="G138" s="2"/>
      <c r="H138" s="2">
        <v>114626</v>
      </c>
      <c r="I138" s="2"/>
      <c r="J138" s="19">
        <f t="shared" si="26"/>
        <v>0.25451921146428469</v>
      </c>
      <c r="K138" s="2"/>
      <c r="L138" s="2">
        <f t="shared" si="27"/>
        <v>82135.909999999974</v>
      </c>
      <c r="M138" s="2"/>
      <c r="N138" s="19">
        <f t="shared" si="28"/>
        <v>0.7165556679985341</v>
      </c>
      <c r="O138" s="11"/>
      <c r="P138" s="2">
        <v>-1572395.28</v>
      </c>
      <c r="Q138" s="2"/>
      <c r="R138" s="19">
        <f t="shared" si="29"/>
        <v>-0.63789297168842052</v>
      </c>
      <c r="S138" s="2"/>
      <c r="T138" s="2">
        <v>-2624146</v>
      </c>
      <c r="U138" s="2"/>
      <c r="V138" s="19">
        <f t="shared" si="30"/>
        <v>-0.51746271157503831</v>
      </c>
      <c r="W138" s="2"/>
      <c r="X138" s="2">
        <f t="shared" si="31"/>
        <v>1051750.72</v>
      </c>
      <c r="Y138" s="2"/>
      <c r="Z138" s="19">
        <f t="shared" si="32"/>
        <v>-0.40079733368493975</v>
      </c>
    </row>
    <row r="139" spans="1:26" s="24" customFormat="1" hidden="1" outlineLevel="1" x14ac:dyDescent="0.25">
      <c r="A139" s="44"/>
      <c r="B139" s="11" t="str">
        <f>CONCATENATE("          ", "5300", " - ", "COG$ OFFSET")</f>
        <v xml:space="preserve">          5300 - COG$ OFFSET</v>
      </c>
      <c r="C139" s="11"/>
      <c r="D139" s="2">
        <v>60951.000000000007</v>
      </c>
      <c r="E139" s="2"/>
      <c r="F139" s="19">
        <f t="shared" si="25"/>
        <v>0.54924339021881596</v>
      </c>
      <c r="G139" s="2"/>
      <c r="H139" s="2">
        <v>210505</v>
      </c>
      <c r="I139" s="2"/>
      <c r="J139" s="19">
        <f t="shared" si="26"/>
        <v>0.4674119886351199</v>
      </c>
      <c r="K139" s="2"/>
      <c r="L139" s="2">
        <f t="shared" si="27"/>
        <v>-149554</v>
      </c>
      <c r="M139" s="2"/>
      <c r="N139" s="19">
        <f t="shared" si="28"/>
        <v>-0.71045343341013278</v>
      </c>
      <c r="O139" s="11"/>
      <c r="P139" s="2">
        <v>1256640</v>
      </c>
      <c r="Q139" s="2"/>
      <c r="R139" s="19">
        <f t="shared" si="29"/>
        <v>0.50979663583226775</v>
      </c>
      <c r="S139" s="2"/>
      <c r="T139" s="2">
        <v>2342898</v>
      </c>
      <c r="U139" s="2"/>
      <c r="V139" s="19">
        <f t="shared" si="30"/>
        <v>0.4620026294359133</v>
      </c>
      <c r="W139" s="2"/>
      <c r="X139" s="2">
        <f t="shared" si="31"/>
        <v>-1086258</v>
      </c>
      <c r="Y139" s="2"/>
      <c r="Z139" s="19">
        <f t="shared" si="32"/>
        <v>-0.46363862191183741</v>
      </c>
    </row>
    <row r="140" spans="1:26" s="24" customFormat="1" hidden="1" outlineLevel="1" x14ac:dyDescent="0.25">
      <c r="A140" s="44"/>
      <c r="B140" s="11" t="str">
        <f>CONCATENATE("          ", "5500", " - ", "FREIGHT-IN")</f>
        <v xml:space="preserve">          5500 - FREIGHT-IN</v>
      </c>
      <c r="C140" s="11"/>
      <c r="D140" s="2"/>
      <c r="E140" s="2"/>
      <c r="F140" s="19">
        <f t="shared" si="25"/>
        <v>0</v>
      </c>
      <c r="G140" s="2"/>
      <c r="H140" s="2"/>
      <c r="I140" s="2"/>
      <c r="J140" s="19">
        <f t="shared" si="26"/>
        <v>0</v>
      </c>
      <c r="K140" s="2"/>
      <c r="L140" s="2">
        <f t="shared" si="27"/>
        <v>0</v>
      </c>
      <c r="M140" s="2"/>
      <c r="N140" s="19">
        <f t="shared" si="28"/>
        <v>0</v>
      </c>
      <c r="O140" s="11"/>
      <c r="P140" s="2"/>
      <c r="Q140" s="2"/>
      <c r="R140" s="19">
        <f t="shared" si="29"/>
        <v>0</v>
      </c>
      <c r="S140" s="2"/>
      <c r="T140" s="2">
        <v>35.229999999999997</v>
      </c>
      <c r="U140" s="2"/>
      <c r="V140" s="19">
        <f t="shared" si="30"/>
        <v>6.9471025349918028E-6</v>
      </c>
      <c r="W140" s="2"/>
      <c r="X140" s="2">
        <f t="shared" si="31"/>
        <v>-35.229999999999997</v>
      </c>
      <c r="Y140" s="2"/>
      <c r="Z140" s="19">
        <f t="shared" si="32"/>
        <v>-1</v>
      </c>
    </row>
    <row r="141" spans="1:26" s="24" customFormat="1" hidden="1" outlineLevel="1" x14ac:dyDescent="0.25">
      <c r="A141" s="44"/>
      <c r="B141" s="11" t="str">
        <f>CONCATENATE("          ", "5501", " - ", "FREIGHT-IN-NEW TEXT")</f>
        <v xml:space="preserve">          5501 - FREIGHT-IN-NEW TEXT</v>
      </c>
      <c r="C141" s="11"/>
      <c r="D141" s="2">
        <v>990.19</v>
      </c>
      <c r="E141" s="2"/>
      <c r="F141" s="19">
        <f t="shared" si="25"/>
        <v>8.9228283795305952E-3</v>
      </c>
      <c r="G141" s="2"/>
      <c r="H141" s="2">
        <v>490.07</v>
      </c>
      <c r="I141" s="2"/>
      <c r="J141" s="19">
        <f t="shared" si="26"/>
        <v>1.0881669949427007E-3</v>
      </c>
      <c r="K141" s="2"/>
      <c r="L141" s="2">
        <f t="shared" si="27"/>
        <v>500.12000000000006</v>
      </c>
      <c r="M141" s="2"/>
      <c r="N141" s="19">
        <f t="shared" si="28"/>
        <v>1.020507274470994</v>
      </c>
      <c r="O141" s="11"/>
      <c r="P141" s="2">
        <v>35048.81</v>
      </c>
      <c r="Q141" s="2"/>
      <c r="R141" s="19">
        <f t="shared" si="29"/>
        <v>1.4218682699837936E-2</v>
      </c>
      <c r="S141" s="2"/>
      <c r="T141" s="2">
        <v>34507.550000000003</v>
      </c>
      <c r="U141" s="2"/>
      <c r="V141" s="19">
        <f t="shared" si="30"/>
        <v>6.8046405927151979E-3</v>
      </c>
      <c r="W141" s="2"/>
      <c r="X141" s="2">
        <f t="shared" si="31"/>
        <v>541.25999999999476</v>
      </c>
      <c r="Y141" s="2"/>
      <c r="Z141" s="19">
        <f t="shared" si="32"/>
        <v>1.5685263080108404E-2</v>
      </c>
    </row>
    <row r="142" spans="1:26" s="24" customFormat="1" hidden="1" outlineLevel="1" x14ac:dyDescent="0.25">
      <c r="A142" s="44"/>
      <c r="B142" s="11" t="str">
        <f>CONCATENATE("          ", "5502", " - ", "FREIGHT-IN-USED TEXT")</f>
        <v xml:space="preserve">          5502 - FREIGHT-IN-USED TEXT</v>
      </c>
      <c r="C142" s="11"/>
      <c r="D142" s="2">
        <v>388.37</v>
      </c>
      <c r="E142" s="2"/>
      <c r="F142" s="19">
        <f t="shared" si="25"/>
        <v>3.499690824749086E-3</v>
      </c>
      <c r="G142" s="2"/>
      <c r="H142" s="2">
        <v>237.65</v>
      </c>
      <c r="I142" s="2"/>
      <c r="J142" s="19">
        <f t="shared" si="26"/>
        <v>5.276856088887972E-4</v>
      </c>
      <c r="K142" s="2"/>
      <c r="L142" s="2">
        <f t="shared" si="27"/>
        <v>150.72</v>
      </c>
      <c r="M142" s="2"/>
      <c r="N142" s="19">
        <f t="shared" si="28"/>
        <v>0.63420997264885337</v>
      </c>
      <c r="O142" s="11"/>
      <c r="P142" s="2">
        <v>11133.09</v>
      </c>
      <c r="Q142" s="2"/>
      <c r="R142" s="19">
        <f t="shared" si="29"/>
        <v>4.5164978262810847E-3</v>
      </c>
      <c r="S142" s="2"/>
      <c r="T142" s="2">
        <v>7090.12</v>
      </c>
      <c r="U142" s="2"/>
      <c r="V142" s="19">
        <f t="shared" si="30"/>
        <v>1.3981206535735476E-3</v>
      </c>
      <c r="W142" s="2"/>
      <c r="X142" s="2">
        <f t="shared" si="31"/>
        <v>4042.9700000000003</v>
      </c>
      <c r="Y142" s="2"/>
      <c r="Z142" s="19">
        <f t="shared" si="32"/>
        <v>0.57022589180437011</v>
      </c>
    </row>
    <row r="143" spans="1:26" s="24" customFormat="1" hidden="1" outlineLevel="1" x14ac:dyDescent="0.25">
      <c r="A143" s="44"/>
      <c r="B143" s="11" t="str">
        <f>CONCATENATE("          ", "5504", " - ", "FREIGHT-IN-DIGITAL TEXT")</f>
        <v xml:space="preserve">          5504 - FREIGHT-IN-DIGITAL TEXT</v>
      </c>
      <c r="C143" s="11"/>
      <c r="D143" s="2"/>
      <c r="E143" s="2"/>
      <c r="F143" s="19">
        <f t="shared" si="25"/>
        <v>0</v>
      </c>
      <c r="G143" s="2"/>
      <c r="H143" s="2">
        <v>5</v>
      </c>
      <c r="I143" s="2"/>
      <c r="J143" s="19">
        <f t="shared" si="26"/>
        <v>1.1102158823664994E-5</v>
      </c>
      <c r="K143" s="2"/>
      <c r="L143" s="2">
        <f t="shared" si="27"/>
        <v>-5</v>
      </c>
      <c r="M143" s="2"/>
      <c r="N143" s="19">
        <f t="shared" si="28"/>
        <v>-1</v>
      </c>
      <c r="O143" s="11"/>
      <c r="P143" s="2">
        <v>21.98</v>
      </c>
      <c r="Q143" s="2"/>
      <c r="R143" s="19">
        <f t="shared" si="29"/>
        <v>8.9168974850340958E-6</v>
      </c>
      <c r="S143" s="2"/>
      <c r="T143" s="2">
        <v>105.97</v>
      </c>
      <c r="U143" s="2"/>
      <c r="V143" s="19">
        <f t="shared" si="30"/>
        <v>2.0896521590493369E-5</v>
      </c>
      <c r="W143" s="2"/>
      <c r="X143" s="2">
        <f t="shared" si="31"/>
        <v>-83.99</v>
      </c>
      <c r="Y143" s="2"/>
      <c r="Z143" s="19">
        <f t="shared" si="32"/>
        <v>-0.79258280645465695</v>
      </c>
    </row>
    <row r="144" spans="1:26" s="24" customFormat="1" hidden="1" outlineLevel="1" x14ac:dyDescent="0.25">
      <c r="A144" s="44"/>
      <c r="B144" s="11" t="str">
        <f>CONCATENATE("          ", "5513", " - ", "FREIGHT-IN-TRADE BOOKS")</f>
        <v xml:space="preserve">          5513 - FREIGHT-IN-TRADE BOOKS</v>
      </c>
      <c r="C144" s="11"/>
      <c r="D144" s="2">
        <v>26.46</v>
      </c>
      <c r="E144" s="2"/>
      <c r="F144" s="19">
        <f t="shared" si="25"/>
        <v>2.3843710694147543E-4</v>
      </c>
      <c r="G144" s="2"/>
      <c r="H144" s="2">
        <v>12.33</v>
      </c>
      <c r="I144" s="2"/>
      <c r="J144" s="19">
        <f t="shared" si="26"/>
        <v>2.7377923659157872E-5</v>
      </c>
      <c r="K144" s="2"/>
      <c r="L144" s="2">
        <f t="shared" si="27"/>
        <v>14.13</v>
      </c>
      <c r="M144" s="2"/>
      <c r="N144" s="19">
        <f t="shared" si="28"/>
        <v>1.1459854014598541</v>
      </c>
      <c r="O144" s="11"/>
      <c r="P144" s="2">
        <v>26.46</v>
      </c>
      <c r="Q144" s="2"/>
      <c r="R144" s="19">
        <f t="shared" si="29"/>
        <v>1.0734354297270344E-5</v>
      </c>
      <c r="S144" s="2"/>
      <c r="T144" s="2">
        <v>12.33</v>
      </c>
      <c r="U144" s="2"/>
      <c r="V144" s="19">
        <f t="shared" si="30"/>
        <v>2.4313872908444207E-6</v>
      </c>
      <c r="W144" s="2"/>
      <c r="X144" s="2">
        <f t="shared" si="31"/>
        <v>14.13</v>
      </c>
      <c r="Y144" s="2"/>
      <c r="Z144" s="19">
        <f t="shared" si="32"/>
        <v>1.1459854014598541</v>
      </c>
    </row>
    <row r="145" spans="1:26" s="24" customFormat="1" hidden="1" outlineLevel="1" x14ac:dyDescent="0.25">
      <c r="A145" s="44"/>
      <c r="B145" s="11" t="str">
        <f>CONCATENATE("          ", "5518", " - ", "FREIGHT-IN-STUDY GUIDES")</f>
        <v xml:space="preserve">          5518 - FREIGHT-IN-STUDY GUIDES</v>
      </c>
      <c r="C145" s="11"/>
      <c r="D145" s="2"/>
      <c r="E145" s="2"/>
      <c r="F145" s="19">
        <f t="shared" si="25"/>
        <v>0</v>
      </c>
      <c r="G145" s="2"/>
      <c r="H145" s="2">
        <v>12.26</v>
      </c>
      <c r="I145" s="2"/>
      <c r="J145" s="19">
        <f t="shared" si="26"/>
        <v>2.7222493435626565E-5</v>
      </c>
      <c r="K145" s="2"/>
      <c r="L145" s="2">
        <f t="shared" si="27"/>
        <v>-12.26</v>
      </c>
      <c r="M145" s="2"/>
      <c r="N145" s="19">
        <f t="shared" si="28"/>
        <v>-1</v>
      </c>
      <c r="O145" s="11"/>
      <c r="P145" s="2"/>
      <c r="Q145" s="2"/>
      <c r="R145" s="19">
        <f t="shared" si="29"/>
        <v>0</v>
      </c>
      <c r="S145" s="2"/>
      <c r="T145" s="2">
        <v>12.26</v>
      </c>
      <c r="U145" s="2"/>
      <c r="V145" s="19">
        <f t="shared" si="30"/>
        <v>2.4175837944649307E-6</v>
      </c>
      <c r="W145" s="2"/>
      <c r="X145" s="2">
        <f t="shared" si="31"/>
        <v>-12.26</v>
      </c>
      <c r="Y145" s="2"/>
      <c r="Z145" s="19">
        <f t="shared" si="32"/>
        <v>-1</v>
      </c>
    </row>
    <row r="146" spans="1:26" s="24" customFormat="1" hidden="1" outlineLevel="1" x14ac:dyDescent="0.25">
      <c r="A146" s="44"/>
      <c r="B146" s="11" t="str">
        <f>CONCATENATE("          ", "5525", " - ", "FREIGHT-IN-TEST FORMS")</f>
        <v xml:space="preserve">          5525 - FREIGHT-IN-TEST FORMS</v>
      </c>
      <c r="C146" s="11"/>
      <c r="D146" s="2"/>
      <c r="E146" s="2"/>
      <c r="F146" s="19">
        <f t="shared" si="25"/>
        <v>0</v>
      </c>
      <c r="G146" s="2"/>
      <c r="H146" s="2">
        <v>335.7</v>
      </c>
      <c r="I146" s="2"/>
      <c r="J146" s="19">
        <f t="shared" si="26"/>
        <v>7.4539894342086767E-4</v>
      </c>
      <c r="K146" s="2"/>
      <c r="L146" s="2">
        <f t="shared" si="27"/>
        <v>-335.7</v>
      </c>
      <c r="M146" s="2"/>
      <c r="N146" s="19">
        <f t="shared" si="28"/>
        <v>-1</v>
      </c>
      <c r="O146" s="11"/>
      <c r="P146" s="2">
        <v>48.14</v>
      </c>
      <c r="Q146" s="2"/>
      <c r="R146" s="19">
        <f t="shared" si="29"/>
        <v>1.9529547085056475E-5</v>
      </c>
      <c r="S146" s="2"/>
      <c r="T146" s="2">
        <v>374.92</v>
      </c>
      <c r="U146" s="2"/>
      <c r="V146" s="19">
        <f t="shared" si="30"/>
        <v>7.3931526608547466E-5</v>
      </c>
      <c r="W146" s="2"/>
      <c r="X146" s="2">
        <f t="shared" si="31"/>
        <v>-326.78000000000003</v>
      </c>
      <c r="Y146" s="2"/>
      <c r="Z146" s="19">
        <f t="shared" si="32"/>
        <v>-0.87159927451189589</v>
      </c>
    </row>
    <row r="147" spans="1:26" s="24" customFormat="1" hidden="1" outlineLevel="1" x14ac:dyDescent="0.25">
      <c r="A147" s="44"/>
      <c r="B147" s="11" t="str">
        <f>CONCATENATE("          ", "5526", " - ", "FREIGHT-IN-WRITING INSTRUMENTS")</f>
        <v xml:space="preserve">          5526 - FREIGHT-IN-WRITING INSTRUMENTS</v>
      </c>
      <c r="C147" s="11"/>
      <c r="D147" s="2"/>
      <c r="E147" s="2"/>
      <c r="F147" s="19">
        <f t="shared" si="25"/>
        <v>0</v>
      </c>
      <c r="G147" s="2"/>
      <c r="H147" s="2">
        <v>160.91999999999999</v>
      </c>
      <c r="I147" s="2"/>
      <c r="J147" s="19">
        <f t="shared" si="26"/>
        <v>3.5731187958083413E-4</v>
      </c>
      <c r="K147" s="2"/>
      <c r="L147" s="2">
        <f t="shared" si="27"/>
        <v>-160.91999999999999</v>
      </c>
      <c r="M147" s="2"/>
      <c r="N147" s="19">
        <f t="shared" si="28"/>
        <v>-1</v>
      </c>
      <c r="O147" s="11"/>
      <c r="P147" s="2"/>
      <c r="Q147" s="2"/>
      <c r="R147" s="19">
        <f t="shared" si="29"/>
        <v>0</v>
      </c>
      <c r="S147" s="2"/>
      <c r="T147" s="2">
        <v>217.49</v>
      </c>
      <c r="U147" s="2"/>
      <c r="V147" s="19">
        <f t="shared" si="30"/>
        <v>4.2887463251074861E-5</v>
      </c>
      <c r="W147" s="2"/>
      <c r="X147" s="2">
        <f t="shared" si="31"/>
        <v>-217.49</v>
      </c>
      <c r="Y147" s="2"/>
      <c r="Z147" s="19">
        <f t="shared" si="32"/>
        <v>-1</v>
      </c>
    </row>
    <row r="148" spans="1:26" s="24" customFormat="1" hidden="1" outlineLevel="1" x14ac:dyDescent="0.25">
      <c r="A148" s="44"/>
      <c r="B148" s="11" t="str">
        <f>CONCATENATE("          ", "5527", " - ", "FREIGHT-IN-SCHOOL SUPPLIES")</f>
        <v xml:space="preserve">          5527 - FREIGHT-IN-SCHOOL SUPPLIES</v>
      </c>
      <c r="C148" s="11"/>
      <c r="D148" s="2"/>
      <c r="E148" s="2"/>
      <c r="F148" s="19">
        <f t="shared" si="25"/>
        <v>0</v>
      </c>
      <c r="G148" s="2"/>
      <c r="H148" s="2">
        <v>134.09</v>
      </c>
      <c r="I148" s="2"/>
      <c r="J148" s="19">
        <f t="shared" si="26"/>
        <v>2.9773769533304783E-4</v>
      </c>
      <c r="K148" s="2"/>
      <c r="L148" s="2">
        <f t="shared" si="27"/>
        <v>-134.09</v>
      </c>
      <c r="M148" s="2"/>
      <c r="N148" s="19">
        <f t="shared" si="28"/>
        <v>-1</v>
      </c>
      <c r="O148" s="11"/>
      <c r="P148" s="2">
        <v>56</v>
      </c>
      <c r="Q148" s="2"/>
      <c r="R148" s="19">
        <f t="shared" si="29"/>
        <v>2.2718210152953109E-5</v>
      </c>
      <c r="S148" s="2"/>
      <c r="T148" s="2">
        <v>872.58</v>
      </c>
      <c r="U148" s="2"/>
      <c r="V148" s="19">
        <f t="shared" si="30"/>
        <v>1.7206649815450321E-4</v>
      </c>
      <c r="W148" s="2"/>
      <c r="X148" s="2">
        <f t="shared" si="31"/>
        <v>-816.58</v>
      </c>
      <c r="Y148" s="2"/>
      <c r="Z148" s="19">
        <f t="shared" si="32"/>
        <v>-0.93582250338077888</v>
      </c>
    </row>
    <row r="149" spans="1:26" s="24" customFormat="1" hidden="1" outlineLevel="1" x14ac:dyDescent="0.25">
      <c r="A149" s="44"/>
      <c r="B149" s="11" t="str">
        <f>CONCATENATE("          ", "5528", " - ", "FREIGHT-IN-ART/TECH")</f>
        <v xml:space="preserve">          5528 - FREIGHT-IN-ART/TECH</v>
      </c>
      <c r="C149" s="11"/>
      <c r="D149" s="2">
        <v>1.72</v>
      </c>
      <c r="E149" s="2"/>
      <c r="F149" s="19">
        <f t="shared" si="25"/>
        <v>1.5499313074049045E-5</v>
      </c>
      <c r="G149" s="2"/>
      <c r="H149" s="2">
        <v>105.06</v>
      </c>
      <c r="I149" s="2"/>
      <c r="J149" s="19">
        <f t="shared" si="26"/>
        <v>2.3327856120284885E-4</v>
      </c>
      <c r="K149" s="2"/>
      <c r="L149" s="2">
        <f t="shared" si="27"/>
        <v>-103.34</v>
      </c>
      <c r="M149" s="2"/>
      <c r="N149" s="19">
        <f t="shared" si="28"/>
        <v>-0.98362840281743769</v>
      </c>
      <c r="O149" s="11"/>
      <c r="P149" s="2">
        <v>285.92</v>
      </c>
      <c r="Q149" s="2"/>
      <c r="R149" s="19">
        <f t="shared" si="29"/>
        <v>1.1599269012379203E-4</v>
      </c>
      <c r="S149" s="2"/>
      <c r="T149" s="2">
        <v>923.5</v>
      </c>
      <c r="U149" s="2"/>
      <c r="V149" s="19">
        <f t="shared" si="30"/>
        <v>1.8210755580655495E-4</v>
      </c>
      <c r="W149" s="2"/>
      <c r="X149" s="2">
        <f t="shared" si="31"/>
        <v>-637.57999999999993</v>
      </c>
      <c r="Y149" s="2"/>
      <c r="Z149" s="19">
        <f t="shared" si="32"/>
        <v>-0.69039523551705462</v>
      </c>
    </row>
    <row r="150" spans="1:26" s="24" customFormat="1" hidden="1" outlineLevel="1" x14ac:dyDescent="0.25">
      <c r="A150" s="44"/>
      <c r="B150" s="11" t="str">
        <f>CONCATENATE("          ", "5540", " - ", "FREIGHT-IN-LOGO CLOTHING")</f>
        <v xml:space="preserve">          5540 - FREIGHT-IN-LOGO CLOTHING</v>
      </c>
      <c r="C150" s="11"/>
      <c r="D150" s="2">
        <v>1333.15</v>
      </c>
      <c r="E150" s="2"/>
      <c r="F150" s="19">
        <f t="shared" si="25"/>
        <v>1.2013319316667725E-2</v>
      </c>
      <c r="G150" s="2"/>
      <c r="H150" s="2">
        <v>6133.89</v>
      </c>
      <c r="I150" s="2"/>
      <c r="J150" s="19">
        <f t="shared" si="26"/>
        <v>1.3619884197378094E-2</v>
      </c>
      <c r="K150" s="2"/>
      <c r="L150" s="2">
        <f t="shared" si="27"/>
        <v>-4800.74</v>
      </c>
      <c r="M150" s="2"/>
      <c r="N150" s="19">
        <f t="shared" si="28"/>
        <v>-0.78265831307701961</v>
      </c>
      <c r="O150" s="11"/>
      <c r="P150" s="2">
        <v>4535.4799999999996</v>
      </c>
      <c r="Q150" s="2"/>
      <c r="R150" s="19">
        <f t="shared" si="29"/>
        <v>1.8399640675806385E-3</v>
      </c>
      <c r="S150" s="2"/>
      <c r="T150" s="2">
        <v>20241.329999999998</v>
      </c>
      <c r="U150" s="2"/>
      <c r="V150" s="19">
        <f t="shared" si="30"/>
        <v>3.9914446481579798E-3</v>
      </c>
      <c r="W150" s="2"/>
      <c r="X150" s="2">
        <f t="shared" si="31"/>
        <v>-15705.849999999999</v>
      </c>
      <c r="Y150" s="2"/>
      <c r="Z150" s="19">
        <f t="shared" si="32"/>
        <v>-0.77592974374707591</v>
      </c>
    </row>
    <row r="151" spans="1:26" s="24" customFormat="1" hidden="1" outlineLevel="1" x14ac:dyDescent="0.25">
      <c r="A151" s="44"/>
      <c r="B151" s="11" t="str">
        <f>CONCATENATE("          ", "5541", " - ", "FREIGHT-IN-LOGO GIFTS")</f>
        <v xml:space="preserve">          5541 - FREIGHT-IN-LOGO GIFTS</v>
      </c>
      <c r="C151" s="11"/>
      <c r="D151" s="2">
        <v>301.06</v>
      </c>
      <c r="E151" s="2"/>
      <c r="F151" s="19">
        <f t="shared" si="25"/>
        <v>2.7129204616704685E-3</v>
      </c>
      <c r="G151" s="2"/>
      <c r="H151" s="2">
        <v>1315.98</v>
      </c>
      <c r="I151" s="2"/>
      <c r="J151" s="19">
        <f t="shared" si="26"/>
        <v>2.9220437937533318E-3</v>
      </c>
      <c r="K151" s="2"/>
      <c r="L151" s="2">
        <f t="shared" si="27"/>
        <v>-1014.9200000000001</v>
      </c>
      <c r="M151" s="2"/>
      <c r="N151" s="19">
        <f t="shared" si="28"/>
        <v>-0.77122752625419844</v>
      </c>
      <c r="O151" s="11"/>
      <c r="P151" s="2">
        <v>1435.87</v>
      </c>
      <c r="Q151" s="2"/>
      <c r="R151" s="19">
        <f t="shared" si="29"/>
        <v>5.8250707879144246E-4</v>
      </c>
      <c r="S151" s="2"/>
      <c r="T151" s="2">
        <v>2852.83</v>
      </c>
      <c r="U151" s="2"/>
      <c r="V151" s="19">
        <f t="shared" si="30"/>
        <v>5.6255755108999903E-4</v>
      </c>
      <c r="W151" s="2"/>
      <c r="X151" s="2">
        <f t="shared" si="31"/>
        <v>-1416.96</v>
      </c>
      <c r="Y151" s="2"/>
      <c r="Z151" s="19">
        <f t="shared" si="32"/>
        <v>-0.49668574713530078</v>
      </c>
    </row>
    <row r="152" spans="1:26" s="24" customFormat="1" hidden="1" outlineLevel="1" x14ac:dyDescent="0.25">
      <c r="A152" s="44"/>
      <c r="B152" s="11" t="str">
        <f>CONCATENATE("          ", "5542", " - ", "FREIGHT-IN-EVERYDAY GIFTS")</f>
        <v xml:space="preserve">          5542 - FREIGHT-IN-EVERYDAY GIFTS</v>
      </c>
      <c r="C152" s="11"/>
      <c r="D152" s="2">
        <v>21</v>
      </c>
      <c r="E152" s="2"/>
      <c r="F152" s="19">
        <f t="shared" si="25"/>
        <v>1.8923579915990112E-4</v>
      </c>
      <c r="G152" s="2"/>
      <c r="H152" s="2">
        <v>745.78</v>
      </c>
      <c r="I152" s="2"/>
      <c r="J152" s="19">
        <f t="shared" si="26"/>
        <v>1.6559536015025758E-3</v>
      </c>
      <c r="K152" s="2"/>
      <c r="L152" s="2">
        <f t="shared" si="27"/>
        <v>-724.78</v>
      </c>
      <c r="M152" s="2"/>
      <c r="N152" s="19">
        <f t="shared" si="28"/>
        <v>-0.9718415618547025</v>
      </c>
      <c r="O152" s="11"/>
      <c r="P152" s="2">
        <v>196.55</v>
      </c>
      <c r="Q152" s="2"/>
      <c r="R152" s="19">
        <f t="shared" si="29"/>
        <v>7.9736860813623816E-5</v>
      </c>
      <c r="S152" s="2"/>
      <c r="T152" s="2">
        <v>1513.51</v>
      </c>
      <c r="U152" s="2"/>
      <c r="V152" s="19">
        <f t="shared" si="30"/>
        <v>2.9845328293316616E-4</v>
      </c>
      <c r="W152" s="2"/>
      <c r="X152" s="2">
        <f t="shared" si="31"/>
        <v>-1316.96</v>
      </c>
      <c r="Y152" s="2"/>
      <c r="Z152" s="19">
        <f t="shared" si="32"/>
        <v>-0.87013630567356681</v>
      </c>
    </row>
    <row r="153" spans="1:26" s="24" customFormat="1" hidden="1" outlineLevel="1" x14ac:dyDescent="0.25">
      <c r="A153" s="44"/>
      <c r="B153" s="11" t="str">
        <f>CONCATENATE("          ", "5543", " - ", "FREIGHT-IN-CARDS")</f>
        <v xml:space="preserve">          5543 - FREIGHT-IN-CARDS</v>
      </c>
      <c r="C153" s="11"/>
      <c r="D153" s="2">
        <v>6323.12</v>
      </c>
      <c r="E153" s="2"/>
      <c r="F153" s="19">
        <f t="shared" si="25"/>
        <v>5.6979079351616856E-2</v>
      </c>
      <c r="G153" s="2"/>
      <c r="H153" s="2">
        <v>39.01</v>
      </c>
      <c r="I153" s="2"/>
      <c r="J153" s="19">
        <f t="shared" si="26"/>
        <v>8.661904314223427E-5</v>
      </c>
      <c r="K153" s="2"/>
      <c r="L153" s="2">
        <f t="shared" si="27"/>
        <v>6284.11</v>
      </c>
      <c r="M153" s="2"/>
      <c r="N153" s="19">
        <f t="shared" si="28"/>
        <v>161.08972058446551</v>
      </c>
      <c r="O153" s="11"/>
      <c r="P153" s="2">
        <v>6512.31</v>
      </c>
      <c r="Q153" s="2"/>
      <c r="R153" s="19">
        <f t="shared" si="29"/>
        <v>2.6419290564496083E-3</v>
      </c>
      <c r="S153" s="2"/>
      <c r="T153" s="2">
        <v>43.59</v>
      </c>
      <c r="U153" s="2"/>
      <c r="V153" s="19">
        <f t="shared" si="30"/>
        <v>8.595634388313731E-6</v>
      </c>
      <c r="W153" s="2"/>
      <c r="X153" s="2">
        <f t="shared" si="31"/>
        <v>6468.72</v>
      </c>
      <c r="Y153" s="2"/>
      <c r="Z153" s="19">
        <f t="shared" si="32"/>
        <v>148.39917412250514</v>
      </c>
    </row>
    <row r="154" spans="1:26" s="24" customFormat="1" hidden="1" outlineLevel="1" x14ac:dyDescent="0.25">
      <c r="A154" s="44"/>
      <c r="B154" s="11" t="str">
        <f>CONCATENATE("          ", "5544", " - ", "FREIGHT-IN-ACCESSORIES")</f>
        <v xml:space="preserve">          5544 - FREIGHT-IN-ACCESSORIES</v>
      </c>
      <c r="C154" s="11"/>
      <c r="D154" s="2"/>
      <c r="E154" s="2"/>
      <c r="F154" s="19">
        <f t="shared" si="25"/>
        <v>0</v>
      </c>
      <c r="G154" s="2"/>
      <c r="H154" s="2">
        <v>54.82</v>
      </c>
      <c r="I154" s="2"/>
      <c r="J154" s="19">
        <f t="shared" si="26"/>
        <v>1.2172406934266299E-4</v>
      </c>
      <c r="K154" s="2"/>
      <c r="L154" s="2">
        <f t="shared" si="27"/>
        <v>-54.82</v>
      </c>
      <c r="M154" s="2"/>
      <c r="N154" s="19">
        <f t="shared" si="28"/>
        <v>-1</v>
      </c>
      <c r="O154" s="11"/>
      <c r="P154" s="2"/>
      <c r="Q154" s="2"/>
      <c r="R154" s="19">
        <f t="shared" si="29"/>
        <v>0</v>
      </c>
      <c r="S154" s="2"/>
      <c r="T154" s="2">
        <v>413.91</v>
      </c>
      <c r="U154" s="2"/>
      <c r="V154" s="19">
        <f t="shared" si="30"/>
        <v>8.1620074091923292E-5</v>
      </c>
      <c r="W154" s="2"/>
      <c r="X154" s="2">
        <f t="shared" si="31"/>
        <v>-413.91</v>
      </c>
      <c r="Y154" s="2"/>
      <c r="Z154" s="19">
        <f t="shared" si="32"/>
        <v>-1</v>
      </c>
    </row>
    <row r="155" spans="1:26" s="24" customFormat="1" hidden="1" outlineLevel="1" x14ac:dyDescent="0.25">
      <c r="A155" s="44"/>
      <c r="B155" s="11" t="str">
        <f>CONCATENATE("          ", "5545", " - ", "FREIGHT-IN-SPECIAL ORDERS")</f>
        <v xml:space="preserve">          5545 - FREIGHT-IN-SPECIAL ORDERS</v>
      </c>
      <c r="C155" s="11"/>
      <c r="D155" s="2">
        <v>37.590000000000003</v>
      </c>
      <c r="E155" s="2"/>
      <c r="F155" s="19">
        <f t="shared" si="25"/>
        <v>3.3873208049622303E-4</v>
      </c>
      <c r="G155" s="2"/>
      <c r="H155" s="2">
        <v>158.08000000000001</v>
      </c>
      <c r="I155" s="2"/>
      <c r="J155" s="19">
        <f t="shared" si="26"/>
        <v>3.5100585336899243E-4</v>
      </c>
      <c r="K155" s="2"/>
      <c r="L155" s="2">
        <f t="shared" si="27"/>
        <v>-120.49000000000001</v>
      </c>
      <c r="M155" s="2"/>
      <c r="N155" s="19">
        <f t="shared" si="28"/>
        <v>-0.76220900809716596</v>
      </c>
      <c r="O155" s="11"/>
      <c r="P155" s="2">
        <v>887.86</v>
      </c>
      <c r="Q155" s="2"/>
      <c r="R155" s="19">
        <f t="shared" si="29"/>
        <v>3.6018910832858836E-4</v>
      </c>
      <c r="S155" s="2"/>
      <c r="T155" s="2">
        <v>505.06</v>
      </c>
      <c r="U155" s="2"/>
      <c r="V155" s="19">
        <f t="shared" si="30"/>
        <v>9.9594198306073245E-5</v>
      </c>
      <c r="W155" s="2"/>
      <c r="X155" s="2">
        <f t="shared" si="31"/>
        <v>382.8</v>
      </c>
      <c r="Y155" s="2"/>
      <c r="Z155" s="19">
        <f t="shared" si="32"/>
        <v>0.75792975092068271</v>
      </c>
    </row>
    <row r="156" spans="1:26" s="24" customFormat="1" hidden="1" outlineLevel="1" x14ac:dyDescent="0.25">
      <c r="A156" s="44"/>
      <c r="B156" s="11" t="str">
        <f>CONCATENATE("          ", "5592", " - ", "FREIGHT-IN-GRAD MERCH")</f>
        <v xml:space="preserve">          5592 - FREIGHT-IN-GRAD MERCH</v>
      </c>
      <c r="C156" s="11"/>
      <c r="D156" s="2"/>
      <c r="E156" s="2"/>
      <c r="F156" s="19">
        <f t="shared" si="25"/>
        <v>0</v>
      </c>
      <c r="G156" s="2"/>
      <c r="H156" s="2">
        <v>35</v>
      </c>
      <c r="I156" s="2"/>
      <c r="J156" s="19">
        <f t="shared" si="26"/>
        <v>7.7715111765654956E-5</v>
      </c>
      <c r="K156" s="2"/>
      <c r="L156" s="2">
        <f t="shared" si="27"/>
        <v>-35</v>
      </c>
      <c r="M156" s="2"/>
      <c r="N156" s="19">
        <f t="shared" si="28"/>
        <v>-1</v>
      </c>
      <c r="O156" s="11"/>
      <c r="P156" s="2"/>
      <c r="Q156" s="2"/>
      <c r="R156" s="19">
        <f t="shared" si="29"/>
        <v>0</v>
      </c>
      <c r="S156" s="2"/>
      <c r="T156" s="2">
        <v>105.78</v>
      </c>
      <c r="U156" s="2"/>
      <c r="V156" s="19">
        <f t="shared" si="30"/>
        <v>2.0859054957463325E-5</v>
      </c>
      <c r="W156" s="2"/>
      <c r="X156" s="2">
        <f t="shared" si="31"/>
        <v>-105.78</v>
      </c>
      <c r="Y156" s="2"/>
      <c r="Z156" s="19">
        <f t="shared" si="32"/>
        <v>-1</v>
      </c>
    </row>
    <row r="157" spans="1:26" x14ac:dyDescent="0.25">
      <c r="A157" s="9"/>
      <c r="B157" s="10"/>
      <c r="C157" s="10"/>
      <c r="D157" s="3"/>
      <c r="E157" s="3"/>
      <c r="F157" s="8"/>
      <c r="G157" s="3"/>
      <c r="H157" s="3"/>
      <c r="I157" s="3"/>
      <c r="J157" s="8"/>
      <c r="K157" s="3"/>
      <c r="L157" s="3"/>
      <c r="M157" s="3"/>
      <c r="N157" s="8"/>
      <c r="O157" s="10"/>
      <c r="P157" s="3"/>
      <c r="Q157" s="3"/>
      <c r="R157" s="8"/>
      <c r="S157" s="3"/>
      <c r="T157" s="3"/>
      <c r="U157" s="3"/>
      <c r="V157" s="8"/>
      <c r="W157" s="3"/>
      <c r="X157" s="3"/>
      <c r="Y157" s="3"/>
      <c r="Z157" s="8"/>
    </row>
    <row r="158" spans="1:26" s="23" customFormat="1" x14ac:dyDescent="0.25">
      <c r="A158" s="10"/>
      <c r="B158" s="28" t="s">
        <v>6</v>
      </c>
      <c r="C158" s="28"/>
      <c r="D158" s="20">
        <f>D12-D106</f>
        <v>49628.560000000019</v>
      </c>
      <c r="E158" s="14"/>
      <c r="F158" s="22">
        <f>IF(D$12=0,0,D158/D$12)</f>
        <v>0.44721429584548128</v>
      </c>
      <c r="G158" s="14"/>
      <c r="H158" s="20">
        <f>H12-H106</f>
        <v>239292.17999999967</v>
      </c>
      <c r="I158" s="14"/>
      <c r="J158" s="22">
        <f>IF(H$12=0,0,H158/H$12)</f>
        <v>0.53133195752420559</v>
      </c>
      <c r="K158" s="15"/>
      <c r="L158" s="20">
        <f>+D158-H158</f>
        <v>-189663.61999999965</v>
      </c>
      <c r="M158" s="15"/>
      <c r="N158" s="22">
        <f>IF(H158=0,0,L158/H158)</f>
        <v>-0.7926026667482402</v>
      </c>
      <c r="O158" s="29"/>
      <c r="P158" s="20">
        <f>P12-P106</f>
        <v>863208.88999999943</v>
      </c>
      <c r="Q158" s="14"/>
      <c r="R158" s="22">
        <f>IF(P$12=0,0,P158/P$12)</f>
        <v>0.35018858873066733</v>
      </c>
      <c r="S158" s="14"/>
      <c r="T158" s="20">
        <f>T12-T106</f>
        <v>2044915.0299999961</v>
      </c>
      <c r="U158" s="14"/>
      <c r="V158" s="22">
        <f>IF(T$12=0,0,T158/T$12)</f>
        <v>0.40324253161384649</v>
      </c>
      <c r="W158" s="15"/>
      <c r="X158" s="20">
        <f>+P158-T158</f>
        <v>-1181706.1399999966</v>
      </c>
      <c r="Y158" s="15"/>
      <c r="Z158" s="22">
        <f>IF(T158=0,0,X158/T158)</f>
        <v>-0.57787542399744551</v>
      </c>
    </row>
    <row r="159" spans="1:26" x14ac:dyDescent="0.25">
      <c r="A159" s="9"/>
      <c r="B159" s="10"/>
      <c r="C159" s="9"/>
      <c r="D159" s="1"/>
      <c r="E159" s="1"/>
      <c r="F159" s="5"/>
      <c r="G159" s="1"/>
      <c r="H159" s="1"/>
      <c r="I159" s="1"/>
      <c r="J159" s="5"/>
      <c r="K159" s="1"/>
      <c r="L159" s="1"/>
      <c r="M159" s="1"/>
      <c r="N159" s="5"/>
      <c r="O159" s="37"/>
      <c r="P159" s="1"/>
      <c r="Q159" s="1"/>
      <c r="R159" s="5"/>
      <c r="S159" s="1"/>
      <c r="T159" s="1"/>
      <c r="U159" s="1"/>
      <c r="V159" s="5"/>
      <c r="W159" s="1"/>
      <c r="X159" s="1"/>
      <c r="Y159" s="1"/>
      <c r="Z159" s="5"/>
    </row>
    <row r="160" spans="1:26" s="23" customFormat="1" x14ac:dyDescent="0.25">
      <c r="A160" s="10"/>
      <c r="B160" s="29" t="s">
        <v>9</v>
      </c>
      <c r="C160" s="10"/>
      <c r="D160" s="21">
        <f>SUM(OSRRefD22x_0)</f>
        <v>235558.71999999994</v>
      </c>
      <c r="E160" s="21"/>
      <c r="F160" s="35">
        <f t="shared" ref="F160:F171" si="33">IF(D$12=0,0,D160/D$12)</f>
        <v>2.1226734584896847</v>
      </c>
      <c r="G160" s="21"/>
      <c r="H160" s="21">
        <f>SUM(OSRRefH22x_0)</f>
        <v>372980.02</v>
      </c>
      <c r="I160" s="21"/>
      <c r="J160" s="35">
        <f t="shared" ref="J160:J171" si="34">IF(H$12=0,0,H160/H$12)</f>
        <v>0.82817668401874922</v>
      </c>
      <c r="K160" s="4"/>
      <c r="L160" s="21">
        <f t="shared" ref="L160:L171" si="35">+D160-H160</f>
        <v>-137421.30000000008</v>
      </c>
      <c r="M160" s="4"/>
      <c r="N160" s="35">
        <f t="shared" ref="N160:N171" si="36">IF(H160=0,0,L160/H160)</f>
        <v>-0.368441451635935</v>
      </c>
      <c r="O160" s="10"/>
      <c r="P160" s="21">
        <f>SUM(OSRRefP22x_0)</f>
        <v>1358799.85</v>
      </c>
      <c r="Q160" s="21"/>
      <c r="R160" s="35">
        <f t="shared" ref="R160:R171" si="37">IF(P$12=0,0,P160/P$12)</f>
        <v>0.55124108121609217</v>
      </c>
      <c r="S160" s="21"/>
      <c r="T160" s="21">
        <f>SUM(OSRRefT22x_0)</f>
        <v>1896003.7299999995</v>
      </c>
      <c r="U160" s="21"/>
      <c r="V160" s="35">
        <f t="shared" ref="V160:V171" si="38">IF(T$12=0,0,T160/T$12)</f>
        <v>0.37387829460791688</v>
      </c>
      <c r="W160" s="4"/>
      <c r="X160" s="21">
        <f t="shared" ref="X160:X171" si="39">+P160-T160</f>
        <v>-537203.87999999942</v>
      </c>
      <c r="Y160" s="4"/>
      <c r="Z160" s="35">
        <f t="shared" ref="Z160:Z171" si="40">IF(T160=0,0,X160/T160)</f>
        <v>-0.28333482234235879</v>
      </c>
    </row>
    <row r="161" spans="1:26" s="26" customFormat="1" outlineLevel="1" collapsed="1" x14ac:dyDescent="0.25">
      <c r="A161" s="27"/>
      <c r="B161" s="13" t="str">
        <f>CONCATENATE("     ","*Benefits                                         ")</f>
        <v xml:space="preserve">     *Benefits                                         </v>
      </c>
      <c r="C161" s="13"/>
      <c r="D161" s="1">
        <f>SUM(OSRRefD22_0x_0)</f>
        <v>43633.14</v>
      </c>
      <c r="E161" s="1"/>
      <c r="F161" s="5">
        <f t="shared" si="33"/>
        <v>0.39318819608361183</v>
      </c>
      <c r="G161" s="1"/>
      <c r="H161" s="1">
        <f>SUM(OSRRefH22_0x_0)</f>
        <v>42703.780000000006</v>
      </c>
      <c r="I161" s="1"/>
      <c r="J161" s="5">
        <f t="shared" si="34"/>
        <v>9.4820829586169747E-2</v>
      </c>
      <c r="K161" s="1"/>
      <c r="L161" s="1">
        <f t="shared" si="35"/>
        <v>929.35999999999331</v>
      </c>
      <c r="M161" s="1"/>
      <c r="N161" s="5">
        <f t="shared" si="36"/>
        <v>2.1762944638624337E-2</v>
      </c>
      <c r="O161" s="13"/>
      <c r="P161" s="1">
        <f>SUM(OSRRefP22_0x_0)</f>
        <v>224541.77</v>
      </c>
      <c r="Q161" s="1"/>
      <c r="R161" s="5">
        <f t="shared" si="37"/>
        <v>9.1092627124572528E-2</v>
      </c>
      <c r="S161" s="1"/>
      <c r="T161" s="1">
        <f>SUM(OSRRefT22_0x_0)</f>
        <v>260129.24000000002</v>
      </c>
      <c r="U161" s="1"/>
      <c r="V161" s="5">
        <f t="shared" si="38"/>
        <v>5.1295614607706257E-2</v>
      </c>
      <c r="W161" s="1"/>
      <c r="X161" s="1">
        <f t="shared" si="39"/>
        <v>-35587.47000000003</v>
      </c>
      <c r="Y161" s="1"/>
      <c r="Z161" s="5">
        <f t="shared" si="40"/>
        <v>-0.13680688107188577</v>
      </c>
    </row>
    <row r="162" spans="1:26" s="24" customFormat="1" hidden="1" outlineLevel="2" x14ac:dyDescent="0.25">
      <c r="A162" s="25"/>
      <c r="B162" s="11" t="str">
        <f>CONCATENATE("          ", "6111", " - ", "F.I.C.A.")</f>
        <v xml:space="preserve">          6111 - F.I.C.A.</v>
      </c>
      <c r="C162" s="11"/>
      <c r="D162" s="6">
        <v>6492.33</v>
      </c>
      <c r="E162" s="2"/>
      <c r="F162" s="7">
        <f t="shared" si="33"/>
        <v>5.8503869331419094E-2</v>
      </c>
      <c r="G162" s="2"/>
      <c r="H162" s="6">
        <v>6114.18</v>
      </c>
      <c r="I162" s="2"/>
      <c r="J162" s="7">
        <f t="shared" si="34"/>
        <v>1.3576119487295207E-2</v>
      </c>
      <c r="K162" s="2"/>
      <c r="L162" s="6">
        <f t="shared" si="35"/>
        <v>378.14999999999964</v>
      </c>
      <c r="M162" s="2"/>
      <c r="N162" s="7">
        <f t="shared" si="36"/>
        <v>6.1848031951954249E-2</v>
      </c>
      <c r="O162" s="11"/>
      <c r="P162" s="6">
        <v>48200.2</v>
      </c>
      <c r="Q162" s="2"/>
      <c r="R162" s="7">
        <f t="shared" si="37"/>
        <v>1.9553969160970901E-2</v>
      </c>
      <c r="S162" s="2"/>
      <c r="T162" s="6">
        <v>54314.93</v>
      </c>
      <c r="U162" s="2"/>
      <c r="V162" s="7">
        <f t="shared" si="38"/>
        <v>1.0710513422960612E-2</v>
      </c>
      <c r="W162" s="2"/>
      <c r="X162" s="6">
        <f t="shared" si="39"/>
        <v>-6114.7300000000032</v>
      </c>
      <c r="Y162" s="2"/>
      <c r="Z162" s="7">
        <f t="shared" si="40"/>
        <v>-0.11257917482357067</v>
      </c>
    </row>
    <row r="163" spans="1:26" s="24" customFormat="1" hidden="1" outlineLevel="2" x14ac:dyDescent="0.25">
      <c r="A163" s="25"/>
      <c r="B163" s="11" t="str">
        <f>CONCATENATE("          ", "6112", " - ", "COMPENSATION INSURANCE")</f>
        <v xml:space="preserve">          6112 - COMPENSATION INSURANCE</v>
      </c>
      <c r="C163" s="11"/>
      <c r="D163" s="6">
        <v>2778.24</v>
      </c>
      <c r="E163" s="2"/>
      <c r="F163" s="7">
        <f t="shared" si="33"/>
        <v>2.5035355555143031E-2</v>
      </c>
      <c r="G163" s="2"/>
      <c r="H163" s="6">
        <v>2155.17</v>
      </c>
      <c r="I163" s="2"/>
      <c r="J163" s="7">
        <f t="shared" si="34"/>
        <v>4.7854079263996169E-3</v>
      </c>
      <c r="K163" s="2"/>
      <c r="L163" s="6">
        <f t="shared" si="35"/>
        <v>623.06999999999971</v>
      </c>
      <c r="M163" s="2"/>
      <c r="N163" s="7">
        <f t="shared" si="36"/>
        <v>0.28910480379738013</v>
      </c>
      <c r="O163" s="11"/>
      <c r="P163" s="6">
        <v>12736.66</v>
      </c>
      <c r="Q163" s="2"/>
      <c r="R163" s="7">
        <f t="shared" si="37"/>
        <v>5.1670378308341387E-3</v>
      </c>
      <c r="S163" s="2"/>
      <c r="T163" s="6">
        <v>10404.049999999999</v>
      </c>
      <c r="U163" s="2"/>
      <c r="V163" s="7">
        <f t="shared" si="38"/>
        <v>2.0516038072433004E-3</v>
      </c>
      <c r="W163" s="2"/>
      <c r="X163" s="6">
        <f t="shared" si="39"/>
        <v>2332.6100000000006</v>
      </c>
      <c r="Y163" s="2"/>
      <c r="Z163" s="7">
        <f t="shared" si="40"/>
        <v>0.22420211359999237</v>
      </c>
    </row>
    <row r="164" spans="1:26" s="24" customFormat="1" hidden="1" outlineLevel="2" x14ac:dyDescent="0.25">
      <c r="A164" s="25"/>
      <c r="B164" s="11" t="str">
        <f>CONCATENATE("          ", "6113", " - ", "GROUP INSURANCE")</f>
        <v xml:space="preserve">          6113 - GROUP INSURANCE</v>
      </c>
      <c r="C164" s="11"/>
      <c r="D164" s="6">
        <v>14801.22</v>
      </c>
      <c r="E164" s="2"/>
      <c r="F164" s="7">
        <f t="shared" si="33"/>
        <v>0.13337717596388152</v>
      </c>
      <c r="G164" s="2"/>
      <c r="H164" s="6">
        <v>18682.73</v>
      </c>
      <c r="I164" s="2"/>
      <c r="J164" s="7">
        <f t="shared" si="34"/>
        <v>4.1483727143930137E-2</v>
      </c>
      <c r="K164" s="2"/>
      <c r="L164" s="6">
        <f t="shared" si="35"/>
        <v>-3881.51</v>
      </c>
      <c r="M164" s="2"/>
      <c r="N164" s="7">
        <f t="shared" si="36"/>
        <v>-0.20775925145843249</v>
      </c>
      <c r="O164" s="11"/>
      <c r="P164" s="6">
        <v>73387.430000000008</v>
      </c>
      <c r="Q164" s="2"/>
      <c r="R164" s="7">
        <f t="shared" si="37"/>
        <v>2.9771983166520282E-2</v>
      </c>
      <c r="S164" s="2"/>
      <c r="T164" s="6">
        <v>94252.33</v>
      </c>
      <c r="U164" s="2"/>
      <c r="V164" s="7">
        <f t="shared" si="38"/>
        <v>1.8585881370192563E-2</v>
      </c>
      <c r="W164" s="2"/>
      <c r="X164" s="6">
        <f t="shared" si="39"/>
        <v>-20864.899999999994</v>
      </c>
      <c r="Y164" s="2"/>
      <c r="Z164" s="7">
        <f t="shared" si="40"/>
        <v>-0.22137277667300101</v>
      </c>
    </row>
    <row r="165" spans="1:26" s="24" customFormat="1" hidden="1" outlineLevel="2" x14ac:dyDescent="0.25">
      <c r="A165" s="25"/>
      <c r="B165" s="11" t="str">
        <f>CONCATENATE("          ", "6114", " - ", "STATE UNEMPLOYMENT INSURANCE")</f>
        <v xml:space="preserve">          6114 - STATE UNEMPLOYMENT INSURANCE</v>
      </c>
      <c r="C165" s="11"/>
      <c r="D165" s="6">
        <v>510.18</v>
      </c>
      <c r="E165" s="2"/>
      <c r="F165" s="7">
        <f t="shared" si="33"/>
        <v>4.5973485721618268E-3</v>
      </c>
      <c r="G165" s="2"/>
      <c r="H165" s="6">
        <v>392.56</v>
      </c>
      <c r="I165" s="2"/>
      <c r="J165" s="7">
        <f t="shared" si="34"/>
        <v>8.7165269356358601E-4</v>
      </c>
      <c r="K165" s="2"/>
      <c r="L165" s="6">
        <f t="shared" si="35"/>
        <v>117.62</v>
      </c>
      <c r="M165" s="2"/>
      <c r="N165" s="7">
        <f t="shared" si="36"/>
        <v>0.29962298756877931</v>
      </c>
      <c r="O165" s="11"/>
      <c r="P165" s="6">
        <v>1948.27</v>
      </c>
      <c r="Q165" s="2"/>
      <c r="R165" s="7">
        <f t="shared" si="37"/>
        <v>7.9037870169096347E-4</v>
      </c>
      <c r="S165" s="2"/>
      <c r="T165" s="6">
        <v>2398.8000000000002</v>
      </c>
      <c r="U165" s="2"/>
      <c r="V165" s="7">
        <f t="shared" si="38"/>
        <v>4.7302610164457392E-4</v>
      </c>
      <c r="W165" s="2"/>
      <c r="X165" s="6">
        <f t="shared" si="39"/>
        <v>-450.5300000000002</v>
      </c>
      <c r="Y165" s="2"/>
      <c r="Z165" s="7">
        <f t="shared" si="40"/>
        <v>-0.18781474070368526</v>
      </c>
    </row>
    <row r="166" spans="1:26" s="24" customFormat="1" hidden="1" outlineLevel="2" x14ac:dyDescent="0.25">
      <c r="A166" s="25"/>
      <c r="B166" s="11" t="str">
        <f>CONCATENATE("          ", "6115", " - ", "P.E.R.S.")</f>
        <v xml:space="preserve">          6115 - P.E.R.S.</v>
      </c>
      <c r="C166" s="11"/>
      <c r="D166" s="6">
        <v>8378.09</v>
      </c>
      <c r="E166" s="2"/>
      <c r="F166" s="7">
        <f t="shared" si="33"/>
        <v>7.549688364683696E-2</v>
      </c>
      <c r="G166" s="2"/>
      <c r="H166" s="6">
        <v>6181.43</v>
      </c>
      <c r="I166" s="2"/>
      <c r="J166" s="7">
        <f t="shared" si="34"/>
        <v>1.3725443523473501E-2</v>
      </c>
      <c r="K166" s="2"/>
      <c r="L166" s="6">
        <f t="shared" si="35"/>
        <v>2196.66</v>
      </c>
      <c r="M166" s="2"/>
      <c r="N166" s="7">
        <f t="shared" si="36"/>
        <v>0.3553643736158138</v>
      </c>
      <c r="O166" s="11"/>
      <c r="P166" s="6">
        <v>33561.26</v>
      </c>
      <c r="Q166" s="2"/>
      <c r="R166" s="7">
        <f t="shared" si="37"/>
        <v>1.3615209958533913E-2</v>
      </c>
      <c r="S166" s="2"/>
      <c r="T166" s="6">
        <v>35822.460000000006</v>
      </c>
      <c r="U166" s="2"/>
      <c r="V166" s="7">
        <f t="shared" si="38"/>
        <v>7.0639313844916979E-3</v>
      </c>
      <c r="W166" s="2"/>
      <c r="X166" s="6">
        <f t="shared" si="39"/>
        <v>-2261.2000000000044</v>
      </c>
      <c r="Y166" s="2"/>
      <c r="Z166" s="7">
        <f t="shared" si="40"/>
        <v>-6.3122409795418957E-2</v>
      </c>
    </row>
    <row r="167" spans="1:26" s="24" customFormat="1" hidden="1" outlineLevel="2" x14ac:dyDescent="0.25">
      <c r="A167" s="25"/>
      <c r="B167" s="11" t="str">
        <f>CONCATENATE("          ", "6116", " - ", "EDUCATIONAL BENEFITS")</f>
        <v xml:space="preserve">          6116 - EDUCATIONAL BENEFITS</v>
      </c>
      <c r="C167" s="11"/>
      <c r="D167" s="6"/>
      <c r="E167" s="2"/>
      <c r="F167" s="7">
        <f t="shared" si="33"/>
        <v>0</v>
      </c>
      <c r="G167" s="2"/>
      <c r="H167" s="6"/>
      <c r="I167" s="2"/>
      <c r="J167" s="7">
        <f t="shared" si="34"/>
        <v>0</v>
      </c>
      <c r="K167" s="2"/>
      <c r="L167" s="6">
        <f t="shared" si="35"/>
        <v>0</v>
      </c>
      <c r="M167" s="2"/>
      <c r="N167" s="7">
        <f t="shared" si="36"/>
        <v>0</v>
      </c>
      <c r="O167" s="11"/>
      <c r="P167" s="6">
        <v>0</v>
      </c>
      <c r="Q167" s="2"/>
      <c r="R167" s="7">
        <f t="shared" si="37"/>
        <v>0</v>
      </c>
      <c r="S167" s="2"/>
      <c r="T167" s="6"/>
      <c r="U167" s="2"/>
      <c r="V167" s="7">
        <f t="shared" si="38"/>
        <v>0</v>
      </c>
      <c r="W167" s="2"/>
      <c r="X167" s="6">
        <f t="shared" si="39"/>
        <v>0</v>
      </c>
      <c r="Y167" s="2"/>
      <c r="Z167" s="7">
        <f t="shared" si="40"/>
        <v>0</v>
      </c>
    </row>
    <row r="168" spans="1:26" s="24" customFormat="1" hidden="1" outlineLevel="2" x14ac:dyDescent="0.25">
      <c r="A168" s="25"/>
      <c r="B168" s="11" t="str">
        <f>CONCATENATE("          ", "6117", " - ", "RETIREMENT STAFF HOURLY")</f>
        <v xml:space="preserve">          6117 - RETIREMENT STAFF HOURLY</v>
      </c>
      <c r="C168" s="11"/>
      <c r="D168" s="6">
        <v>232.91</v>
      </c>
      <c r="E168" s="2"/>
      <c r="F168" s="7">
        <f t="shared" si="33"/>
        <v>2.0988052372539318E-3</v>
      </c>
      <c r="G168" s="2"/>
      <c r="H168" s="6">
        <v>93.57</v>
      </c>
      <c r="I168" s="2"/>
      <c r="J168" s="7">
        <f t="shared" si="34"/>
        <v>2.0776580022606667E-4</v>
      </c>
      <c r="K168" s="2"/>
      <c r="L168" s="6">
        <f t="shared" si="35"/>
        <v>139.34</v>
      </c>
      <c r="M168" s="2"/>
      <c r="N168" s="7">
        <f t="shared" si="36"/>
        <v>1.4891525061451321</v>
      </c>
      <c r="O168" s="11"/>
      <c r="P168" s="6">
        <v>1293.6500000000001</v>
      </c>
      <c r="Q168" s="2"/>
      <c r="R168" s="7">
        <f t="shared" si="37"/>
        <v>5.248109386494248E-4</v>
      </c>
      <c r="S168" s="2"/>
      <c r="T168" s="6">
        <v>646.20000000000005</v>
      </c>
      <c r="U168" s="2"/>
      <c r="V168" s="7">
        <f t="shared" si="38"/>
        <v>1.2742599086323315E-4</v>
      </c>
      <c r="W168" s="2"/>
      <c r="X168" s="6">
        <f t="shared" si="39"/>
        <v>647.45000000000005</v>
      </c>
      <c r="Y168" s="2"/>
      <c r="Z168" s="7">
        <f t="shared" si="40"/>
        <v>1.001934385639121</v>
      </c>
    </row>
    <row r="169" spans="1:26" s="24" customFormat="1" hidden="1" outlineLevel="2" x14ac:dyDescent="0.25">
      <c r="A169" s="25"/>
      <c r="B169" s="11" t="str">
        <f>CONCATENATE("          ", "6118", " - ", "VACATION")</f>
        <v xml:space="preserve">          6118 - VACATION</v>
      </c>
      <c r="C169" s="11"/>
      <c r="D169" s="6">
        <v>5161.6000000000004</v>
      </c>
      <c r="E169" s="2"/>
      <c r="F169" s="7">
        <f t="shared" si="33"/>
        <v>4.6512357187797414E-2</v>
      </c>
      <c r="G169" s="2"/>
      <c r="H169" s="6">
        <v>4811.3900000000003</v>
      </c>
      <c r="I169" s="2"/>
      <c r="J169" s="7">
        <f t="shared" si="34"/>
        <v>1.0683363188518704E-2</v>
      </c>
      <c r="K169" s="2"/>
      <c r="L169" s="6">
        <f t="shared" si="35"/>
        <v>350.21000000000004</v>
      </c>
      <c r="M169" s="2"/>
      <c r="N169" s="7">
        <f t="shared" si="36"/>
        <v>7.2787697526078748E-2</v>
      </c>
      <c r="O169" s="11"/>
      <c r="P169" s="6">
        <v>26435.31</v>
      </c>
      <c r="Q169" s="2"/>
      <c r="R169" s="7">
        <f t="shared" si="37"/>
        <v>1.0724338000686838E-2</v>
      </c>
      <c r="S169" s="2"/>
      <c r="T169" s="6">
        <v>29509.37</v>
      </c>
      <c r="U169" s="2"/>
      <c r="V169" s="7">
        <f t="shared" si="38"/>
        <v>5.8190354565146483E-3</v>
      </c>
      <c r="W169" s="2"/>
      <c r="X169" s="6">
        <f t="shared" si="39"/>
        <v>-3074.0599999999977</v>
      </c>
      <c r="Y169" s="2"/>
      <c r="Z169" s="7">
        <f t="shared" si="40"/>
        <v>-0.10417233576996045</v>
      </c>
    </row>
    <row r="170" spans="1:26" s="24" customFormat="1" hidden="1" outlineLevel="2" x14ac:dyDescent="0.25">
      <c r="A170" s="25"/>
      <c r="B170" s="11" t="str">
        <f>CONCATENATE("          ", "6119", " - ", "SICK LEAVE")</f>
        <v xml:space="preserve">          6119 - SICK LEAVE</v>
      </c>
      <c r="C170" s="11"/>
      <c r="D170" s="6">
        <v>3729.66</v>
      </c>
      <c r="E170" s="2"/>
      <c r="F170" s="7">
        <f t="shared" si="33"/>
        <v>3.3608818604510322E-2</v>
      </c>
      <c r="G170" s="2"/>
      <c r="H170" s="6">
        <v>2483.15</v>
      </c>
      <c r="I170" s="2"/>
      <c r="J170" s="7">
        <f t="shared" si="34"/>
        <v>5.5136651365967461E-3</v>
      </c>
      <c r="K170" s="2"/>
      <c r="L170" s="6">
        <f t="shared" si="35"/>
        <v>1246.5099999999998</v>
      </c>
      <c r="M170" s="2"/>
      <c r="N170" s="7">
        <f t="shared" si="36"/>
        <v>0.50198739504258694</v>
      </c>
      <c r="O170" s="11"/>
      <c r="P170" s="6">
        <v>19349.12</v>
      </c>
      <c r="Q170" s="2"/>
      <c r="R170" s="7">
        <f t="shared" si="37"/>
        <v>7.8495959720483576E-3</v>
      </c>
      <c r="S170" s="2"/>
      <c r="T170" s="6">
        <v>23054.5</v>
      </c>
      <c r="U170" s="2"/>
      <c r="V170" s="7">
        <f t="shared" si="38"/>
        <v>4.5461815325849707E-3</v>
      </c>
      <c r="W170" s="2"/>
      <c r="X170" s="6">
        <f t="shared" si="39"/>
        <v>-3705.380000000001</v>
      </c>
      <c r="Y170" s="2"/>
      <c r="Z170" s="7">
        <f t="shared" si="40"/>
        <v>-0.16072263549415519</v>
      </c>
    </row>
    <row r="171" spans="1:26" s="24" customFormat="1" hidden="1" outlineLevel="2" x14ac:dyDescent="0.25">
      <c r="A171" s="25"/>
      <c r="B171" s="11" t="str">
        <f>CONCATENATE("          ", "6156", " - ", "EMPLOYEE MEALS")</f>
        <v xml:space="preserve">          6156 - EMPLOYEE MEALS</v>
      </c>
      <c r="C171" s="11"/>
      <c r="D171" s="6">
        <v>1548.91</v>
      </c>
      <c r="E171" s="2"/>
      <c r="F171" s="7">
        <f t="shared" si="33"/>
        <v>1.3957581984607738E-2</v>
      </c>
      <c r="G171" s="2"/>
      <c r="H171" s="6">
        <v>1789.6</v>
      </c>
      <c r="I171" s="2"/>
      <c r="J171" s="7">
        <f t="shared" si="34"/>
        <v>3.9736846861661741E-3</v>
      </c>
      <c r="K171" s="2"/>
      <c r="L171" s="6">
        <f t="shared" si="35"/>
        <v>-240.68999999999983</v>
      </c>
      <c r="M171" s="2"/>
      <c r="N171" s="7">
        <f t="shared" si="36"/>
        <v>-0.13449374161823863</v>
      </c>
      <c r="O171" s="11"/>
      <c r="P171" s="6">
        <v>7629.87</v>
      </c>
      <c r="Q171" s="2"/>
      <c r="R171" s="7">
        <f t="shared" si="37"/>
        <v>3.0953033946377203E-3</v>
      </c>
      <c r="S171" s="2"/>
      <c r="T171" s="6">
        <v>9726.6</v>
      </c>
      <c r="U171" s="2"/>
      <c r="V171" s="7">
        <f t="shared" si="38"/>
        <v>1.9180155412106522E-3</v>
      </c>
      <c r="W171" s="2"/>
      <c r="X171" s="6">
        <f t="shared" si="39"/>
        <v>-2096.7300000000005</v>
      </c>
      <c r="Y171" s="2"/>
      <c r="Z171" s="7">
        <f t="shared" si="40"/>
        <v>-0.21556659058663874</v>
      </c>
    </row>
    <row r="172" spans="1:26" s="26" customFormat="1" outlineLevel="1" collapsed="1" x14ac:dyDescent="0.25">
      <c r="A172" s="27"/>
      <c r="B172" s="13" t="str">
        <f>CONCATENATE("     ","*Payroll                                          ")</f>
        <v xml:space="preserve">     *Payroll                                          </v>
      </c>
      <c r="C172" s="13"/>
      <c r="D172" s="1">
        <f>SUM(OSRRefD22_1x_0)</f>
        <v>92205.430000000008</v>
      </c>
      <c r="E172" s="1"/>
      <c r="F172" s="5">
        <f t="shared" ref="F172:F179" si="41">IF(D$12=0,0,D172/D$12)</f>
        <v>0.83088420156820586</v>
      </c>
      <c r="G172" s="1"/>
      <c r="H172" s="1">
        <f>SUM(OSRRefH22_1x_0)</f>
        <v>139539.44</v>
      </c>
      <c r="I172" s="1"/>
      <c r="J172" s="5">
        <f t="shared" ref="J172:J179" si="42">IF(H$12=0,0,H172/H$12)</f>
        <v>0.30983780500905439</v>
      </c>
      <c r="K172" s="1"/>
      <c r="L172" s="1">
        <f t="shared" ref="L172:L179" si="43">+D172-H172</f>
        <v>-47334.009999999995</v>
      </c>
      <c r="M172" s="1"/>
      <c r="N172" s="5">
        <f t="shared" ref="N172:N179" si="44">IF(H172=0,0,L172/H172)</f>
        <v>-0.33921599513370554</v>
      </c>
      <c r="O172" s="13"/>
      <c r="P172" s="1">
        <f>SUM(OSRRefP22_1x_0)</f>
        <v>610409.8600000001</v>
      </c>
      <c r="Q172" s="1"/>
      <c r="R172" s="5">
        <f t="shared" ref="R172:R179" si="45">IF(P$12=0,0,P172/P$12)</f>
        <v>0.24763249069490514</v>
      </c>
      <c r="S172" s="1"/>
      <c r="T172" s="1">
        <f>SUM(OSRRefT22_1x_0)</f>
        <v>890937.86</v>
      </c>
      <c r="U172" s="1"/>
      <c r="V172" s="5">
        <f t="shared" ref="V172:V179" si="46">IF(T$12=0,0,T172/T$12)</f>
        <v>0.17568653606943435</v>
      </c>
      <c r="W172" s="1"/>
      <c r="X172" s="1">
        <f t="shared" ref="X172:X179" si="47">+P172-T172</f>
        <v>-280527.99999999988</v>
      </c>
      <c r="Y172" s="1"/>
      <c r="Z172" s="5">
        <f t="shared" ref="Z172:Z179" si="48">IF(T172=0,0,X172/T172)</f>
        <v>-0.3148681996744418</v>
      </c>
    </row>
    <row r="173" spans="1:26" s="24" customFormat="1" hidden="1" outlineLevel="2" x14ac:dyDescent="0.25">
      <c r="A173" s="25"/>
      <c r="B173" s="11" t="str">
        <f>CONCATENATE("          ", "6001", " - ", "ADMINISTRATIVE SALARIES")</f>
        <v xml:space="preserve">          6001 - ADMINISTRATIVE SALARIES</v>
      </c>
      <c r="C173" s="11"/>
      <c r="D173" s="6">
        <v>3995.45</v>
      </c>
      <c r="E173" s="2"/>
      <c r="F173" s="7">
        <f t="shared" si="41"/>
        <v>3.6003913035877473E-2</v>
      </c>
      <c r="G173" s="2"/>
      <c r="H173" s="6">
        <v>10717.14</v>
      </c>
      <c r="I173" s="2"/>
      <c r="J173" s="7">
        <f t="shared" si="42"/>
        <v>2.3796678083090609E-2</v>
      </c>
      <c r="K173" s="2"/>
      <c r="L173" s="6">
        <f t="shared" si="43"/>
        <v>-6721.69</v>
      </c>
      <c r="M173" s="2"/>
      <c r="N173" s="7">
        <f t="shared" si="44"/>
        <v>-0.62719064974424144</v>
      </c>
      <c r="O173" s="11"/>
      <c r="P173" s="6">
        <v>21137.95</v>
      </c>
      <c r="Q173" s="2"/>
      <c r="R173" s="7">
        <f t="shared" si="45"/>
        <v>8.5752926839752705E-3</v>
      </c>
      <c r="S173" s="2"/>
      <c r="T173" s="6">
        <v>56800.83</v>
      </c>
      <c r="U173" s="2"/>
      <c r="V173" s="7">
        <f t="shared" si="46"/>
        <v>1.120071501795738E-2</v>
      </c>
      <c r="W173" s="2"/>
      <c r="X173" s="6">
        <f t="shared" si="47"/>
        <v>-35662.880000000005</v>
      </c>
      <c r="Y173" s="2"/>
      <c r="Z173" s="7">
        <f t="shared" si="48"/>
        <v>-0.62785843094194227</v>
      </c>
    </row>
    <row r="174" spans="1:26" s="24" customFormat="1" hidden="1" outlineLevel="2" x14ac:dyDescent="0.25">
      <c r="A174" s="25"/>
      <c r="B174" s="11" t="str">
        <f>CONCATENATE("          ", "6002", " - ", "STAFF SALARIES")</f>
        <v xml:space="preserve">          6002 - STAFF SALARIES</v>
      </c>
      <c r="C174" s="11"/>
      <c r="D174" s="6">
        <v>47983.77</v>
      </c>
      <c r="E174" s="2"/>
      <c r="F174" s="7">
        <f t="shared" si="41"/>
        <v>0.43239271726928041</v>
      </c>
      <c r="G174" s="2"/>
      <c r="H174" s="6">
        <v>52570.12</v>
      </c>
      <c r="I174" s="2"/>
      <c r="J174" s="7">
        <f t="shared" si="42"/>
        <v>0.11672836432382551</v>
      </c>
      <c r="K174" s="2"/>
      <c r="L174" s="6">
        <f t="shared" si="43"/>
        <v>-4586.3500000000058</v>
      </c>
      <c r="M174" s="2"/>
      <c r="N174" s="7">
        <f t="shared" si="44"/>
        <v>-8.724252484110756E-2</v>
      </c>
      <c r="O174" s="11"/>
      <c r="P174" s="6">
        <v>274957.94</v>
      </c>
      <c r="Q174" s="2"/>
      <c r="R174" s="7">
        <f t="shared" si="45"/>
        <v>0.111545576145412</v>
      </c>
      <c r="S174" s="2"/>
      <c r="T174" s="6">
        <v>297614.38</v>
      </c>
      <c r="U174" s="2"/>
      <c r="V174" s="7">
        <f t="shared" si="46"/>
        <v>5.8687414525915811E-2</v>
      </c>
      <c r="W174" s="2"/>
      <c r="X174" s="6">
        <f t="shared" si="47"/>
        <v>-22656.440000000002</v>
      </c>
      <c r="Y174" s="2"/>
      <c r="Z174" s="7">
        <f t="shared" si="48"/>
        <v>-7.6126832312336523E-2</v>
      </c>
    </row>
    <row r="175" spans="1:26" s="24" customFormat="1" hidden="1" outlineLevel="2" x14ac:dyDescent="0.25">
      <c r="A175" s="25"/>
      <c r="B175" s="11" t="str">
        <f>CONCATENATE("          ", "6004", " - ", "STAFF HOURLY")</f>
        <v xml:space="preserve">          6004 - STAFF HOURLY</v>
      </c>
      <c r="C175" s="11"/>
      <c r="D175" s="6">
        <v>11939.34</v>
      </c>
      <c r="E175" s="2"/>
      <c r="F175" s="7">
        <f t="shared" si="41"/>
        <v>0.10758812125437019</v>
      </c>
      <c r="G175" s="2"/>
      <c r="H175" s="6">
        <v>2163.25</v>
      </c>
      <c r="I175" s="2"/>
      <c r="J175" s="7">
        <f t="shared" si="42"/>
        <v>4.8033490150586593E-3</v>
      </c>
      <c r="K175" s="2"/>
      <c r="L175" s="6">
        <f t="shared" si="43"/>
        <v>9776.09</v>
      </c>
      <c r="M175" s="2"/>
      <c r="N175" s="7">
        <f t="shared" si="44"/>
        <v>4.5191679186409335</v>
      </c>
      <c r="O175" s="11"/>
      <c r="P175" s="6">
        <v>75516.14</v>
      </c>
      <c r="Q175" s="2"/>
      <c r="R175" s="7">
        <f t="shared" si="45"/>
        <v>3.0635563186782649E-2</v>
      </c>
      <c r="S175" s="2"/>
      <c r="T175" s="6">
        <v>12705.41</v>
      </c>
      <c r="U175" s="2"/>
      <c r="V175" s="7">
        <f t="shared" si="46"/>
        <v>2.5054154419276243E-3</v>
      </c>
      <c r="W175" s="2"/>
      <c r="X175" s="6">
        <f t="shared" si="47"/>
        <v>62810.729999999996</v>
      </c>
      <c r="Y175" s="2"/>
      <c r="Z175" s="7">
        <f t="shared" si="48"/>
        <v>4.9436208670164907</v>
      </c>
    </row>
    <row r="176" spans="1:26" s="24" customFormat="1" hidden="1" outlineLevel="2" x14ac:dyDescent="0.25">
      <c r="A176" s="25"/>
      <c r="B176" s="11" t="str">
        <f>CONCATENATE("          ", "6005", " - ", "TEMPORARY WAGES-HOURLY")</f>
        <v xml:space="preserve">          6005 - TEMPORARY WAGES-HOURLY</v>
      </c>
      <c r="C176" s="11"/>
      <c r="D176" s="6">
        <v>7697.23</v>
      </c>
      <c r="E176" s="2"/>
      <c r="F176" s="7">
        <f t="shared" si="41"/>
        <v>6.9361498588931703E-2</v>
      </c>
      <c r="G176" s="2"/>
      <c r="H176" s="6">
        <v>16229.110000000002</v>
      </c>
      <c r="I176" s="2"/>
      <c r="J176" s="7">
        <f t="shared" si="42"/>
        <v>3.6035631357345964E-2</v>
      </c>
      <c r="K176" s="2"/>
      <c r="L176" s="6">
        <f t="shared" si="43"/>
        <v>-8531.8800000000028</v>
      </c>
      <c r="M176" s="2"/>
      <c r="N176" s="7">
        <f t="shared" si="44"/>
        <v>-0.52571459556315792</v>
      </c>
      <c r="O176" s="11"/>
      <c r="P176" s="6">
        <v>88066.13</v>
      </c>
      <c r="Q176" s="2"/>
      <c r="R176" s="7">
        <f t="shared" si="45"/>
        <v>3.5726872298165867E-2</v>
      </c>
      <c r="S176" s="2"/>
      <c r="T176" s="6">
        <v>90997.37999999999</v>
      </c>
      <c r="U176" s="2"/>
      <c r="V176" s="7">
        <f t="shared" si="46"/>
        <v>1.7944028648186557E-2</v>
      </c>
      <c r="W176" s="2"/>
      <c r="X176" s="6">
        <f t="shared" si="47"/>
        <v>-2931.2499999999854</v>
      </c>
      <c r="Y176" s="2"/>
      <c r="Z176" s="7">
        <f t="shared" si="48"/>
        <v>-3.2212465897369633E-2</v>
      </c>
    </row>
    <row r="177" spans="1:26" s="24" customFormat="1" hidden="1" outlineLevel="2" x14ac:dyDescent="0.25">
      <c r="A177" s="25"/>
      <c r="B177" s="11" t="str">
        <f>CONCATENATE("          ", "6006", " - ", "TEMPORARY PART TIME")</f>
        <v xml:space="preserve">          6006 - TEMPORARY PART TIME</v>
      </c>
      <c r="C177" s="11"/>
      <c r="D177" s="6">
        <v>1048.44</v>
      </c>
      <c r="E177" s="2"/>
      <c r="F177" s="7">
        <f t="shared" si="41"/>
        <v>9.4477324414860356E-3</v>
      </c>
      <c r="G177" s="2"/>
      <c r="H177" s="6">
        <v>1297.75</v>
      </c>
      <c r="I177" s="2"/>
      <c r="J177" s="7">
        <f t="shared" si="42"/>
        <v>2.881565322682249E-3</v>
      </c>
      <c r="K177" s="2"/>
      <c r="L177" s="6">
        <f t="shared" si="43"/>
        <v>-249.30999999999995</v>
      </c>
      <c r="M177" s="2"/>
      <c r="N177" s="7">
        <f t="shared" si="44"/>
        <v>-0.19210942015026003</v>
      </c>
      <c r="O177" s="11"/>
      <c r="P177" s="6">
        <v>8555.61</v>
      </c>
      <c r="Q177" s="2"/>
      <c r="R177" s="7">
        <f t="shared" si="45"/>
        <v>3.4708597494054849E-3</v>
      </c>
      <c r="S177" s="2"/>
      <c r="T177" s="6">
        <v>19835.75</v>
      </c>
      <c r="U177" s="2"/>
      <c r="V177" s="7">
        <f t="shared" si="46"/>
        <v>3.9114671901352158E-3</v>
      </c>
      <c r="W177" s="2"/>
      <c r="X177" s="6">
        <f t="shared" si="47"/>
        <v>-11280.14</v>
      </c>
      <c r="Y177" s="2"/>
      <c r="Z177" s="7">
        <f t="shared" si="48"/>
        <v>-0.56867726201429236</v>
      </c>
    </row>
    <row r="178" spans="1:26" s="24" customFormat="1" hidden="1" outlineLevel="2" x14ac:dyDescent="0.25">
      <c r="A178" s="25"/>
      <c r="B178" s="11" t="str">
        <f>CONCATENATE("          ", "6007", " - ", "STUDENT HOURLY")</f>
        <v xml:space="preserve">          6007 - STUDENT HOURLY</v>
      </c>
      <c r="C178" s="11"/>
      <c r="D178" s="6">
        <v>18658.63</v>
      </c>
      <c r="E178" s="2"/>
      <c r="F178" s="7">
        <f t="shared" si="41"/>
        <v>0.16813717901328126</v>
      </c>
      <c r="G178" s="2"/>
      <c r="H178" s="6">
        <v>56010.07</v>
      </c>
      <c r="I178" s="2"/>
      <c r="J178" s="7">
        <f t="shared" si="42"/>
        <v>0.12436653857291878</v>
      </c>
      <c r="K178" s="2"/>
      <c r="L178" s="6">
        <f t="shared" si="43"/>
        <v>-37351.440000000002</v>
      </c>
      <c r="M178" s="2"/>
      <c r="N178" s="7">
        <f t="shared" si="44"/>
        <v>-0.66687008246909896</v>
      </c>
      <c r="O178" s="11"/>
      <c r="P178" s="6">
        <v>138328.79999999999</v>
      </c>
      <c r="Q178" s="2"/>
      <c r="R178" s="7">
        <f t="shared" si="45"/>
        <v>5.6117549082246782E-2</v>
      </c>
      <c r="S178" s="2"/>
      <c r="T178" s="6">
        <v>407701.11</v>
      </c>
      <c r="U178" s="2"/>
      <c r="V178" s="7">
        <f t="shared" si="46"/>
        <v>8.0395725654271138E-2</v>
      </c>
      <c r="W178" s="2"/>
      <c r="X178" s="6">
        <f t="shared" si="47"/>
        <v>-269372.31</v>
      </c>
      <c r="Y178" s="2"/>
      <c r="Z178" s="7">
        <f t="shared" si="48"/>
        <v>-0.66071026885357265</v>
      </c>
    </row>
    <row r="179" spans="1:26" s="24" customFormat="1" hidden="1" outlineLevel="2" x14ac:dyDescent="0.25">
      <c r="A179" s="25"/>
      <c r="B179" s="11" t="str">
        <f>CONCATENATE("          ", "6008", " - ", "STUDENT HOURLY-FICA EXEMPT")</f>
        <v xml:space="preserve">          6008 - STUDENT HOURLY-FICA EXEMPT</v>
      </c>
      <c r="C179" s="11"/>
      <c r="D179" s="6">
        <v>882.57</v>
      </c>
      <c r="E179" s="2"/>
      <c r="F179" s="7">
        <f t="shared" si="41"/>
        <v>7.9530399649787604E-3</v>
      </c>
      <c r="G179" s="2"/>
      <c r="H179" s="6">
        <v>552</v>
      </c>
      <c r="I179" s="2"/>
      <c r="J179" s="7">
        <f t="shared" si="42"/>
        <v>1.2256783341326152E-3</v>
      </c>
      <c r="K179" s="2"/>
      <c r="L179" s="6">
        <f t="shared" si="43"/>
        <v>330.57000000000005</v>
      </c>
      <c r="M179" s="2"/>
      <c r="N179" s="7">
        <f t="shared" si="44"/>
        <v>0.59885869565217398</v>
      </c>
      <c r="O179" s="11"/>
      <c r="P179" s="6">
        <v>3847.29</v>
      </c>
      <c r="Q179" s="2"/>
      <c r="R179" s="7">
        <f t="shared" si="45"/>
        <v>1.560777548917053E-3</v>
      </c>
      <c r="S179" s="2"/>
      <c r="T179" s="6">
        <v>5283</v>
      </c>
      <c r="U179" s="2"/>
      <c r="V179" s="7">
        <f t="shared" si="46"/>
        <v>1.0417695910406386E-3</v>
      </c>
      <c r="W179" s="2"/>
      <c r="X179" s="6">
        <f t="shared" si="47"/>
        <v>-1435.71</v>
      </c>
      <c r="Y179" s="2"/>
      <c r="Z179" s="7">
        <f t="shared" si="48"/>
        <v>-0.27176036342986942</v>
      </c>
    </row>
    <row r="180" spans="1:26" s="26" customFormat="1" outlineLevel="1" collapsed="1" x14ac:dyDescent="0.25">
      <c r="A180" s="27"/>
      <c r="B180" s="13" t="str">
        <f>CONCATENATE("     ","Advertising/Promo                                 ")</f>
        <v xml:space="preserve">     Advertising/Promo                                 </v>
      </c>
      <c r="C180" s="13"/>
      <c r="D180" s="1">
        <f>SUM(OSRRefD22_2x_0)</f>
        <v>648.78</v>
      </c>
      <c r="E180" s="1"/>
      <c r="F180" s="5">
        <f t="shared" ref="F180:F184" si="49">IF(D$12=0,0,D180/D$12)</f>
        <v>5.846304846617174E-3</v>
      </c>
      <c r="G180" s="1"/>
      <c r="H180" s="1">
        <f>SUM(OSRRefH22_2x_0)</f>
        <v>14854.550000000001</v>
      </c>
      <c r="I180" s="1"/>
      <c r="J180" s="5">
        <f t="shared" ref="J180:J184" si="50">IF(H$12=0,0,H180/H$12)</f>
        <v>3.2983514670814569E-2</v>
      </c>
      <c r="K180" s="1"/>
      <c r="L180" s="1">
        <f t="shared" ref="L180:L184" si="51">+D180-H180</f>
        <v>-14205.77</v>
      </c>
      <c r="M180" s="1"/>
      <c r="N180" s="5">
        <f t="shared" ref="N180:N184" si="52">IF(H180=0,0,L180/H180)</f>
        <v>-0.95632449316875967</v>
      </c>
      <c r="O180" s="13"/>
      <c r="P180" s="1">
        <f>SUM(OSRRefP22_2x_0)</f>
        <v>14358.53</v>
      </c>
      <c r="Q180" s="1"/>
      <c r="R180" s="5">
        <f t="shared" ref="R180:R184" si="53">IF(P$12=0,0,P180/P$12)</f>
        <v>5.825001821919318E-3</v>
      </c>
      <c r="S180" s="1"/>
      <c r="T180" s="1">
        <f>SUM(OSRRefT22_2x_0)</f>
        <v>32621.350000000002</v>
      </c>
      <c r="U180" s="1"/>
      <c r="V180" s="5">
        <f t="shared" ref="V180:V184" si="54">IF(T$12=0,0,T180/T$12)</f>
        <v>6.4326955231295739E-3</v>
      </c>
      <c r="W180" s="1"/>
      <c r="X180" s="1">
        <f t="shared" ref="X180:X184" si="55">+P180-T180</f>
        <v>-18262.82</v>
      </c>
      <c r="Y180" s="1"/>
      <c r="Z180" s="5">
        <f t="shared" ref="Z180:Z184" si="56">IF(T180=0,0,X180/T180)</f>
        <v>-0.55984255709834196</v>
      </c>
    </row>
    <row r="181" spans="1:26" s="24" customFormat="1" hidden="1" outlineLevel="2" x14ac:dyDescent="0.25">
      <c r="A181" s="25"/>
      <c r="B181" s="11" t="str">
        <f>CONCATENATE("          ", "6362", " - ", "ADVERTISING EXPENSE")</f>
        <v xml:space="preserve">          6362 - ADVERTISING EXPENSE</v>
      </c>
      <c r="C181" s="11"/>
      <c r="D181" s="6">
        <v>648.78</v>
      </c>
      <c r="E181" s="2"/>
      <c r="F181" s="7">
        <f t="shared" si="49"/>
        <v>5.846304846617174E-3</v>
      </c>
      <c r="G181" s="2"/>
      <c r="H181" s="6">
        <v>14854.550000000001</v>
      </c>
      <c r="I181" s="2"/>
      <c r="J181" s="7">
        <f t="shared" si="50"/>
        <v>3.2983514670814569E-2</v>
      </c>
      <c r="K181" s="2"/>
      <c r="L181" s="6">
        <f t="shared" si="51"/>
        <v>-14205.77</v>
      </c>
      <c r="M181" s="2"/>
      <c r="N181" s="7">
        <f t="shared" si="52"/>
        <v>-0.95632449316875967</v>
      </c>
      <c r="O181" s="11"/>
      <c r="P181" s="6">
        <v>14358.53</v>
      </c>
      <c r="Q181" s="2"/>
      <c r="R181" s="7">
        <f t="shared" si="53"/>
        <v>5.825001821919318E-3</v>
      </c>
      <c r="S181" s="2"/>
      <c r="T181" s="6">
        <v>32621.350000000002</v>
      </c>
      <c r="U181" s="2"/>
      <c r="V181" s="7">
        <f t="shared" si="54"/>
        <v>6.4326955231295739E-3</v>
      </c>
      <c r="W181" s="2"/>
      <c r="X181" s="6">
        <f t="shared" si="55"/>
        <v>-18262.82</v>
      </c>
      <c r="Y181" s="2"/>
      <c r="Z181" s="7">
        <f t="shared" si="56"/>
        <v>-0.55984255709834196</v>
      </c>
    </row>
    <row r="182" spans="1:26" s="26" customFormat="1" outlineLevel="1" collapsed="1" x14ac:dyDescent="0.25">
      <c r="A182" s="27"/>
      <c r="B182" s="13" t="str">
        <f>CONCATENATE("     ","Bad Debts/Over/Short                              ")</f>
        <v xml:space="preserve">     Bad Debts/Over/Short                              </v>
      </c>
      <c r="C182" s="13"/>
      <c r="D182" s="1">
        <f>SUM(OSRRefD22_3x_0)</f>
        <v>0.74</v>
      </c>
      <c r="E182" s="1"/>
      <c r="F182" s="5">
        <f t="shared" si="49"/>
        <v>6.6683091132536589E-6</v>
      </c>
      <c r="G182" s="1"/>
      <c r="H182" s="1">
        <f>SUM(OSRRefH22_3x_0)</f>
        <v>150.11000000000001</v>
      </c>
      <c r="I182" s="1"/>
      <c r="J182" s="5">
        <f t="shared" si="50"/>
        <v>3.3330901220407044E-4</v>
      </c>
      <c r="K182" s="1"/>
      <c r="L182" s="1">
        <f t="shared" si="51"/>
        <v>-149.37</v>
      </c>
      <c r="M182" s="1"/>
      <c r="N182" s="5">
        <f t="shared" si="52"/>
        <v>-0.99507028179335144</v>
      </c>
      <c r="O182" s="13"/>
      <c r="P182" s="1">
        <f>SUM(OSRRefP22_3x_0)</f>
        <v>51.3</v>
      </c>
      <c r="Q182" s="1"/>
      <c r="R182" s="5">
        <f t="shared" si="53"/>
        <v>2.0811503229401686E-5</v>
      </c>
      <c r="S182" s="1"/>
      <c r="T182" s="1">
        <f>SUM(OSRRefT22_3x_0)</f>
        <v>72.459999999999994</v>
      </c>
      <c r="U182" s="1"/>
      <c r="V182" s="5">
        <f t="shared" si="54"/>
        <v>1.4288590680826172E-5</v>
      </c>
      <c r="W182" s="1"/>
      <c r="X182" s="1">
        <f t="shared" si="55"/>
        <v>-21.159999999999997</v>
      </c>
      <c r="Y182" s="1"/>
      <c r="Z182" s="5">
        <f t="shared" si="56"/>
        <v>-0.2920231852056307</v>
      </c>
    </row>
    <row r="183" spans="1:26" s="24" customFormat="1" hidden="1" outlineLevel="2" x14ac:dyDescent="0.25">
      <c r="A183" s="25"/>
      <c r="B183" s="11" t="str">
        <f>CONCATENATE("          ", "6272", " - ", "CASH (OVER/SHORT)")</f>
        <v xml:space="preserve">          6272 - CASH (OVER/SHORT)</v>
      </c>
      <c r="C183" s="11"/>
      <c r="D183" s="6">
        <v>0.74</v>
      </c>
      <c r="E183" s="2"/>
      <c r="F183" s="7">
        <f t="shared" si="49"/>
        <v>6.6683091132536589E-6</v>
      </c>
      <c r="G183" s="2"/>
      <c r="H183" s="6">
        <v>150.11000000000001</v>
      </c>
      <c r="I183" s="2"/>
      <c r="J183" s="7">
        <f t="shared" si="50"/>
        <v>3.3330901220407044E-4</v>
      </c>
      <c r="K183" s="2"/>
      <c r="L183" s="6">
        <f t="shared" si="51"/>
        <v>-149.37</v>
      </c>
      <c r="M183" s="2"/>
      <c r="N183" s="7">
        <f t="shared" si="52"/>
        <v>-0.99507028179335144</v>
      </c>
      <c r="O183" s="11"/>
      <c r="P183" s="6">
        <v>51.3</v>
      </c>
      <c r="Q183" s="2"/>
      <c r="R183" s="7">
        <f t="shared" si="53"/>
        <v>2.0811503229401686E-5</v>
      </c>
      <c r="S183" s="2"/>
      <c r="T183" s="6">
        <v>27.66</v>
      </c>
      <c r="U183" s="2"/>
      <c r="V183" s="7">
        <f t="shared" si="54"/>
        <v>5.4543529979526905E-6</v>
      </c>
      <c r="W183" s="2"/>
      <c r="X183" s="6">
        <f t="shared" si="55"/>
        <v>23.639999999999997</v>
      </c>
      <c r="Y183" s="2"/>
      <c r="Z183" s="7">
        <f t="shared" si="56"/>
        <v>0.85466377440347063</v>
      </c>
    </row>
    <row r="184" spans="1:26" s="24" customFormat="1" hidden="1" outlineLevel="2" x14ac:dyDescent="0.25">
      <c r="A184" s="25"/>
      <c r="B184" s="11" t="str">
        <f>CONCATENATE("          ", "6342", " - ", "BAD DEBT")</f>
        <v xml:space="preserve">          6342 - BAD DEBT</v>
      </c>
      <c r="C184" s="11"/>
      <c r="D184" s="6"/>
      <c r="E184" s="2"/>
      <c r="F184" s="7">
        <f t="shared" si="49"/>
        <v>0</v>
      </c>
      <c r="G184" s="2"/>
      <c r="H184" s="6"/>
      <c r="I184" s="2"/>
      <c r="J184" s="7">
        <f t="shared" si="50"/>
        <v>0</v>
      </c>
      <c r="K184" s="2"/>
      <c r="L184" s="6">
        <f t="shared" si="51"/>
        <v>0</v>
      </c>
      <c r="M184" s="2"/>
      <c r="N184" s="7">
        <f t="shared" si="52"/>
        <v>0</v>
      </c>
      <c r="O184" s="11"/>
      <c r="P184" s="6"/>
      <c r="Q184" s="2"/>
      <c r="R184" s="7">
        <f t="shared" si="53"/>
        <v>0</v>
      </c>
      <c r="S184" s="2"/>
      <c r="T184" s="6">
        <v>44.8</v>
      </c>
      <c r="U184" s="2"/>
      <c r="V184" s="7">
        <f t="shared" si="54"/>
        <v>8.8342376828734817E-6</v>
      </c>
      <c r="W184" s="2"/>
      <c r="X184" s="6">
        <f t="shared" si="55"/>
        <v>-44.8</v>
      </c>
      <c r="Y184" s="2"/>
      <c r="Z184" s="7">
        <f t="shared" si="56"/>
        <v>-1</v>
      </c>
    </row>
    <row r="185" spans="1:26" s="26" customFormat="1" outlineLevel="1" collapsed="1" x14ac:dyDescent="0.25">
      <c r="A185" s="27"/>
      <c r="B185" s="13" t="str">
        <f>CONCATENATE("     ","Bank/card Fees                                    ")</f>
        <v xml:space="preserve">     Bank/card Fees                                    </v>
      </c>
      <c r="C185" s="13"/>
      <c r="D185" s="1">
        <f>SUM(OSRRefD22_4x_0)</f>
        <v>2442.63</v>
      </c>
      <c r="E185" s="1"/>
      <c r="F185" s="5">
        <f t="shared" ref="F185:F189" si="57">IF(D$12=0,0,D185/D$12)</f>
        <v>2.2011097147711871E-2</v>
      </c>
      <c r="G185" s="1"/>
      <c r="H185" s="1">
        <f>SUM(OSRRefH22_4x_0)</f>
        <v>10714.71</v>
      </c>
      <c r="I185" s="1"/>
      <c r="J185" s="5">
        <f t="shared" ref="J185:J189" si="58">IF(H$12=0,0,H185/H$12)</f>
        <v>2.3791282433902307E-2</v>
      </c>
      <c r="K185" s="1"/>
      <c r="L185" s="1">
        <f t="shared" ref="L185:L189" si="59">+D185-H185</f>
        <v>-8272.0799999999981</v>
      </c>
      <c r="M185" s="1"/>
      <c r="N185" s="5">
        <f t="shared" ref="N185:N189" si="60">IF(H185=0,0,L185/H185)</f>
        <v>-0.77203022760298678</v>
      </c>
      <c r="O185" s="13"/>
      <c r="P185" s="1">
        <f>SUM(OSRRefP22_4x_0)</f>
        <v>41582.380000000005</v>
      </c>
      <c r="Q185" s="1"/>
      <c r="R185" s="5">
        <f t="shared" ref="R185:R189" si="61">IF(P$12=0,0,P185/P$12)</f>
        <v>1.6869236562499185E-2</v>
      </c>
      <c r="S185" s="1"/>
      <c r="T185" s="1">
        <f>SUM(OSRRefT22_4x_0)</f>
        <v>82063.73000000001</v>
      </c>
      <c r="U185" s="1"/>
      <c r="V185" s="5">
        <f t="shared" ref="V185:V189" si="62">IF(T$12=0,0,T185/T$12)</f>
        <v>1.6182377142034715E-2</v>
      </c>
      <c r="W185" s="1"/>
      <c r="X185" s="1">
        <f t="shared" ref="X185:X189" si="63">+P185-T185</f>
        <v>-40481.350000000006</v>
      </c>
      <c r="Y185" s="1"/>
      <c r="Z185" s="5">
        <f t="shared" ref="Z185:Z189" si="64">IF(T185=0,0,X185/T185)</f>
        <v>-0.49329161616221928</v>
      </c>
    </row>
    <row r="186" spans="1:26" s="24" customFormat="1" hidden="1" outlineLevel="2" x14ac:dyDescent="0.25">
      <c r="A186" s="25"/>
      <c r="B186" s="11" t="str">
        <f>CONCATENATE("          ", "6381", " - ", "BANK/CREDIT CARD FEES")</f>
        <v xml:space="preserve">          6381 - BANK/CREDIT CARD FEES</v>
      </c>
      <c r="C186" s="11"/>
      <c r="D186" s="6">
        <v>2442.63</v>
      </c>
      <c r="E186" s="2"/>
      <c r="F186" s="7">
        <f t="shared" si="57"/>
        <v>2.2011097147711871E-2</v>
      </c>
      <c r="G186" s="2"/>
      <c r="H186" s="6">
        <v>10714.71</v>
      </c>
      <c r="I186" s="2"/>
      <c r="J186" s="7">
        <f t="shared" si="58"/>
        <v>2.3791282433902307E-2</v>
      </c>
      <c r="K186" s="2"/>
      <c r="L186" s="6">
        <f t="shared" si="59"/>
        <v>-8272.0799999999981</v>
      </c>
      <c r="M186" s="2"/>
      <c r="N186" s="7">
        <f t="shared" si="60"/>
        <v>-0.77203022760298678</v>
      </c>
      <c r="O186" s="11"/>
      <c r="P186" s="6">
        <v>41582.380000000005</v>
      </c>
      <c r="Q186" s="2"/>
      <c r="R186" s="7">
        <f t="shared" si="61"/>
        <v>1.6869236562499185E-2</v>
      </c>
      <c r="S186" s="2"/>
      <c r="T186" s="6">
        <v>82063.73000000001</v>
      </c>
      <c r="U186" s="2"/>
      <c r="V186" s="7">
        <f t="shared" si="62"/>
        <v>1.6182377142034715E-2</v>
      </c>
      <c r="W186" s="2"/>
      <c r="X186" s="6">
        <f t="shared" si="63"/>
        <v>-40481.350000000006</v>
      </c>
      <c r="Y186" s="2"/>
      <c r="Z186" s="7">
        <f t="shared" si="64"/>
        <v>-0.49329161616221928</v>
      </c>
    </row>
    <row r="187" spans="1:26" s="26" customFormat="1" outlineLevel="1" collapsed="1" x14ac:dyDescent="0.25">
      <c r="A187" s="27"/>
      <c r="B187" s="13" t="str">
        <f>CONCATENATE("     ","Depreciation                                      ")</f>
        <v xml:space="preserve">     Depreciation                                      </v>
      </c>
      <c r="C187" s="13"/>
      <c r="D187" s="1">
        <f>SUM(OSRRefD22_5x_0)</f>
        <v>30735.85</v>
      </c>
      <c r="E187" s="1"/>
      <c r="F187" s="5">
        <f t="shared" si="57"/>
        <v>0.27696776845756416</v>
      </c>
      <c r="G187" s="1"/>
      <c r="H187" s="1">
        <f>SUM(OSRRefH22_5x_0)</f>
        <v>29607.43</v>
      </c>
      <c r="I187" s="1"/>
      <c r="J187" s="5">
        <f t="shared" si="58"/>
        <v>6.5741278044108731E-2</v>
      </c>
      <c r="K187" s="1"/>
      <c r="L187" s="1">
        <f t="shared" si="59"/>
        <v>1128.4199999999983</v>
      </c>
      <c r="M187" s="1"/>
      <c r="N187" s="5">
        <f t="shared" si="60"/>
        <v>3.8112730486908122E-2</v>
      </c>
      <c r="O187" s="13"/>
      <c r="P187" s="1">
        <f>SUM(OSRRefP22_5x_0)</f>
        <v>153974.74</v>
      </c>
      <c r="Q187" s="1"/>
      <c r="R187" s="5">
        <f t="shared" si="61"/>
        <v>6.2464830385112767E-2</v>
      </c>
      <c r="S187" s="1"/>
      <c r="T187" s="1">
        <f>SUM(OSRRefT22_5x_0)</f>
        <v>148037.15</v>
      </c>
      <c r="U187" s="1"/>
      <c r="V187" s="5">
        <f t="shared" si="62"/>
        <v>2.9191860915071297E-2</v>
      </c>
      <c r="W187" s="1"/>
      <c r="X187" s="1">
        <f t="shared" si="63"/>
        <v>5937.5899999999965</v>
      </c>
      <c r="Y187" s="1"/>
      <c r="Z187" s="5">
        <f t="shared" si="64"/>
        <v>4.010878350468107E-2</v>
      </c>
    </row>
    <row r="188" spans="1:26" s="24" customFormat="1" hidden="1" outlineLevel="2" x14ac:dyDescent="0.25">
      <c r="A188" s="25"/>
      <c r="B188" s="11" t="str">
        <f>CONCATENATE("          ", "6321", " - ", "BUILDING DEPRECIATION")</f>
        <v xml:space="preserve">          6321 - BUILDING DEPRECIATION</v>
      </c>
      <c r="C188" s="11"/>
      <c r="D188" s="6">
        <v>16396.52</v>
      </c>
      <c r="E188" s="2"/>
      <c r="F188" s="7">
        <f t="shared" si="57"/>
        <v>0.14775278884006202</v>
      </c>
      <c r="G188" s="2"/>
      <c r="H188" s="6">
        <v>16396.52</v>
      </c>
      <c r="I188" s="2"/>
      <c r="J188" s="7">
        <f t="shared" si="58"/>
        <v>3.6407353839079906E-2</v>
      </c>
      <c r="K188" s="2"/>
      <c r="L188" s="6">
        <f t="shared" si="59"/>
        <v>0</v>
      </c>
      <c r="M188" s="2"/>
      <c r="N188" s="7">
        <f t="shared" si="60"/>
        <v>0</v>
      </c>
      <c r="O188" s="11"/>
      <c r="P188" s="6">
        <v>81982.599999999991</v>
      </c>
      <c r="Q188" s="2"/>
      <c r="R188" s="7">
        <f t="shared" si="61"/>
        <v>3.3258891708669525E-2</v>
      </c>
      <c r="S188" s="2"/>
      <c r="T188" s="6">
        <v>81982.599999999991</v>
      </c>
      <c r="U188" s="2"/>
      <c r="V188" s="7">
        <f t="shared" si="62"/>
        <v>1.6166378889730881E-2</v>
      </c>
      <c r="W188" s="2"/>
      <c r="X188" s="6">
        <f t="shared" si="63"/>
        <v>0</v>
      </c>
      <c r="Y188" s="2"/>
      <c r="Z188" s="7">
        <f t="shared" si="64"/>
        <v>0</v>
      </c>
    </row>
    <row r="189" spans="1:26" s="24" customFormat="1" hidden="1" outlineLevel="2" x14ac:dyDescent="0.25">
      <c r="A189" s="25"/>
      <c r="B189" s="11" t="str">
        <f>CONCATENATE("          ", "6322", " - ", "EQUIPMENT DEPRECIATION EXPENSE")</f>
        <v xml:space="preserve">          6322 - EQUIPMENT DEPRECIATION EXPENSE</v>
      </c>
      <c r="C189" s="11"/>
      <c r="D189" s="6">
        <v>14339.33</v>
      </c>
      <c r="E189" s="2"/>
      <c r="F189" s="7">
        <f t="shared" si="57"/>
        <v>0.12921497961750214</v>
      </c>
      <c r="G189" s="2"/>
      <c r="H189" s="6">
        <v>13210.91</v>
      </c>
      <c r="I189" s="2"/>
      <c r="J189" s="7">
        <f t="shared" si="58"/>
        <v>2.9333924205028818E-2</v>
      </c>
      <c r="K189" s="2"/>
      <c r="L189" s="6">
        <f t="shared" si="59"/>
        <v>1128.42</v>
      </c>
      <c r="M189" s="2"/>
      <c r="N189" s="7">
        <f t="shared" si="60"/>
        <v>8.5415766211411628E-2</v>
      </c>
      <c r="O189" s="11"/>
      <c r="P189" s="6">
        <v>71992.14</v>
      </c>
      <c r="Q189" s="2"/>
      <c r="R189" s="7">
        <f t="shared" si="61"/>
        <v>2.9205938676443242E-2</v>
      </c>
      <c r="S189" s="2"/>
      <c r="T189" s="6">
        <v>66054.55</v>
      </c>
      <c r="U189" s="2"/>
      <c r="V189" s="7">
        <f t="shared" si="62"/>
        <v>1.3025482025340415E-2</v>
      </c>
      <c r="W189" s="2"/>
      <c r="X189" s="6">
        <f t="shared" si="63"/>
        <v>5937.5899999999965</v>
      </c>
      <c r="Y189" s="2"/>
      <c r="Z189" s="7">
        <f t="shared" si="64"/>
        <v>8.9889190070933739E-2</v>
      </c>
    </row>
    <row r="190" spans="1:26" s="26" customFormat="1" outlineLevel="1" collapsed="1" x14ac:dyDescent="0.25">
      <c r="A190" s="27"/>
      <c r="B190" s="13" t="str">
        <f>CONCATENATE("     ","Discounts and Markdowns                           ")</f>
        <v xml:space="preserve">     Discounts and Markdowns                           </v>
      </c>
      <c r="C190" s="13"/>
      <c r="D190" s="1">
        <f>SUM(OSRRefD22_6x_0)</f>
        <v>418.85</v>
      </c>
      <c r="E190" s="1"/>
      <c r="F190" s="5">
        <f t="shared" ref="F190:F192" si="65">IF(D$12=0,0,D190/D$12)</f>
        <v>3.7743530703868854E-3</v>
      </c>
      <c r="G190" s="1"/>
      <c r="H190" s="1">
        <f>SUM(OSRRefH22_6x_0)</f>
        <v>49084.14</v>
      </c>
      <c r="I190" s="1"/>
      <c r="J190" s="5">
        <f t="shared" ref="J190:J192" si="66">IF(H$12=0,0,H190/H$12)</f>
        <v>0.10898798360060157</v>
      </c>
      <c r="K190" s="1"/>
      <c r="L190" s="1">
        <f t="shared" ref="L190:L192" si="67">+D190-H190</f>
        <v>-48665.29</v>
      </c>
      <c r="M190" s="1"/>
      <c r="N190" s="5">
        <f t="shared" ref="N190:N192" si="68">IF(H190=0,0,L190/H190)</f>
        <v>-0.99146669372224916</v>
      </c>
      <c r="O190" s="13"/>
      <c r="P190" s="1">
        <f>SUM(OSRRefP22_6x_0)</f>
        <v>0</v>
      </c>
      <c r="Q190" s="1"/>
      <c r="R190" s="5">
        <f t="shared" ref="R190:R192" si="69">IF(P$12=0,0,P190/P$12)</f>
        <v>0</v>
      </c>
      <c r="S190" s="1"/>
      <c r="T190" s="1">
        <f>SUM(OSRRefT22_6x_0)</f>
        <v>146884.93000000002</v>
      </c>
      <c r="U190" s="1"/>
      <c r="V190" s="5">
        <f t="shared" ref="V190:V192" si="70">IF(T$12=0,0,T190/T$12)</f>
        <v>2.8964651420808792E-2</v>
      </c>
      <c r="W190" s="1"/>
      <c r="X190" s="1">
        <f t="shared" ref="X190:X192" si="71">+P190-T190</f>
        <v>-146884.93000000002</v>
      </c>
      <c r="Y190" s="1"/>
      <c r="Z190" s="5">
        <f t="shared" ref="Z190:Z192" si="72">IF(T190=0,0,X190/T190)</f>
        <v>-1</v>
      </c>
    </row>
    <row r="191" spans="1:26" s="24" customFormat="1" hidden="1" outlineLevel="2" x14ac:dyDescent="0.25">
      <c r="A191" s="25"/>
      <c r="B191" s="11" t="str">
        <f>CONCATENATE("          ", "6382", " - ", "DISCOUNTS/MARK DOWNS")</f>
        <v xml:space="preserve">          6382 - DISCOUNTS/MARK DOWNS</v>
      </c>
      <c r="C191" s="11"/>
      <c r="D191" s="6"/>
      <c r="E191" s="2"/>
      <c r="F191" s="7">
        <f t="shared" si="65"/>
        <v>0</v>
      </c>
      <c r="G191" s="2"/>
      <c r="H191" s="6">
        <v>49331.64</v>
      </c>
      <c r="I191" s="2"/>
      <c r="J191" s="7">
        <f t="shared" si="66"/>
        <v>0.10953754046237299</v>
      </c>
      <c r="K191" s="2"/>
      <c r="L191" s="6">
        <f t="shared" si="67"/>
        <v>-49331.64</v>
      </c>
      <c r="M191" s="2"/>
      <c r="N191" s="7">
        <f t="shared" si="68"/>
        <v>-1</v>
      </c>
      <c r="O191" s="11"/>
      <c r="P191" s="6">
        <v>0</v>
      </c>
      <c r="Q191" s="2"/>
      <c r="R191" s="7">
        <f t="shared" si="69"/>
        <v>0</v>
      </c>
      <c r="S191" s="2"/>
      <c r="T191" s="6">
        <v>149250.18000000002</v>
      </c>
      <c r="U191" s="2"/>
      <c r="V191" s="7">
        <f t="shared" si="70"/>
        <v>2.9431061703831481E-2</v>
      </c>
      <c r="W191" s="2"/>
      <c r="X191" s="6">
        <f t="shared" si="71"/>
        <v>-149250.18000000002</v>
      </c>
      <c r="Y191" s="2"/>
      <c r="Z191" s="7">
        <f t="shared" si="72"/>
        <v>-1</v>
      </c>
    </row>
    <row r="192" spans="1:26" s="24" customFormat="1" hidden="1" outlineLevel="2" x14ac:dyDescent="0.25">
      <c r="A192" s="25"/>
      <c r="B192" s="11" t="str">
        <f>CONCATENATE("          ", "9175", " - ", "EARNED DISCOUNTS")</f>
        <v xml:space="preserve">          9175 - EARNED DISCOUNTS</v>
      </c>
      <c r="C192" s="11"/>
      <c r="D192" s="6">
        <v>418.85</v>
      </c>
      <c r="E192" s="2"/>
      <c r="F192" s="7">
        <f t="shared" si="65"/>
        <v>3.7743530703868854E-3</v>
      </c>
      <c r="G192" s="2"/>
      <c r="H192" s="6">
        <v>-247.5</v>
      </c>
      <c r="I192" s="2"/>
      <c r="J192" s="7">
        <f t="shared" si="66"/>
        <v>-5.4955686177141712E-4</v>
      </c>
      <c r="K192" s="2"/>
      <c r="L192" s="6">
        <f t="shared" si="67"/>
        <v>666.35</v>
      </c>
      <c r="M192" s="2"/>
      <c r="N192" s="7">
        <f t="shared" si="68"/>
        <v>-2.6923232323232322</v>
      </c>
      <c r="O192" s="11"/>
      <c r="P192" s="6">
        <v>0</v>
      </c>
      <c r="Q192" s="2"/>
      <c r="R192" s="7">
        <f t="shared" si="69"/>
        <v>0</v>
      </c>
      <c r="S192" s="2"/>
      <c r="T192" s="6">
        <v>-2365.25</v>
      </c>
      <c r="U192" s="2"/>
      <c r="V192" s="7">
        <f t="shared" si="70"/>
        <v>-4.6641028302268987E-4</v>
      </c>
      <c r="W192" s="2"/>
      <c r="X192" s="6">
        <f t="shared" si="71"/>
        <v>2365.25</v>
      </c>
      <c r="Y192" s="2"/>
      <c r="Z192" s="7">
        <f t="shared" si="72"/>
        <v>-1</v>
      </c>
    </row>
    <row r="193" spans="1:26" s="26" customFormat="1" outlineLevel="1" collapsed="1" x14ac:dyDescent="0.25">
      <c r="A193" s="27"/>
      <c r="B193" s="13" t="str">
        <f>CONCATENATE("     ","Donations                                         ")</f>
        <v xml:space="preserve">     Donations                                         </v>
      </c>
      <c r="C193" s="13"/>
      <c r="D193" s="1">
        <f>SUM(OSRRefD22_7x_0)</f>
        <v>0</v>
      </c>
      <c r="E193" s="1"/>
      <c r="F193" s="5">
        <f t="shared" ref="F193:F201" si="73">IF(D$12=0,0,D193/D$12)</f>
        <v>0</v>
      </c>
      <c r="G193" s="1"/>
      <c r="H193" s="1">
        <f>SUM(OSRRefH22_7x_0)</f>
        <v>3415.9</v>
      </c>
      <c r="I193" s="1"/>
      <c r="J193" s="5">
        <f t="shared" ref="J193:J201" si="74">IF(H$12=0,0,H193/H$12)</f>
        <v>7.5847728651514505E-3</v>
      </c>
      <c r="K193" s="1"/>
      <c r="L193" s="1">
        <f t="shared" ref="L193:L201" si="75">+D193-H193</f>
        <v>-3415.9</v>
      </c>
      <c r="M193" s="1"/>
      <c r="N193" s="5">
        <f t="shared" ref="N193:N201" si="76">IF(H193=0,0,L193/H193)</f>
        <v>-1</v>
      </c>
      <c r="O193" s="13"/>
      <c r="P193" s="1">
        <f>SUM(OSRRefP22_7x_0)</f>
        <v>0</v>
      </c>
      <c r="Q193" s="1"/>
      <c r="R193" s="5">
        <f t="shared" ref="R193:R201" si="77">IF(P$12=0,0,P193/P$12)</f>
        <v>0</v>
      </c>
      <c r="S193" s="1"/>
      <c r="T193" s="1">
        <f>SUM(OSRRefT22_7x_0)</f>
        <v>9647.3799999999992</v>
      </c>
      <c r="U193" s="1"/>
      <c r="V193" s="5">
        <f t="shared" ref="V193:V201" si="78">IF(T$12=0,0,T193/T$12)</f>
        <v>1.902393927165178E-3</v>
      </c>
      <c r="W193" s="1"/>
      <c r="X193" s="1">
        <f t="shared" ref="X193:X201" si="79">+P193-T193</f>
        <v>-9647.3799999999992</v>
      </c>
      <c r="Y193" s="1"/>
      <c r="Z193" s="5">
        <f t="shared" ref="Z193:Z201" si="80">IF(T193=0,0,X193/T193)</f>
        <v>-1</v>
      </c>
    </row>
    <row r="194" spans="1:26" s="24" customFormat="1" hidden="1" outlineLevel="2" x14ac:dyDescent="0.25">
      <c r="A194" s="25"/>
      <c r="B194" s="11" t="str">
        <f>CONCATENATE("          ", "6399", " - ", "DONATION-ON CAMPUS")</f>
        <v xml:space="preserve">          6399 - DONATION-ON CAMPUS</v>
      </c>
      <c r="C194" s="11"/>
      <c r="D194" s="6"/>
      <c r="E194" s="2"/>
      <c r="F194" s="7">
        <f t="shared" si="73"/>
        <v>0</v>
      </c>
      <c r="G194" s="2"/>
      <c r="H194" s="6">
        <v>3415.9</v>
      </c>
      <c r="I194" s="2"/>
      <c r="J194" s="7">
        <f t="shared" si="74"/>
        <v>7.5847728651514505E-3</v>
      </c>
      <c r="K194" s="2"/>
      <c r="L194" s="6">
        <f t="shared" si="75"/>
        <v>-3415.9</v>
      </c>
      <c r="M194" s="2"/>
      <c r="N194" s="7">
        <f t="shared" si="76"/>
        <v>-1</v>
      </c>
      <c r="O194" s="11"/>
      <c r="P194" s="6"/>
      <c r="Q194" s="2"/>
      <c r="R194" s="7">
        <f t="shared" si="77"/>
        <v>0</v>
      </c>
      <c r="S194" s="2"/>
      <c r="T194" s="6">
        <v>9647.3799999999992</v>
      </c>
      <c r="U194" s="2"/>
      <c r="V194" s="7">
        <f t="shared" si="78"/>
        <v>1.902393927165178E-3</v>
      </c>
      <c r="W194" s="2"/>
      <c r="X194" s="6">
        <f t="shared" si="79"/>
        <v>-9647.3799999999992</v>
      </c>
      <c r="Y194" s="2"/>
      <c r="Z194" s="7">
        <f t="shared" si="80"/>
        <v>-1</v>
      </c>
    </row>
    <row r="195" spans="1:26" s="26" customFormat="1" outlineLevel="1" collapsed="1" x14ac:dyDescent="0.25">
      <c r="A195" s="27"/>
      <c r="B195" s="13" t="str">
        <f>CONCATENATE("     ","Employees' Appreciation                           ")</f>
        <v xml:space="preserve">     Employees' Appreciation                           </v>
      </c>
      <c r="C195" s="13"/>
      <c r="D195" s="1">
        <f>SUM(OSRRefD22_8x_0)</f>
        <v>0</v>
      </c>
      <c r="E195" s="1"/>
      <c r="F195" s="5">
        <f t="shared" si="73"/>
        <v>0</v>
      </c>
      <c r="G195" s="1"/>
      <c r="H195" s="1">
        <f>SUM(OSRRefH22_8x_0)</f>
        <v>396.51</v>
      </c>
      <c r="I195" s="1"/>
      <c r="J195" s="5">
        <f t="shared" si="74"/>
        <v>8.8042339903428128E-4</v>
      </c>
      <c r="K195" s="1"/>
      <c r="L195" s="1">
        <f t="shared" si="75"/>
        <v>-396.51</v>
      </c>
      <c r="M195" s="1"/>
      <c r="N195" s="5">
        <f t="shared" si="76"/>
        <v>-1</v>
      </c>
      <c r="O195" s="13"/>
      <c r="P195" s="1">
        <f>SUM(OSRRefP22_8x_0)</f>
        <v>107.7</v>
      </c>
      <c r="Q195" s="1"/>
      <c r="R195" s="5">
        <f t="shared" si="77"/>
        <v>4.3691986312018751E-5</v>
      </c>
      <c r="S195" s="1"/>
      <c r="T195" s="1">
        <f>SUM(OSRRefT22_8x_0)</f>
        <v>1041.6400000000001</v>
      </c>
      <c r="U195" s="1"/>
      <c r="V195" s="5">
        <f t="shared" si="78"/>
        <v>2.0540391383902534E-4</v>
      </c>
      <c r="W195" s="1"/>
      <c r="X195" s="1">
        <f t="shared" si="79"/>
        <v>-933.94</v>
      </c>
      <c r="Y195" s="1"/>
      <c r="Z195" s="5">
        <f t="shared" si="80"/>
        <v>-0.89660535309703926</v>
      </c>
    </row>
    <row r="196" spans="1:26" s="24" customFormat="1" hidden="1" outlineLevel="2" x14ac:dyDescent="0.25">
      <c r="A196" s="25"/>
      <c r="B196" s="11" t="str">
        <f>CONCATENATE("          ", "6277", " - ", "EMPLOYEE APPRECIATION")</f>
        <v xml:space="preserve">          6277 - EMPLOYEE APPRECIATION</v>
      </c>
      <c r="C196" s="11"/>
      <c r="D196" s="6"/>
      <c r="E196" s="2"/>
      <c r="F196" s="7">
        <f t="shared" si="73"/>
        <v>0</v>
      </c>
      <c r="G196" s="2"/>
      <c r="H196" s="6">
        <v>396.51</v>
      </c>
      <c r="I196" s="2"/>
      <c r="J196" s="7">
        <f t="shared" si="74"/>
        <v>8.8042339903428128E-4</v>
      </c>
      <c r="K196" s="2"/>
      <c r="L196" s="6">
        <f t="shared" si="75"/>
        <v>-396.51</v>
      </c>
      <c r="M196" s="2"/>
      <c r="N196" s="7">
        <f t="shared" si="76"/>
        <v>-1</v>
      </c>
      <c r="O196" s="11"/>
      <c r="P196" s="6">
        <v>107.7</v>
      </c>
      <c r="Q196" s="2"/>
      <c r="R196" s="7">
        <f t="shared" si="77"/>
        <v>4.3691986312018751E-5</v>
      </c>
      <c r="S196" s="2"/>
      <c r="T196" s="6">
        <v>1041.6400000000001</v>
      </c>
      <c r="U196" s="2"/>
      <c r="V196" s="7">
        <f t="shared" si="78"/>
        <v>2.0540391383902534E-4</v>
      </c>
      <c r="W196" s="2"/>
      <c r="X196" s="6">
        <f t="shared" si="79"/>
        <v>-933.94</v>
      </c>
      <c r="Y196" s="2"/>
      <c r="Z196" s="7">
        <f t="shared" si="80"/>
        <v>-0.89660535309703926</v>
      </c>
    </row>
    <row r="197" spans="1:26" s="26" customFormat="1" outlineLevel="1" collapsed="1" x14ac:dyDescent="0.25">
      <c r="A197" s="27"/>
      <c r="B197" s="13" t="str">
        <f>CONCATENATE("     ","Equipment Rental                                  ")</f>
        <v xml:space="preserve">     Equipment Rental                                  </v>
      </c>
      <c r="C197" s="13"/>
      <c r="D197" s="1">
        <f>SUM(OSRRefD22_9x_0)</f>
        <v>1712.05</v>
      </c>
      <c r="E197" s="1"/>
      <c r="F197" s="5">
        <f t="shared" si="73"/>
        <v>1.5427673807224224E-2</v>
      </c>
      <c r="G197" s="1"/>
      <c r="H197" s="1">
        <f>SUM(OSRRefH22_9x_0)</f>
        <v>4423.12</v>
      </c>
      <c r="I197" s="1"/>
      <c r="J197" s="5">
        <f t="shared" si="74"/>
        <v>9.8212361472258206E-3</v>
      </c>
      <c r="K197" s="1"/>
      <c r="L197" s="1">
        <f t="shared" si="75"/>
        <v>-2711.0699999999997</v>
      </c>
      <c r="M197" s="1"/>
      <c r="N197" s="5">
        <f t="shared" si="76"/>
        <v>-0.61293159579663214</v>
      </c>
      <c r="O197" s="13"/>
      <c r="P197" s="1">
        <f>SUM(OSRRefP22_9x_0)</f>
        <v>7679.84</v>
      </c>
      <c r="Q197" s="1"/>
      <c r="R197" s="5">
        <f t="shared" si="77"/>
        <v>3.1155753403759893E-3</v>
      </c>
      <c r="S197" s="1"/>
      <c r="T197" s="1">
        <f>SUM(OSRRefT22_9x_0)</f>
        <v>11090.14</v>
      </c>
      <c r="U197" s="1"/>
      <c r="V197" s="5">
        <f t="shared" si="78"/>
        <v>2.1868958191147885E-3</v>
      </c>
      <c r="W197" s="1"/>
      <c r="X197" s="1">
        <f t="shared" si="79"/>
        <v>-3410.2999999999993</v>
      </c>
      <c r="Y197" s="1"/>
      <c r="Z197" s="5">
        <f t="shared" si="80"/>
        <v>-0.30750738944684192</v>
      </c>
    </row>
    <row r="198" spans="1:26" s="24" customFormat="1" hidden="1" outlineLevel="2" x14ac:dyDescent="0.25">
      <c r="A198" s="25"/>
      <c r="B198" s="11" t="str">
        <f>CONCATENATE("          ", "6351", " - ", "EQUIPMENT RENTAL")</f>
        <v xml:space="preserve">          6351 - EQUIPMENT RENTAL</v>
      </c>
      <c r="C198" s="11"/>
      <c r="D198" s="6">
        <v>1712.05</v>
      </c>
      <c r="E198" s="2"/>
      <c r="F198" s="7">
        <f t="shared" si="73"/>
        <v>1.5427673807224224E-2</v>
      </c>
      <c r="G198" s="2"/>
      <c r="H198" s="6">
        <v>4423.12</v>
      </c>
      <c r="I198" s="2"/>
      <c r="J198" s="7">
        <f t="shared" si="74"/>
        <v>9.8212361472258206E-3</v>
      </c>
      <c r="K198" s="2"/>
      <c r="L198" s="6">
        <f t="shared" si="75"/>
        <v>-2711.0699999999997</v>
      </c>
      <c r="M198" s="2"/>
      <c r="N198" s="7">
        <f t="shared" si="76"/>
        <v>-0.61293159579663214</v>
      </c>
      <c r="O198" s="11"/>
      <c r="P198" s="6">
        <v>7679.84</v>
      </c>
      <c r="Q198" s="2"/>
      <c r="R198" s="7">
        <f t="shared" si="77"/>
        <v>3.1155753403759893E-3</v>
      </c>
      <c r="S198" s="2"/>
      <c r="T198" s="6">
        <v>11090.14</v>
      </c>
      <c r="U198" s="2"/>
      <c r="V198" s="7">
        <f t="shared" si="78"/>
        <v>2.1868958191147885E-3</v>
      </c>
      <c r="W198" s="2"/>
      <c r="X198" s="6">
        <f t="shared" si="79"/>
        <v>-3410.2999999999993</v>
      </c>
      <c r="Y198" s="2"/>
      <c r="Z198" s="7">
        <f t="shared" si="80"/>
        <v>-0.30750738944684192</v>
      </c>
    </row>
    <row r="199" spans="1:26" s="26" customFormat="1" outlineLevel="1" collapsed="1" x14ac:dyDescent="0.25">
      <c r="A199" s="27"/>
      <c r="B199" s="13" t="str">
        <f>CONCATENATE("     ","Freight out/Postage                               ")</f>
        <v xml:space="preserve">     Freight out/Postage                               </v>
      </c>
      <c r="C199" s="13"/>
      <c r="D199" s="1">
        <f>SUM(OSRRefD22_10x_0)</f>
        <v>12488.57</v>
      </c>
      <c r="E199" s="1"/>
      <c r="F199" s="5">
        <f t="shared" si="73"/>
        <v>0.11253735830068412</v>
      </c>
      <c r="G199" s="1"/>
      <c r="H199" s="1">
        <f>SUM(OSRRefH22_10x_0)</f>
        <v>8752.73</v>
      </c>
      <c r="I199" s="1"/>
      <c r="J199" s="5">
        <f t="shared" si="74"/>
        <v>1.9434839720131457E-2</v>
      </c>
      <c r="K199" s="1"/>
      <c r="L199" s="1">
        <f t="shared" si="75"/>
        <v>3735.84</v>
      </c>
      <c r="M199" s="1"/>
      <c r="N199" s="5">
        <f t="shared" si="76"/>
        <v>0.42681997502493513</v>
      </c>
      <c r="O199" s="13"/>
      <c r="P199" s="1">
        <f>SUM(OSRRefP22_10x_0)</f>
        <v>-19354.78</v>
      </c>
      <c r="Q199" s="1"/>
      <c r="R199" s="5">
        <f t="shared" si="77"/>
        <v>-7.851892134003103E-3</v>
      </c>
      <c r="S199" s="1"/>
      <c r="T199" s="1">
        <f>SUM(OSRRefT22_10x_0)</f>
        <v>4674.32</v>
      </c>
      <c r="U199" s="1"/>
      <c r="V199" s="5">
        <f t="shared" si="78"/>
        <v>9.21742274236812E-4</v>
      </c>
      <c r="W199" s="1"/>
      <c r="X199" s="1">
        <f t="shared" si="79"/>
        <v>-24029.1</v>
      </c>
      <c r="Y199" s="1"/>
      <c r="Z199" s="5">
        <f t="shared" si="80"/>
        <v>-5.1406621711821181</v>
      </c>
    </row>
    <row r="200" spans="1:26" s="24" customFormat="1" hidden="1" outlineLevel="2" x14ac:dyDescent="0.25">
      <c r="A200" s="25"/>
      <c r="B200" s="11" t="str">
        <f>CONCATENATE("          ", "6305", " - ", "FREIGHT OUT")</f>
        <v xml:space="preserve">          6305 - FREIGHT OUT</v>
      </c>
      <c r="C200" s="11"/>
      <c r="D200" s="6">
        <v>16808.28</v>
      </c>
      <c r="E200" s="2"/>
      <c r="F200" s="7">
        <f t="shared" si="73"/>
        <v>0.15146325230016108</v>
      </c>
      <c r="G200" s="2"/>
      <c r="H200" s="6">
        <v>9212.1</v>
      </c>
      <c r="I200" s="2"/>
      <c r="J200" s="7">
        <f t="shared" si="74"/>
        <v>2.0454839459896859E-2</v>
      </c>
      <c r="K200" s="2"/>
      <c r="L200" s="6">
        <f t="shared" si="75"/>
        <v>7596.1799999999985</v>
      </c>
      <c r="M200" s="2"/>
      <c r="N200" s="7">
        <f t="shared" si="76"/>
        <v>0.82458722766795822</v>
      </c>
      <c r="O200" s="11"/>
      <c r="P200" s="6">
        <v>103061.02</v>
      </c>
      <c r="Q200" s="2"/>
      <c r="R200" s="7">
        <f t="shared" si="77"/>
        <v>4.1810034123887563E-2</v>
      </c>
      <c r="S200" s="2"/>
      <c r="T200" s="6">
        <v>28721.919999999998</v>
      </c>
      <c r="U200" s="2"/>
      <c r="V200" s="7">
        <f t="shared" si="78"/>
        <v>5.6637559818856591E-3</v>
      </c>
      <c r="W200" s="2"/>
      <c r="X200" s="6">
        <f t="shared" si="79"/>
        <v>74339.100000000006</v>
      </c>
      <c r="Y200" s="2"/>
      <c r="Z200" s="7">
        <f t="shared" si="80"/>
        <v>2.5882357446855924</v>
      </c>
    </row>
    <row r="201" spans="1:26" s="24" customFormat="1" hidden="1" outlineLevel="2" x14ac:dyDescent="0.25">
      <c r="A201" s="25"/>
      <c r="B201" s="11" t="str">
        <f>CONCATENATE("          ", "6307", " - ", "POSTAGE")</f>
        <v xml:space="preserve">          6307 - POSTAGE</v>
      </c>
      <c r="C201" s="11"/>
      <c r="D201" s="6">
        <v>-4319.71</v>
      </c>
      <c r="E201" s="2"/>
      <c r="F201" s="7">
        <f t="shared" si="73"/>
        <v>-3.8925893999476976E-2</v>
      </c>
      <c r="G201" s="2"/>
      <c r="H201" s="6">
        <v>-459.37</v>
      </c>
      <c r="I201" s="2"/>
      <c r="J201" s="7">
        <f t="shared" si="74"/>
        <v>-1.0199997397653975E-3</v>
      </c>
      <c r="K201" s="2"/>
      <c r="L201" s="6">
        <f t="shared" si="75"/>
        <v>-3860.34</v>
      </c>
      <c r="M201" s="2"/>
      <c r="N201" s="7">
        <f t="shared" si="76"/>
        <v>8.4035526917299777</v>
      </c>
      <c r="O201" s="11"/>
      <c r="P201" s="6">
        <v>-122415.8</v>
      </c>
      <c r="Q201" s="2"/>
      <c r="R201" s="7">
        <f t="shared" si="77"/>
        <v>-4.9661926257890669E-2</v>
      </c>
      <c r="S201" s="2"/>
      <c r="T201" s="6">
        <v>-24047.599999999999</v>
      </c>
      <c r="U201" s="2"/>
      <c r="V201" s="7">
        <f t="shared" si="78"/>
        <v>-4.7420137076488473E-3</v>
      </c>
      <c r="W201" s="2"/>
      <c r="X201" s="6">
        <f t="shared" si="79"/>
        <v>-98368.200000000012</v>
      </c>
      <c r="Y201" s="2"/>
      <c r="Z201" s="7">
        <f t="shared" si="80"/>
        <v>4.0905620519303385</v>
      </c>
    </row>
    <row r="202" spans="1:26" s="26" customFormat="1" outlineLevel="1" collapsed="1" x14ac:dyDescent="0.25">
      <c r="A202" s="27"/>
      <c r="B202" s="13" t="str">
        <f>CONCATENATE("     ","General                                           ")</f>
        <v xml:space="preserve">     General                                           </v>
      </c>
      <c r="C202" s="13"/>
      <c r="D202" s="1">
        <f>SUM(OSRRefD22_11x_0)</f>
        <v>3792.73</v>
      </c>
      <c r="E202" s="1"/>
      <c r="F202" s="5">
        <f t="shared" ref="F202:F216" si="81">IF(D$12=0,0,D202/D$12)</f>
        <v>3.4177156787987231E-2</v>
      </c>
      <c r="G202" s="1"/>
      <c r="H202" s="1">
        <f>SUM(OSRRefH22_11x_0)</f>
        <v>12059.82</v>
      </c>
      <c r="I202" s="1"/>
      <c r="J202" s="5">
        <f t="shared" ref="J202:J216" si="82">IF(H$12=0,0,H202/H$12)</f>
        <v>2.677800740496231E-2</v>
      </c>
      <c r="K202" s="1"/>
      <c r="L202" s="1">
        <f t="shared" ref="L202:L216" si="83">+D202-H202</f>
        <v>-8267.09</v>
      </c>
      <c r="M202" s="1"/>
      <c r="N202" s="5">
        <f t="shared" ref="N202:N216" si="84">IF(H202=0,0,L202/H202)</f>
        <v>-0.68550691469690261</v>
      </c>
      <c r="O202" s="13"/>
      <c r="P202" s="1">
        <f>SUM(OSRRefP22_11x_0)</f>
        <v>545.9</v>
      </c>
      <c r="Q202" s="1"/>
      <c r="R202" s="5">
        <f t="shared" ref="R202:R216" si="85">IF(P$12=0,0,P202/P$12)</f>
        <v>2.2146198075887681E-4</v>
      </c>
      <c r="S202" s="1"/>
      <c r="T202" s="1">
        <f>SUM(OSRRefT22_11x_0)</f>
        <v>-3452.97</v>
      </c>
      <c r="U202" s="1"/>
      <c r="V202" s="5">
        <f t="shared" ref="V202:V216" si="86">IF(T$12=0,0,T202/T$12)</f>
        <v>-6.8090084133552785E-4</v>
      </c>
      <c r="W202" s="1"/>
      <c r="X202" s="1">
        <f t="shared" ref="X202:X216" si="87">+P202-T202</f>
        <v>3998.87</v>
      </c>
      <c r="Y202" s="1"/>
      <c r="Z202" s="5">
        <f t="shared" ref="Z202:Z216" si="88">IF(T202=0,0,X202/T202)</f>
        <v>-1.1580957842089563</v>
      </c>
    </row>
    <row r="203" spans="1:26" s="24" customFormat="1" hidden="1" outlineLevel="2" x14ac:dyDescent="0.25">
      <c r="A203" s="25"/>
      <c r="B203" s="11" t="str">
        <f>CONCATENATE("          ", "6279", " - ", "GENERAL EXPENSE")</f>
        <v xml:space="preserve">          6279 - GENERAL EXPENSE</v>
      </c>
      <c r="C203" s="11"/>
      <c r="D203" s="6">
        <v>3792.73</v>
      </c>
      <c r="E203" s="2"/>
      <c r="F203" s="7">
        <f t="shared" si="81"/>
        <v>3.4177156787987231E-2</v>
      </c>
      <c r="G203" s="2"/>
      <c r="H203" s="6">
        <v>12059.82</v>
      </c>
      <c r="I203" s="2"/>
      <c r="J203" s="7">
        <f t="shared" si="82"/>
        <v>2.677800740496231E-2</v>
      </c>
      <c r="K203" s="2"/>
      <c r="L203" s="6">
        <f t="shared" si="83"/>
        <v>-8267.09</v>
      </c>
      <c r="M203" s="2"/>
      <c r="N203" s="7">
        <f t="shared" si="84"/>
        <v>-0.68550691469690261</v>
      </c>
      <c r="O203" s="11"/>
      <c r="P203" s="6">
        <v>545.9</v>
      </c>
      <c r="Q203" s="2"/>
      <c r="R203" s="7">
        <f t="shared" si="85"/>
        <v>2.2146198075887681E-4</v>
      </c>
      <c r="S203" s="2"/>
      <c r="T203" s="6">
        <v>-3452.97</v>
      </c>
      <c r="U203" s="2"/>
      <c r="V203" s="7">
        <f t="shared" si="86"/>
        <v>-6.8090084133552785E-4</v>
      </c>
      <c r="W203" s="2"/>
      <c r="X203" s="6">
        <f t="shared" si="87"/>
        <v>3998.87</v>
      </c>
      <c r="Y203" s="2"/>
      <c r="Z203" s="7">
        <f t="shared" si="88"/>
        <v>-1.1580957842089563</v>
      </c>
    </row>
    <row r="204" spans="1:26" s="26" customFormat="1" outlineLevel="1" collapsed="1" x14ac:dyDescent="0.25">
      <c r="A204" s="27"/>
      <c r="B204" s="13" t="str">
        <f>CONCATENATE("     ","Insurance                                         ")</f>
        <v xml:space="preserve">     Insurance                                         </v>
      </c>
      <c r="C204" s="13"/>
      <c r="D204" s="1">
        <f>SUM(OSRRefD22_12x_0)</f>
        <v>4044.74</v>
      </c>
      <c r="E204" s="1"/>
      <c r="F204" s="5">
        <f t="shared" si="81"/>
        <v>3.6448076490191356E-2</v>
      </c>
      <c r="G204" s="1"/>
      <c r="H204" s="1">
        <f>SUM(OSRRefH22_12x_0)</f>
        <v>4044.74</v>
      </c>
      <c r="I204" s="1"/>
      <c r="J204" s="5">
        <f t="shared" si="82"/>
        <v>8.9810691760861486E-3</v>
      </c>
      <c r="K204" s="1"/>
      <c r="L204" s="1">
        <f t="shared" si="83"/>
        <v>0</v>
      </c>
      <c r="M204" s="1"/>
      <c r="N204" s="5">
        <f t="shared" si="84"/>
        <v>0</v>
      </c>
      <c r="O204" s="13"/>
      <c r="P204" s="1">
        <f>SUM(OSRRefP22_12x_0)</f>
        <v>20223.7</v>
      </c>
      <c r="Q204" s="1"/>
      <c r="R204" s="5">
        <f t="shared" si="85"/>
        <v>8.204397619112104E-3</v>
      </c>
      <c r="S204" s="1"/>
      <c r="T204" s="1">
        <f>SUM(OSRRefT22_12x_0)</f>
        <v>20223.7</v>
      </c>
      <c r="U204" s="1"/>
      <c r="V204" s="5">
        <f t="shared" si="86"/>
        <v>3.9879681389984028E-3</v>
      </c>
      <c r="W204" s="1"/>
      <c r="X204" s="1">
        <f t="shared" si="87"/>
        <v>0</v>
      </c>
      <c r="Y204" s="1"/>
      <c r="Z204" s="5">
        <f t="shared" si="88"/>
        <v>0</v>
      </c>
    </row>
    <row r="205" spans="1:26" s="24" customFormat="1" hidden="1" outlineLevel="2" x14ac:dyDescent="0.25">
      <c r="A205" s="25"/>
      <c r="B205" s="11" t="str">
        <f>CONCATENATE("          ", "6314", " - ", "LIABILITY INSURANCE")</f>
        <v xml:space="preserve">          6314 - LIABILITY INSURANCE</v>
      </c>
      <c r="C205" s="11"/>
      <c r="D205" s="6">
        <v>4044.74</v>
      </c>
      <c r="E205" s="2"/>
      <c r="F205" s="7">
        <f t="shared" si="81"/>
        <v>3.6448076490191356E-2</v>
      </c>
      <c r="G205" s="2"/>
      <c r="H205" s="6">
        <v>4044.74</v>
      </c>
      <c r="I205" s="2"/>
      <c r="J205" s="7">
        <f t="shared" si="82"/>
        <v>8.9810691760861486E-3</v>
      </c>
      <c r="K205" s="2"/>
      <c r="L205" s="6">
        <f t="shared" si="83"/>
        <v>0</v>
      </c>
      <c r="M205" s="2"/>
      <c r="N205" s="7">
        <f t="shared" si="84"/>
        <v>0</v>
      </c>
      <c r="O205" s="11"/>
      <c r="P205" s="6">
        <v>20223.7</v>
      </c>
      <c r="Q205" s="2"/>
      <c r="R205" s="7">
        <f t="shared" si="85"/>
        <v>8.204397619112104E-3</v>
      </c>
      <c r="S205" s="2"/>
      <c r="T205" s="6">
        <v>20223.7</v>
      </c>
      <c r="U205" s="2"/>
      <c r="V205" s="7">
        <f t="shared" si="86"/>
        <v>3.9879681389984028E-3</v>
      </c>
      <c r="W205" s="2"/>
      <c r="X205" s="6">
        <f t="shared" si="87"/>
        <v>0</v>
      </c>
      <c r="Y205" s="2"/>
      <c r="Z205" s="7">
        <f t="shared" si="88"/>
        <v>0</v>
      </c>
    </row>
    <row r="206" spans="1:26" s="26" customFormat="1" outlineLevel="1" collapsed="1" x14ac:dyDescent="0.25">
      <c r="A206" s="27"/>
      <c r="B206" s="13" t="str">
        <f>CONCATENATE("     ","Inventory Adjustment                              ")</f>
        <v xml:space="preserve">     Inventory Adjustment                              </v>
      </c>
      <c r="C206" s="13"/>
      <c r="D206" s="1">
        <f>SUM(OSRRefD22_13x_0)</f>
        <v>2100</v>
      </c>
      <c r="E206" s="1"/>
      <c r="F206" s="5">
        <f t="shared" si="81"/>
        <v>1.8923579915990113E-2</v>
      </c>
      <c r="G206" s="1"/>
      <c r="H206" s="1">
        <f>SUM(OSRRefH22_13x_0)</f>
        <v>4250</v>
      </c>
      <c r="I206" s="1"/>
      <c r="J206" s="5">
        <f t="shared" si="82"/>
        <v>9.4368350001152439E-3</v>
      </c>
      <c r="K206" s="1"/>
      <c r="L206" s="1">
        <f t="shared" si="83"/>
        <v>-2150</v>
      </c>
      <c r="M206" s="1"/>
      <c r="N206" s="5">
        <f t="shared" si="84"/>
        <v>-0.50588235294117645</v>
      </c>
      <c r="O206" s="13"/>
      <c r="P206" s="1">
        <f>SUM(OSRRefP22_13x_0)</f>
        <v>10500</v>
      </c>
      <c r="Q206" s="1"/>
      <c r="R206" s="5">
        <f t="shared" si="85"/>
        <v>4.2596644036787083E-3</v>
      </c>
      <c r="S206" s="1"/>
      <c r="T206" s="1">
        <f>SUM(OSRRefT22_13x_0)</f>
        <v>21150</v>
      </c>
      <c r="U206" s="1"/>
      <c r="V206" s="5">
        <f t="shared" si="86"/>
        <v>4.1706278346601375E-3</v>
      </c>
      <c r="W206" s="1"/>
      <c r="X206" s="1">
        <f t="shared" si="87"/>
        <v>-10650</v>
      </c>
      <c r="Y206" s="1"/>
      <c r="Z206" s="5">
        <f t="shared" si="88"/>
        <v>-0.50354609929078009</v>
      </c>
    </row>
    <row r="207" spans="1:26" s="24" customFormat="1" hidden="1" outlineLevel="2" x14ac:dyDescent="0.25">
      <c r="A207" s="25"/>
      <c r="B207" s="11" t="str">
        <f>CONCATENATE("          ", "6408", " - ", "INVENTORY ADJUSTMENT")</f>
        <v xml:space="preserve">          6408 - INVENTORY ADJUSTMENT</v>
      </c>
      <c r="C207" s="11"/>
      <c r="D207" s="6">
        <v>2100</v>
      </c>
      <c r="E207" s="2"/>
      <c r="F207" s="7">
        <f t="shared" si="81"/>
        <v>1.8923579915990113E-2</v>
      </c>
      <c r="G207" s="2"/>
      <c r="H207" s="6">
        <v>4250</v>
      </c>
      <c r="I207" s="2"/>
      <c r="J207" s="7">
        <f t="shared" si="82"/>
        <v>9.4368350001152439E-3</v>
      </c>
      <c r="K207" s="2"/>
      <c r="L207" s="6">
        <f t="shared" si="83"/>
        <v>-2150</v>
      </c>
      <c r="M207" s="2"/>
      <c r="N207" s="7">
        <f t="shared" si="84"/>
        <v>-0.50588235294117645</v>
      </c>
      <c r="O207" s="11"/>
      <c r="P207" s="6">
        <v>10500</v>
      </c>
      <c r="Q207" s="2"/>
      <c r="R207" s="7">
        <f t="shared" si="85"/>
        <v>4.2596644036787083E-3</v>
      </c>
      <c r="S207" s="2"/>
      <c r="T207" s="6">
        <v>21150</v>
      </c>
      <c r="U207" s="2"/>
      <c r="V207" s="7">
        <f t="shared" si="86"/>
        <v>4.1706278346601375E-3</v>
      </c>
      <c r="W207" s="2"/>
      <c r="X207" s="6">
        <f t="shared" si="87"/>
        <v>-10650</v>
      </c>
      <c r="Y207" s="2"/>
      <c r="Z207" s="7">
        <f t="shared" si="88"/>
        <v>-0.50354609929078009</v>
      </c>
    </row>
    <row r="208" spans="1:26" s="26" customFormat="1" outlineLevel="1" collapsed="1" x14ac:dyDescent="0.25">
      <c r="A208" s="27"/>
      <c r="B208" s="13" t="str">
        <f>CONCATENATE("     ","Professional Services                             ")</f>
        <v xml:space="preserve">     Professional Services                             </v>
      </c>
      <c r="C208" s="13"/>
      <c r="D208" s="1">
        <f>SUM(OSRRefD22_14x_0)</f>
        <v>0</v>
      </c>
      <c r="E208" s="1"/>
      <c r="F208" s="5">
        <f t="shared" si="81"/>
        <v>0</v>
      </c>
      <c r="G208" s="1"/>
      <c r="H208" s="1">
        <f>SUM(OSRRefH22_14x_0)</f>
        <v>0</v>
      </c>
      <c r="I208" s="1"/>
      <c r="J208" s="5">
        <f t="shared" si="82"/>
        <v>0</v>
      </c>
      <c r="K208" s="1"/>
      <c r="L208" s="1">
        <f t="shared" si="83"/>
        <v>0</v>
      </c>
      <c r="M208" s="1"/>
      <c r="N208" s="5">
        <f t="shared" si="84"/>
        <v>0</v>
      </c>
      <c r="O208" s="13"/>
      <c r="P208" s="1">
        <f>SUM(OSRRefP22_14x_0)</f>
        <v>0</v>
      </c>
      <c r="Q208" s="1"/>
      <c r="R208" s="5">
        <f t="shared" si="85"/>
        <v>0</v>
      </c>
      <c r="S208" s="1"/>
      <c r="T208" s="1">
        <f>SUM(OSRRefT22_14x_0)</f>
        <v>6158.41</v>
      </c>
      <c r="U208" s="1"/>
      <c r="V208" s="5">
        <f t="shared" si="86"/>
        <v>1.214394144834484E-3</v>
      </c>
      <c r="W208" s="1"/>
      <c r="X208" s="1">
        <f t="shared" si="87"/>
        <v>-6158.41</v>
      </c>
      <c r="Y208" s="1"/>
      <c r="Z208" s="5">
        <f t="shared" si="88"/>
        <v>-1</v>
      </c>
    </row>
    <row r="209" spans="1:26" s="24" customFormat="1" hidden="1" outlineLevel="2" x14ac:dyDescent="0.25">
      <c r="A209" s="25"/>
      <c r="B209" s="11" t="str">
        <f>CONCATENATE("          ", "6336", " - ", "PROFESSIONAL SERVICES")</f>
        <v xml:space="preserve">          6336 - PROFESSIONAL SERVICES</v>
      </c>
      <c r="C209" s="11"/>
      <c r="D209" s="6"/>
      <c r="E209" s="2"/>
      <c r="F209" s="7">
        <f t="shared" si="81"/>
        <v>0</v>
      </c>
      <c r="G209" s="2"/>
      <c r="H209" s="6"/>
      <c r="I209" s="2"/>
      <c r="J209" s="7">
        <f t="shared" si="82"/>
        <v>0</v>
      </c>
      <c r="K209" s="2"/>
      <c r="L209" s="6">
        <f t="shared" si="83"/>
        <v>0</v>
      </c>
      <c r="M209" s="2"/>
      <c r="N209" s="7">
        <f t="shared" si="84"/>
        <v>0</v>
      </c>
      <c r="O209" s="11"/>
      <c r="P209" s="6"/>
      <c r="Q209" s="2"/>
      <c r="R209" s="7">
        <f t="shared" si="85"/>
        <v>0</v>
      </c>
      <c r="S209" s="2"/>
      <c r="T209" s="6">
        <v>6158.41</v>
      </c>
      <c r="U209" s="2"/>
      <c r="V209" s="7">
        <f t="shared" si="86"/>
        <v>1.214394144834484E-3</v>
      </c>
      <c r="W209" s="2"/>
      <c r="X209" s="6">
        <f t="shared" si="87"/>
        <v>-6158.41</v>
      </c>
      <c r="Y209" s="2"/>
      <c r="Z209" s="7">
        <f t="shared" si="88"/>
        <v>-1</v>
      </c>
    </row>
    <row r="210" spans="1:26" s="26" customFormat="1" outlineLevel="1" collapsed="1" x14ac:dyDescent="0.25">
      <c r="A210" s="27"/>
      <c r="B210" s="13" t="str">
        <f>CONCATENATE("     ","Rent                                              ")</f>
        <v xml:space="preserve">     Rent                                              </v>
      </c>
      <c r="C210" s="13"/>
      <c r="D210" s="1">
        <f>SUM(OSRRefD22_15x_0)</f>
        <v>6100</v>
      </c>
      <c r="E210" s="1"/>
      <c r="F210" s="5">
        <f t="shared" si="81"/>
        <v>5.4968494041685564E-2</v>
      </c>
      <c r="G210" s="1"/>
      <c r="H210" s="1">
        <f>SUM(OSRRefH22_15x_0)</f>
        <v>6100</v>
      </c>
      <c r="I210" s="1"/>
      <c r="J210" s="5">
        <f t="shared" si="82"/>
        <v>1.3544633764871292E-2</v>
      </c>
      <c r="K210" s="1"/>
      <c r="L210" s="1">
        <f t="shared" si="83"/>
        <v>0</v>
      </c>
      <c r="M210" s="1"/>
      <c r="N210" s="5">
        <f t="shared" si="84"/>
        <v>0</v>
      </c>
      <c r="O210" s="13"/>
      <c r="P210" s="1">
        <f>SUM(OSRRefP22_15x_0)</f>
        <v>30500</v>
      </c>
      <c r="Q210" s="1"/>
      <c r="R210" s="5">
        <f t="shared" si="85"/>
        <v>1.2373310886876246E-2</v>
      </c>
      <c r="S210" s="1"/>
      <c r="T210" s="1">
        <f>SUM(OSRRefT22_15x_0)</f>
        <v>30500</v>
      </c>
      <c r="U210" s="1"/>
      <c r="V210" s="5">
        <f t="shared" si="86"/>
        <v>6.0143805653491344E-3</v>
      </c>
      <c r="W210" s="1"/>
      <c r="X210" s="1">
        <f t="shared" si="87"/>
        <v>0</v>
      </c>
      <c r="Y210" s="1"/>
      <c r="Z210" s="5">
        <f t="shared" si="88"/>
        <v>0</v>
      </c>
    </row>
    <row r="211" spans="1:26" s="24" customFormat="1" hidden="1" outlineLevel="2" x14ac:dyDescent="0.25">
      <c r="A211" s="25"/>
      <c r="B211" s="11" t="str">
        <f>CONCATENATE("          ", "6273", " - ", "RENT")</f>
        <v xml:space="preserve">          6273 - RENT</v>
      </c>
      <c r="C211" s="11"/>
      <c r="D211" s="6">
        <v>6100</v>
      </c>
      <c r="E211" s="2"/>
      <c r="F211" s="7">
        <f t="shared" si="81"/>
        <v>5.4968494041685564E-2</v>
      </c>
      <c r="G211" s="2"/>
      <c r="H211" s="6">
        <v>6100</v>
      </c>
      <c r="I211" s="2"/>
      <c r="J211" s="7">
        <f t="shared" si="82"/>
        <v>1.3544633764871292E-2</v>
      </c>
      <c r="K211" s="2"/>
      <c r="L211" s="6">
        <f t="shared" si="83"/>
        <v>0</v>
      </c>
      <c r="M211" s="2"/>
      <c r="N211" s="7">
        <f t="shared" si="84"/>
        <v>0</v>
      </c>
      <c r="O211" s="11"/>
      <c r="P211" s="6">
        <v>30500</v>
      </c>
      <c r="Q211" s="2"/>
      <c r="R211" s="7">
        <f t="shared" si="85"/>
        <v>1.2373310886876246E-2</v>
      </c>
      <c r="S211" s="2"/>
      <c r="T211" s="6">
        <v>30500</v>
      </c>
      <c r="U211" s="2"/>
      <c r="V211" s="7">
        <f t="shared" si="86"/>
        <v>6.0143805653491344E-3</v>
      </c>
      <c r="W211" s="2"/>
      <c r="X211" s="6">
        <f t="shared" si="87"/>
        <v>0</v>
      </c>
      <c r="Y211" s="2"/>
      <c r="Z211" s="7">
        <f t="shared" si="88"/>
        <v>0</v>
      </c>
    </row>
    <row r="212" spans="1:26" s="26" customFormat="1" outlineLevel="1" collapsed="1" x14ac:dyDescent="0.25">
      <c r="A212" s="27"/>
      <c r="B212" s="13" t="str">
        <f>CONCATENATE("     ","Repair and Maintenance                            ")</f>
        <v xml:space="preserve">     Repair and Maintenance                            </v>
      </c>
      <c r="C212" s="13"/>
      <c r="D212" s="1">
        <f>SUM(OSRRefD22_16x_0)</f>
        <v>3234.7799999999997</v>
      </c>
      <c r="E212" s="1"/>
      <c r="F212" s="5">
        <f t="shared" si="81"/>
        <v>2.9149341828879283E-2</v>
      </c>
      <c r="G212" s="1"/>
      <c r="H212" s="1">
        <f>SUM(OSRRefH22_16x_0)</f>
        <v>5260.4400000000005</v>
      </c>
      <c r="I212" s="1"/>
      <c r="J212" s="5">
        <f t="shared" si="82"/>
        <v>1.1680448072472057E-2</v>
      </c>
      <c r="K212" s="1"/>
      <c r="L212" s="1">
        <f t="shared" si="83"/>
        <v>-2025.6600000000008</v>
      </c>
      <c r="M212" s="1"/>
      <c r="N212" s="5">
        <f t="shared" si="84"/>
        <v>-0.38507425234391052</v>
      </c>
      <c r="O212" s="13"/>
      <c r="P212" s="1">
        <f>SUM(OSRRefP22_16x_0)</f>
        <v>101179.15</v>
      </c>
      <c r="Q212" s="1"/>
      <c r="R212" s="5">
        <f t="shared" si="85"/>
        <v>4.1046592728520813E-2</v>
      </c>
      <c r="S212" s="1"/>
      <c r="T212" s="1">
        <f>SUM(OSRRefT22_16x_0)</f>
        <v>70201.75</v>
      </c>
      <c r="U212" s="1"/>
      <c r="V212" s="5">
        <f t="shared" si="86"/>
        <v>1.3843280027983561E-2</v>
      </c>
      <c r="W212" s="1"/>
      <c r="X212" s="1">
        <f t="shared" si="87"/>
        <v>30977.399999999994</v>
      </c>
      <c r="Y212" s="1"/>
      <c r="Z212" s="5">
        <f t="shared" si="88"/>
        <v>0.44126250413985396</v>
      </c>
    </row>
    <row r="213" spans="1:26" s="24" customFormat="1" hidden="1" outlineLevel="2" x14ac:dyDescent="0.25">
      <c r="A213" s="25"/>
      <c r="B213" s="11" t="str">
        <f>CONCATENATE("          ", "6371", " - ", "COMPUTER SOFTWARE MAINTENANCE")</f>
        <v xml:space="preserve">          6371 - COMPUTER SOFTWARE MAINTENANCE</v>
      </c>
      <c r="C213" s="11"/>
      <c r="D213" s="6"/>
      <c r="E213" s="2"/>
      <c r="F213" s="7">
        <f t="shared" si="81"/>
        <v>0</v>
      </c>
      <c r="G213" s="2"/>
      <c r="H213" s="6">
        <v>601</v>
      </c>
      <c r="I213" s="2"/>
      <c r="J213" s="7">
        <f t="shared" si="82"/>
        <v>1.3344794906045322E-3</v>
      </c>
      <c r="K213" s="2"/>
      <c r="L213" s="6">
        <f t="shared" si="83"/>
        <v>-601</v>
      </c>
      <c r="M213" s="2"/>
      <c r="N213" s="7">
        <f t="shared" si="84"/>
        <v>-1</v>
      </c>
      <c r="O213" s="11"/>
      <c r="P213" s="6">
        <v>58436.47</v>
      </c>
      <c r="Q213" s="2"/>
      <c r="R213" s="7">
        <f t="shared" si="85"/>
        <v>2.3706642965298924E-2</v>
      </c>
      <c r="S213" s="2"/>
      <c r="T213" s="6">
        <v>13352.4</v>
      </c>
      <c r="U213" s="2"/>
      <c r="V213" s="7">
        <f t="shared" si="86"/>
        <v>2.6329972151071402E-3</v>
      </c>
      <c r="W213" s="2"/>
      <c r="X213" s="6">
        <f t="shared" si="87"/>
        <v>45084.07</v>
      </c>
      <c r="Y213" s="2"/>
      <c r="Z213" s="7">
        <f t="shared" si="88"/>
        <v>3.3764768880500884</v>
      </c>
    </row>
    <row r="214" spans="1:26" s="24" customFormat="1" hidden="1" outlineLevel="2" x14ac:dyDescent="0.25">
      <c r="A214" s="25"/>
      <c r="B214" s="11" t="str">
        <f>CONCATENATE("          ", "6372", " - ", "COMPUTER HARDWARE MAINTENANCE")</f>
        <v xml:space="preserve">          6372 - COMPUTER HARDWARE MAINTENANCE</v>
      </c>
      <c r="C214" s="11"/>
      <c r="D214" s="6"/>
      <c r="E214" s="2"/>
      <c r="F214" s="7">
        <f t="shared" si="81"/>
        <v>0</v>
      </c>
      <c r="G214" s="2"/>
      <c r="H214" s="6"/>
      <c r="I214" s="2"/>
      <c r="J214" s="7">
        <f t="shared" si="82"/>
        <v>0</v>
      </c>
      <c r="K214" s="2"/>
      <c r="L214" s="6">
        <f t="shared" si="83"/>
        <v>0</v>
      </c>
      <c r="M214" s="2"/>
      <c r="N214" s="7">
        <f t="shared" si="84"/>
        <v>0</v>
      </c>
      <c r="O214" s="11"/>
      <c r="P214" s="6">
        <v>0</v>
      </c>
      <c r="Q214" s="2"/>
      <c r="R214" s="7">
        <f t="shared" si="85"/>
        <v>0</v>
      </c>
      <c r="S214" s="2"/>
      <c r="T214" s="6"/>
      <c r="U214" s="2"/>
      <c r="V214" s="7">
        <f t="shared" si="86"/>
        <v>0</v>
      </c>
      <c r="W214" s="2"/>
      <c r="X214" s="6">
        <f t="shared" si="87"/>
        <v>0</v>
      </c>
      <c r="Y214" s="2"/>
      <c r="Z214" s="7">
        <f t="shared" si="88"/>
        <v>0</v>
      </c>
    </row>
    <row r="215" spans="1:26" s="24" customFormat="1" hidden="1" outlineLevel="2" x14ac:dyDescent="0.25">
      <c r="A215" s="25"/>
      <c r="B215" s="11" t="str">
        <f>CONCATENATE("          ", "6373", " - ", "MAINTENANCE CONTRACTS")</f>
        <v xml:space="preserve">          6373 - MAINTENANCE CONTRACTS</v>
      </c>
      <c r="C215" s="11"/>
      <c r="D215" s="6">
        <v>440.29</v>
      </c>
      <c r="E215" s="2"/>
      <c r="F215" s="7">
        <f t="shared" si="81"/>
        <v>3.9675538101006129E-3</v>
      </c>
      <c r="G215" s="2"/>
      <c r="H215" s="6">
        <v>1461.73</v>
      </c>
      <c r="I215" s="2"/>
      <c r="J215" s="7">
        <f t="shared" si="82"/>
        <v>3.245671723463166E-3</v>
      </c>
      <c r="K215" s="2"/>
      <c r="L215" s="6">
        <f t="shared" si="83"/>
        <v>-1021.44</v>
      </c>
      <c r="M215" s="2"/>
      <c r="N215" s="7">
        <f t="shared" si="84"/>
        <v>-0.69878842193838808</v>
      </c>
      <c r="O215" s="11"/>
      <c r="P215" s="6">
        <v>31026.01</v>
      </c>
      <c r="Q215" s="2"/>
      <c r="R215" s="7">
        <f t="shared" si="85"/>
        <v>1.2586703846207583E-2</v>
      </c>
      <c r="S215" s="2"/>
      <c r="T215" s="6">
        <v>31837.919999999998</v>
      </c>
      <c r="U215" s="2"/>
      <c r="V215" s="7">
        <f t="shared" si="86"/>
        <v>6.2782087635783771E-3</v>
      </c>
      <c r="W215" s="2"/>
      <c r="X215" s="6">
        <f t="shared" si="87"/>
        <v>-811.90999999999985</v>
      </c>
      <c r="Y215" s="2"/>
      <c r="Z215" s="7">
        <f t="shared" si="88"/>
        <v>-2.5501351847105586E-2</v>
      </c>
    </row>
    <row r="216" spans="1:26" s="24" customFormat="1" hidden="1" outlineLevel="2" x14ac:dyDescent="0.25">
      <c r="A216" s="25"/>
      <c r="B216" s="11" t="str">
        <f>CONCATENATE("          ", "6375", " - ", "OUTSIDE REPAIRS &amp; MAINTENANCE")</f>
        <v xml:space="preserve">          6375 - OUTSIDE REPAIRS &amp; MAINTENANCE</v>
      </c>
      <c r="C216" s="11"/>
      <c r="D216" s="6">
        <v>2794.49</v>
      </c>
      <c r="E216" s="2"/>
      <c r="F216" s="7">
        <f t="shared" si="81"/>
        <v>2.518178801877867E-2</v>
      </c>
      <c r="G216" s="2"/>
      <c r="H216" s="6">
        <v>3197.71</v>
      </c>
      <c r="I216" s="2"/>
      <c r="J216" s="7">
        <f t="shared" si="82"/>
        <v>7.100296858404357E-3</v>
      </c>
      <c r="K216" s="2"/>
      <c r="L216" s="6">
        <f t="shared" si="83"/>
        <v>-403.22000000000025</v>
      </c>
      <c r="M216" s="2"/>
      <c r="N216" s="7">
        <f t="shared" si="84"/>
        <v>-0.12609648779908131</v>
      </c>
      <c r="O216" s="11"/>
      <c r="P216" s="6">
        <v>11716.67</v>
      </c>
      <c r="Q216" s="2"/>
      <c r="R216" s="7">
        <f t="shared" si="85"/>
        <v>4.7532459170143053E-3</v>
      </c>
      <c r="S216" s="2"/>
      <c r="T216" s="6">
        <v>25011.43</v>
      </c>
      <c r="U216" s="2"/>
      <c r="V216" s="7">
        <f t="shared" si="86"/>
        <v>4.9320740492980429E-3</v>
      </c>
      <c r="W216" s="2"/>
      <c r="X216" s="6">
        <f t="shared" si="87"/>
        <v>-13294.76</v>
      </c>
      <c r="Y216" s="2"/>
      <c r="Z216" s="7">
        <f t="shared" si="88"/>
        <v>-0.53154737653944617</v>
      </c>
    </row>
    <row r="217" spans="1:26" s="26" customFormat="1" outlineLevel="1" collapsed="1" x14ac:dyDescent="0.25">
      <c r="A217" s="27"/>
      <c r="B217" s="13" t="str">
        <f>CONCATENATE("     ","Royalty &amp; Commissions                             ")</f>
        <v xml:space="preserve">     Royalty &amp; Commissions                             </v>
      </c>
      <c r="C217" s="13"/>
      <c r="D217" s="1">
        <f>SUM(OSRRefD22_17x_0)</f>
        <v>4453.09</v>
      </c>
      <c r="E217" s="1"/>
      <c r="F217" s="5">
        <f t="shared" ref="F217:F220" si="89">IF(D$12=0,0,D217/D$12)</f>
        <v>4.012781166099829E-2</v>
      </c>
      <c r="G217" s="1"/>
      <c r="H217" s="1">
        <f>SUM(OSRRefH22_17x_0)</f>
        <v>18456.649999999998</v>
      </c>
      <c r="I217" s="1"/>
      <c r="J217" s="5">
        <f t="shared" ref="J217:J220" si="90">IF(H$12=0,0,H217/H$12)</f>
        <v>4.0981731930559297E-2</v>
      </c>
      <c r="K217" s="1"/>
      <c r="L217" s="1">
        <f t="shared" ref="L217:L220" si="91">+D217-H217</f>
        <v>-14003.559999999998</v>
      </c>
      <c r="M217" s="1"/>
      <c r="N217" s="5">
        <f t="shared" ref="N217:N220" si="92">IF(H217=0,0,L217/H217)</f>
        <v>-0.75872707127241401</v>
      </c>
      <c r="O217" s="13"/>
      <c r="P217" s="1">
        <f>SUM(OSRRefP22_17x_0)</f>
        <v>28570.09</v>
      </c>
      <c r="Q217" s="1"/>
      <c r="R217" s="5">
        <f t="shared" ref="R217:R220" si="93">IF(P$12=0,0,P217/P$12)</f>
        <v>1.1590380512656859E-2</v>
      </c>
      <c r="S217" s="1"/>
      <c r="T217" s="1">
        <f>SUM(OSRRefT22_17x_0)</f>
        <v>50535.75</v>
      </c>
      <c r="U217" s="1"/>
      <c r="V217" s="5">
        <f t="shared" ref="V217:V220" si="94">IF(T$12=0,0,T217/T$12)</f>
        <v>9.9652863165686067E-3</v>
      </c>
      <c r="W217" s="1"/>
      <c r="X217" s="1">
        <f t="shared" ref="X217:X220" si="95">+P217-T217</f>
        <v>-21965.66</v>
      </c>
      <c r="Y217" s="1"/>
      <c r="Z217" s="5">
        <f t="shared" ref="Z217:Z220" si="96">IF(T217=0,0,X217/T217)</f>
        <v>-0.43465586243401949</v>
      </c>
    </row>
    <row r="218" spans="1:26" s="24" customFormat="1" hidden="1" outlineLevel="2" x14ac:dyDescent="0.25">
      <c r="A218" s="25"/>
      <c r="B218" s="11" t="str">
        <f>CONCATENATE("          ", "6253", " - ", "ROYALTY DUE ATHLETICS-LRG")</f>
        <v xml:space="preserve">          6253 - ROYALTY DUE ATHLETICS-LRG</v>
      </c>
      <c r="C218" s="11"/>
      <c r="D218" s="6"/>
      <c r="E218" s="2"/>
      <c r="F218" s="7">
        <f t="shared" si="89"/>
        <v>0</v>
      </c>
      <c r="G218" s="2"/>
      <c r="H218" s="6"/>
      <c r="I218" s="2"/>
      <c r="J218" s="7">
        <f t="shared" si="90"/>
        <v>0</v>
      </c>
      <c r="K218" s="2"/>
      <c r="L218" s="6">
        <f t="shared" si="91"/>
        <v>0</v>
      </c>
      <c r="M218" s="2"/>
      <c r="N218" s="7">
        <f t="shared" si="92"/>
        <v>0</v>
      </c>
      <c r="O218" s="11"/>
      <c r="P218" s="6">
        <v>18411.8</v>
      </c>
      <c r="Q218" s="2"/>
      <c r="R218" s="7">
        <f t="shared" si="93"/>
        <v>7.4693418159668219E-3</v>
      </c>
      <c r="S218" s="2"/>
      <c r="T218" s="6">
        <v>4366.95</v>
      </c>
      <c r="U218" s="2"/>
      <c r="V218" s="7">
        <f t="shared" si="94"/>
        <v>8.6113112163447214E-4</v>
      </c>
      <c r="W218" s="2"/>
      <c r="X218" s="6">
        <f t="shared" si="95"/>
        <v>14044.849999999999</v>
      </c>
      <c r="Y218" s="2"/>
      <c r="Z218" s="7">
        <f t="shared" si="96"/>
        <v>3.216169179862375</v>
      </c>
    </row>
    <row r="219" spans="1:26" s="24" customFormat="1" hidden="1" outlineLevel="2" x14ac:dyDescent="0.25">
      <c r="A219" s="25"/>
      <c r="B219" s="11" t="str">
        <f>CONCATENATE("          ", "6254", " - ", "ROYALTY &amp; COMMISSIONS")</f>
        <v xml:space="preserve">          6254 - ROYALTY &amp; COMMISSIONS</v>
      </c>
      <c r="C219" s="11"/>
      <c r="D219" s="6"/>
      <c r="E219" s="2"/>
      <c r="F219" s="7">
        <f t="shared" si="89"/>
        <v>0</v>
      </c>
      <c r="G219" s="2"/>
      <c r="H219" s="6">
        <v>803.23</v>
      </c>
      <c r="I219" s="2"/>
      <c r="J219" s="7">
        <f t="shared" si="90"/>
        <v>1.7835174063864866E-3</v>
      </c>
      <c r="K219" s="2"/>
      <c r="L219" s="6">
        <f t="shared" si="91"/>
        <v>-803.23</v>
      </c>
      <c r="M219" s="2"/>
      <c r="N219" s="7">
        <f t="shared" si="92"/>
        <v>-1</v>
      </c>
      <c r="O219" s="11"/>
      <c r="P219" s="6"/>
      <c r="Q219" s="2"/>
      <c r="R219" s="7">
        <f t="shared" si="93"/>
        <v>0</v>
      </c>
      <c r="S219" s="2"/>
      <c r="T219" s="6">
        <v>2301.12</v>
      </c>
      <c r="U219" s="2"/>
      <c r="V219" s="7">
        <f t="shared" si="94"/>
        <v>4.5376430841102296E-4</v>
      </c>
      <c r="W219" s="2"/>
      <c r="X219" s="6">
        <f t="shared" si="95"/>
        <v>-2301.12</v>
      </c>
      <c r="Y219" s="2"/>
      <c r="Z219" s="7">
        <f t="shared" si="96"/>
        <v>-1</v>
      </c>
    </row>
    <row r="220" spans="1:26" s="24" customFormat="1" hidden="1" outlineLevel="2" x14ac:dyDescent="0.25">
      <c r="A220" s="25"/>
      <c r="B220" s="11" t="str">
        <f>CONCATENATE("          ", "6259", " - ", "ROYALTY &amp; COMMISSIONS")</f>
        <v xml:space="preserve">          6259 - ROYALTY &amp; COMMISSIONS</v>
      </c>
      <c r="C220" s="11"/>
      <c r="D220" s="6">
        <v>4453.09</v>
      </c>
      <c r="E220" s="2"/>
      <c r="F220" s="7">
        <f t="shared" si="89"/>
        <v>4.012781166099829E-2</v>
      </c>
      <c r="G220" s="2"/>
      <c r="H220" s="6">
        <v>17653.419999999998</v>
      </c>
      <c r="I220" s="2"/>
      <c r="J220" s="7">
        <f t="shared" si="90"/>
        <v>3.9198214524172811E-2</v>
      </c>
      <c r="K220" s="2"/>
      <c r="L220" s="6">
        <f t="shared" si="91"/>
        <v>-13200.329999999998</v>
      </c>
      <c r="M220" s="2"/>
      <c r="N220" s="7">
        <f t="shared" si="92"/>
        <v>-0.74774916135230451</v>
      </c>
      <c r="O220" s="11"/>
      <c r="P220" s="6">
        <v>10158.290000000001</v>
      </c>
      <c r="Q220" s="2"/>
      <c r="R220" s="7">
        <f t="shared" si="93"/>
        <v>4.1210386966900369E-3</v>
      </c>
      <c r="S220" s="2"/>
      <c r="T220" s="6">
        <v>43867.68</v>
      </c>
      <c r="U220" s="2"/>
      <c r="V220" s="7">
        <f t="shared" si="94"/>
        <v>8.6503908865231127E-3</v>
      </c>
      <c r="W220" s="2"/>
      <c r="X220" s="6">
        <f t="shared" si="95"/>
        <v>-33709.39</v>
      </c>
      <c r="Y220" s="2"/>
      <c r="Z220" s="7">
        <f t="shared" si="96"/>
        <v>-0.76843338877278211</v>
      </c>
    </row>
    <row r="221" spans="1:26" s="26" customFormat="1" outlineLevel="1" collapsed="1" x14ac:dyDescent="0.25">
      <c r="A221" s="27"/>
      <c r="B221" s="13" t="str">
        <f>CONCATENATE("     ","Services                                          ")</f>
        <v xml:space="preserve">     Services                                          </v>
      </c>
      <c r="C221" s="13"/>
      <c r="D221" s="1">
        <f>SUM(OSRRefD22_18x_0)</f>
        <v>3898.5299999999997</v>
      </c>
      <c r="E221" s="1"/>
      <c r="F221" s="5">
        <f t="shared" ref="F221:F225" si="97">IF(D$12=0,0,D221/D$12)</f>
        <v>3.5130544766611871E-2</v>
      </c>
      <c r="G221" s="1"/>
      <c r="H221" s="1">
        <f>SUM(OSRRefH22_18x_0)</f>
        <v>4391.5599999999995</v>
      </c>
      <c r="I221" s="1"/>
      <c r="J221" s="5">
        <f t="shared" ref="J221:J225" si="98">IF(H$12=0,0,H221/H$12)</f>
        <v>9.751159320730847E-3</v>
      </c>
      <c r="K221" s="1"/>
      <c r="L221" s="1">
        <f t="shared" ref="L221:L225" si="99">+D221-H221</f>
        <v>-493.02999999999975</v>
      </c>
      <c r="M221" s="1"/>
      <c r="N221" s="5">
        <f t="shared" ref="N221:N225" si="100">IF(H221=0,0,L221/H221)</f>
        <v>-0.11226762243940645</v>
      </c>
      <c r="O221" s="13"/>
      <c r="P221" s="1">
        <f>SUM(OSRRefP22_18x_0)</f>
        <v>16689.72</v>
      </c>
      <c r="Q221" s="1"/>
      <c r="R221" s="5">
        <f t="shared" ref="R221:R225" si="101">IF(P$12=0,0,P221/P$12)</f>
        <v>6.7707243991775821E-3</v>
      </c>
      <c r="S221" s="1"/>
      <c r="T221" s="1">
        <f>SUM(OSRRefT22_18x_0)</f>
        <v>22866.47</v>
      </c>
      <c r="U221" s="1"/>
      <c r="V221" s="5">
        <f t="shared" ref="V221:V225" si="102">IF(T$12=0,0,T221/T$12)</f>
        <v>4.5091033693816073E-3</v>
      </c>
      <c r="W221" s="1"/>
      <c r="X221" s="1">
        <f t="shared" ref="X221:X225" si="103">+P221-T221</f>
        <v>-6176.75</v>
      </c>
      <c r="Y221" s="1"/>
      <c r="Z221" s="5">
        <f t="shared" ref="Z221:Z225" si="104">IF(T221=0,0,X221/T221)</f>
        <v>-0.27012258560241259</v>
      </c>
    </row>
    <row r="222" spans="1:26" s="24" customFormat="1" hidden="1" outlineLevel="2" x14ac:dyDescent="0.25">
      <c r="A222" s="25"/>
      <c r="B222" s="11" t="str">
        <f>CONCATENATE("          ", "6282", " - ", "JANITORIAL/EXTERMINATOR EXPENS")</f>
        <v xml:space="preserve">          6282 - JANITORIAL/EXTERMINATOR EXPENS</v>
      </c>
      <c r="C222" s="11"/>
      <c r="D222" s="6">
        <v>266.5</v>
      </c>
      <c r="E222" s="2"/>
      <c r="F222" s="7">
        <f t="shared" si="97"/>
        <v>2.4014924036244597E-3</v>
      </c>
      <c r="G222" s="2"/>
      <c r="H222" s="6">
        <v>266.5</v>
      </c>
      <c r="I222" s="2"/>
      <c r="J222" s="7">
        <f t="shared" si="98"/>
        <v>5.9174506530134416E-4</v>
      </c>
      <c r="K222" s="2"/>
      <c r="L222" s="6">
        <f t="shared" si="99"/>
        <v>0</v>
      </c>
      <c r="M222" s="2"/>
      <c r="N222" s="7">
        <f t="shared" si="100"/>
        <v>0</v>
      </c>
      <c r="O222" s="11"/>
      <c r="P222" s="6">
        <v>5340.12</v>
      </c>
      <c r="Q222" s="2"/>
      <c r="R222" s="7">
        <f t="shared" si="101"/>
        <v>2.1663922928926421E-3</v>
      </c>
      <c r="S222" s="2"/>
      <c r="T222" s="6">
        <v>1332.5</v>
      </c>
      <c r="U222" s="2"/>
      <c r="V222" s="7">
        <f t="shared" si="102"/>
        <v>2.6275941322385975E-4</v>
      </c>
      <c r="W222" s="2"/>
      <c r="X222" s="6">
        <f t="shared" si="103"/>
        <v>4007.62</v>
      </c>
      <c r="Y222" s="2"/>
      <c r="Z222" s="7">
        <f t="shared" si="104"/>
        <v>3.0075947467166979</v>
      </c>
    </row>
    <row r="223" spans="1:26" s="24" customFormat="1" hidden="1" outlineLevel="2" x14ac:dyDescent="0.25">
      <c r="A223" s="25"/>
      <c r="B223" s="11" t="str">
        <f>CONCATENATE("          ", "6283", " - ", "PLANT SERVICE")</f>
        <v xml:space="preserve">          6283 - PLANT SERVICE</v>
      </c>
      <c r="C223" s="11"/>
      <c r="D223" s="6">
        <v>41.31</v>
      </c>
      <c r="E223" s="2"/>
      <c r="F223" s="7">
        <f t="shared" si="97"/>
        <v>3.7225385063311984E-4</v>
      </c>
      <c r="G223" s="2"/>
      <c r="H223" s="6"/>
      <c r="I223" s="2"/>
      <c r="J223" s="7">
        <f t="shared" si="98"/>
        <v>0</v>
      </c>
      <c r="K223" s="2"/>
      <c r="L223" s="6">
        <f t="shared" si="99"/>
        <v>41.31</v>
      </c>
      <c r="M223" s="2"/>
      <c r="N223" s="7">
        <f t="shared" si="100"/>
        <v>0</v>
      </c>
      <c r="O223" s="11"/>
      <c r="P223" s="6">
        <v>171.31</v>
      </c>
      <c r="Q223" s="2"/>
      <c r="R223" s="7">
        <f t="shared" si="101"/>
        <v>6.9497438951828528E-5</v>
      </c>
      <c r="S223" s="2"/>
      <c r="T223" s="6">
        <v>541.98</v>
      </c>
      <c r="U223" s="2"/>
      <c r="V223" s="7">
        <f t="shared" si="102"/>
        <v>1.0687455668222702E-4</v>
      </c>
      <c r="W223" s="2"/>
      <c r="X223" s="6">
        <f t="shared" si="103"/>
        <v>-370.67</v>
      </c>
      <c r="Y223" s="2"/>
      <c r="Z223" s="7">
        <f t="shared" si="104"/>
        <v>-0.68391822576478833</v>
      </c>
    </row>
    <row r="224" spans="1:26" s="24" customFormat="1" hidden="1" outlineLevel="2" x14ac:dyDescent="0.25">
      <c r="A224" s="25"/>
      <c r="B224" s="11" t="str">
        <f>CONCATENATE("          ", "6284", " - ", "TRASH REMOVAL EXPENSE")</f>
        <v xml:space="preserve">          6284 - TRASH REMOVAL EXPENSE</v>
      </c>
      <c r="C224" s="11"/>
      <c r="D224" s="6"/>
      <c r="E224" s="2"/>
      <c r="F224" s="7">
        <f t="shared" si="97"/>
        <v>0</v>
      </c>
      <c r="G224" s="2"/>
      <c r="H224" s="6">
        <v>134.82</v>
      </c>
      <c r="I224" s="2"/>
      <c r="J224" s="7">
        <f t="shared" si="98"/>
        <v>2.9935861052130284E-4</v>
      </c>
      <c r="K224" s="2"/>
      <c r="L224" s="6">
        <f t="shared" si="99"/>
        <v>-134.82</v>
      </c>
      <c r="M224" s="2"/>
      <c r="N224" s="7">
        <f t="shared" si="100"/>
        <v>-1</v>
      </c>
      <c r="O224" s="11"/>
      <c r="P224" s="6">
        <v>585.29999999999995</v>
      </c>
      <c r="Q224" s="2"/>
      <c r="R224" s="7">
        <f t="shared" si="101"/>
        <v>2.3744586433077595E-4</v>
      </c>
      <c r="S224" s="2"/>
      <c r="T224" s="6">
        <v>674.1</v>
      </c>
      <c r="U224" s="2"/>
      <c r="V224" s="7">
        <f t="shared" si="102"/>
        <v>1.3292767013448693E-4</v>
      </c>
      <c r="W224" s="2"/>
      <c r="X224" s="6">
        <f t="shared" si="103"/>
        <v>-88.800000000000068</v>
      </c>
      <c r="Y224" s="2"/>
      <c r="Z224" s="7">
        <f t="shared" si="104"/>
        <v>-0.13173119715175799</v>
      </c>
    </row>
    <row r="225" spans="1:26" s="24" customFormat="1" hidden="1" outlineLevel="2" x14ac:dyDescent="0.25">
      <c r="A225" s="25"/>
      <c r="B225" s="11" t="str">
        <f>CONCATENATE("          ", "6285", " - ", "JANITORIAL SERVICES")</f>
        <v xml:space="preserve">          6285 - JANITORIAL SERVICES</v>
      </c>
      <c r="C225" s="11"/>
      <c r="D225" s="6">
        <v>3590.72</v>
      </c>
      <c r="E225" s="2"/>
      <c r="F225" s="7">
        <f t="shared" si="97"/>
        <v>3.235679851235429E-2</v>
      </c>
      <c r="G225" s="2"/>
      <c r="H225" s="6">
        <v>3990.24</v>
      </c>
      <c r="I225" s="2"/>
      <c r="J225" s="7">
        <f t="shared" si="98"/>
        <v>8.8600556449082001E-3</v>
      </c>
      <c r="K225" s="2"/>
      <c r="L225" s="6">
        <f t="shared" si="99"/>
        <v>-399.52</v>
      </c>
      <c r="M225" s="2"/>
      <c r="N225" s="7">
        <f t="shared" si="100"/>
        <v>-0.10012430330005213</v>
      </c>
      <c r="O225" s="11"/>
      <c r="P225" s="6">
        <v>10592.99</v>
      </c>
      <c r="Q225" s="2"/>
      <c r="R225" s="7">
        <f t="shared" si="101"/>
        <v>4.2973888030023348E-3</v>
      </c>
      <c r="S225" s="2"/>
      <c r="T225" s="6">
        <v>20317.89</v>
      </c>
      <c r="U225" s="2"/>
      <c r="V225" s="7">
        <f t="shared" si="102"/>
        <v>4.0065417293410335E-3</v>
      </c>
      <c r="W225" s="2"/>
      <c r="X225" s="6">
        <f t="shared" si="103"/>
        <v>-9724.9</v>
      </c>
      <c r="Y225" s="2"/>
      <c r="Z225" s="7">
        <f t="shared" si="104"/>
        <v>-0.47863729944398753</v>
      </c>
    </row>
    <row r="226" spans="1:26" s="26" customFormat="1" outlineLevel="1" collapsed="1" x14ac:dyDescent="0.25">
      <c r="A226" s="27"/>
      <c r="B226" s="13" t="str">
        <f>CONCATENATE("     ","Subscriptions &amp; Dues                              ")</f>
        <v xml:space="preserve">     Subscriptions &amp; Dues                              </v>
      </c>
      <c r="C226" s="13"/>
      <c r="D226" s="1">
        <f>SUM(OSRRefD22_19x_0)</f>
        <v>-274.08</v>
      </c>
      <c r="E226" s="1"/>
      <c r="F226" s="5">
        <f t="shared" ref="F226:F228" si="105">IF(D$12=0,0,D226/D$12)</f>
        <v>-2.4697975158926525E-3</v>
      </c>
      <c r="G226" s="1"/>
      <c r="H226" s="1">
        <f>SUM(OSRRefH22_19x_0)</f>
        <v>175.36</v>
      </c>
      <c r="I226" s="1"/>
      <c r="J226" s="5">
        <f t="shared" ref="J226:J228" si="106">IF(H$12=0,0,H226/H$12)</f>
        <v>3.8937491426357869E-4</v>
      </c>
      <c r="K226" s="1"/>
      <c r="L226" s="1">
        <f t="shared" ref="L226:L228" si="107">+D226-H226</f>
        <v>-449.44</v>
      </c>
      <c r="M226" s="1"/>
      <c r="N226" s="5">
        <f t="shared" ref="N226:N228" si="108">IF(H226=0,0,L226/H226)</f>
        <v>-2.562956204379562</v>
      </c>
      <c r="O226" s="13"/>
      <c r="P226" s="1">
        <f>SUM(OSRRefP22_19x_0)</f>
        <v>1375.01</v>
      </c>
      <c r="Q226" s="1"/>
      <c r="R226" s="5">
        <f t="shared" ref="R226:R228" si="109">IF(P$12=0,0,P226/P$12)</f>
        <v>5.5781725254307245E-4</v>
      </c>
      <c r="S226" s="1"/>
      <c r="T226" s="1">
        <f>SUM(OSRRefT22_19x_0)</f>
        <v>2217.7600000000002</v>
      </c>
      <c r="U226" s="1"/>
      <c r="V226" s="5">
        <f t="shared" ref="V226:V228" si="110">IF(T$12=0,0,T226/T$12)</f>
        <v>4.3732631615110484E-4</v>
      </c>
      <c r="W226" s="1"/>
      <c r="X226" s="1">
        <f t="shared" ref="X226:X228" si="111">+P226-T226</f>
        <v>-842.75000000000023</v>
      </c>
      <c r="Y226" s="1"/>
      <c r="Z226" s="5">
        <f t="shared" ref="Z226:Z228" si="112">IF(T226=0,0,X226/T226)</f>
        <v>-0.38000054108650178</v>
      </c>
    </row>
    <row r="227" spans="1:26" s="24" customFormat="1" hidden="1" outlineLevel="2" x14ac:dyDescent="0.25">
      <c r="A227" s="25"/>
      <c r="B227" s="11" t="str">
        <f>CONCATENATE("          ", "6258", " - ", "MEMBERSHIP DUES")</f>
        <v xml:space="preserve">          6258 - MEMBERSHIP DUES</v>
      </c>
      <c r="C227" s="11"/>
      <c r="D227" s="6">
        <v>-274.08</v>
      </c>
      <c r="E227" s="2"/>
      <c r="F227" s="7">
        <f t="shared" si="105"/>
        <v>-2.4697975158926525E-3</v>
      </c>
      <c r="G227" s="2"/>
      <c r="H227" s="6">
        <v>250</v>
      </c>
      <c r="I227" s="2"/>
      <c r="J227" s="7">
        <f t="shared" si="106"/>
        <v>5.5510794118324971E-4</v>
      </c>
      <c r="K227" s="2"/>
      <c r="L227" s="6">
        <f t="shared" si="107"/>
        <v>-524.07999999999993</v>
      </c>
      <c r="M227" s="2"/>
      <c r="N227" s="7">
        <f t="shared" si="108"/>
        <v>-2.0963199999999995</v>
      </c>
      <c r="O227" s="11"/>
      <c r="P227" s="6">
        <v>1149.28</v>
      </c>
      <c r="Q227" s="2"/>
      <c r="R227" s="7">
        <f t="shared" si="109"/>
        <v>4.6624258151046338E-4</v>
      </c>
      <c r="S227" s="2"/>
      <c r="T227" s="6">
        <v>1427.4</v>
      </c>
      <c r="U227" s="2"/>
      <c r="V227" s="7">
        <f t="shared" si="110"/>
        <v>2.8147301045833951E-4</v>
      </c>
      <c r="W227" s="2"/>
      <c r="X227" s="6">
        <f t="shared" si="111"/>
        <v>-278.12000000000012</v>
      </c>
      <c r="Y227" s="2"/>
      <c r="Z227" s="7">
        <f t="shared" si="112"/>
        <v>-0.19484377189295229</v>
      </c>
    </row>
    <row r="228" spans="1:26" s="24" customFormat="1" hidden="1" outlineLevel="2" x14ac:dyDescent="0.25">
      <c r="A228" s="25"/>
      <c r="B228" s="11" t="str">
        <f>CONCATENATE("          ", "6275", " - ", "SUBSCRIPTIONS")</f>
        <v xml:space="preserve">          6275 - SUBSCRIPTIONS</v>
      </c>
      <c r="C228" s="11"/>
      <c r="D228" s="6"/>
      <c r="E228" s="2"/>
      <c r="F228" s="7">
        <f t="shared" si="105"/>
        <v>0</v>
      </c>
      <c r="G228" s="2"/>
      <c r="H228" s="6">
        <v>-74.64</v>
      </c>
      <c r="I228" s="2"/>
      <c r="J228" s="7">
        <f t="shared" si="106"/>
        <v>-1.6573302691967102E-4</v>
      </c>
      <c r="K228" s="2"/>
      <c r="L228" s="6">
        <f t="shared" si="107"/>
        <v>74.64</v>
      </c>
      <c r="M228" s="2"/>
      <c r="N228" s="7">
        <f t="shared" si="108"/>
        <v>-1</v>
      </c>
      <c r="O228" s="11"/>
      <c r="P228" s="6">
        <v>225.73</v>
      </c>
      <c r="Q228" s="2"/>
      <c r="R228" s="7">
        <f t="shared" si="109"/>
        <v>9.1574671032609024E-5</v>
      </c>
      <c r="S228" s="2"/>
      <c r="T228" s="6">
        <v>790.36</v>
      </c>
      <c r="U228" s="2"/>
      <c r="V228" s="7">
        <f t="shared" si="110"/>
        <v>1.558533056927653E-4</v>
      </c>
      <c r="W228" s="2"/>
      <c r="X228" s="6">
        <f t="shared" si="111"/>
        <v>-564.63</v>
      </c>
      <c r="Y228" s="2"/>
      <c r="Z228" s="7">
        <f t="shared" si="112"/>
        <v>-0.71439597145604528</v>
      </c>
    </row>
    <row r="229" spans="1:26" s="26" customFormat="1" outlineLevel="1" collapsed="1" x14ac:dyDescent="0.25">
      <c r="A229" s="27"/>
      <c r="B229" s="13" t="str">
        <f>CONCATENATE("     ","Supplies                                          ")</f>
        <v xml:space="preserve">     Supplies                                          </v>
      </c>
      <c r="C229" s="13"/>
      <c r="D229" s="1">
        <f>SUM(OSRRefD22_20x_0)</f>
        <v>14796.98</v>
      </c>
      <c r="E229" s="1"/>
      <c r="F229" s="5">
        <f t="shared" ref="F229:F236" si="113">IF(D$12=0,0,D229/D$12)</f>
        <v>0.13333896835490827</v>
      </c>
      <c r="G229" s="1"/>
      <c r="H229" s="1">
        <f>SUM(OSRRefH22_20x_0)</f>
        <v>4109.6899999999996</v>
      </c>
      <c r="I229" s="1"/>
      <c r="J229" s="5">
        <f t="shared" ref="J229:J236" si="114">IF(H$12=0,0,H229/H$12)</f>
        <v>9.1252862192055563E-3</v>
      </c>
      <c r="K229" s="1"/>
      <c r="L229" s="1">
        <f t="shared" ref="L229:L236" si="115">+D229-H229</f>
        <v>10687.29</v>
      </c>
      <c r="M229" s="1"/>
      <c r="N229" s="5">
        <f t="shared" ref="N229:N236" si="116">IF(H229=0,0,L229/H229)</f>
        <v>2.6005100141373196</v>
      </c>
      <c r="O229" s="13"/>
      <c r="P229" s="1">
        <f>SUM(OSRRefP22_20x_0)</f>
        <v>71395.92</v>
      </c>
      <c r="Q229" s="1"/>
      <c r="R229" s="5">
        <f t="shared" ref="R229:R236" si="117">IF(P$12=0,0,P229/P$12)</f>
        <v>2.8964062761132642E-2</v>
      </c>
      <c r="S229" s="1"/>
      <c r="T229" s="1">
        <f>SUM(OSRRefT22_20x_0)</f>
        <v>43183.520000000004</v>
      </c>
      <c r="U229" s="1"/>
      <c r="V229" s="5">
        <f t="shared" ref="V229:V236" si="118">IF(T$12=0,0,T229/T$12)</f>
        <v>8.5154794567660879E-3</v>
      </c>
      <c r="W229" s="1"/>
      <c r="X229" s="1">
        <f t="shared" ref="X229:X236" si="119">+P229-T229</f>
        <v>28212.399999999994</v>
      </c>
      <c r="Y229" s="1"/>
      <c r="Z229" s="5">
        <f t="shared" ref="Z229:Z236" si="120">IF(T229=0,0,X229/T229)</f>
        <v>0.65331404202343835</v>
      </c>
    </row>
    <row r="230" spans="1:26" s="24" customFormat="1" hidden="1" outlineLevel="2" x14ac:dyDescent="0.25">
      <c r="A230" s="25"/>
      <c r="B230" s="11" t="str">
        <f>CONCATENATE("          ", "6234", " - ", "EXPENDABLE SUPPLIES &amp; EQUIPMEN")</f>
        <v xml:space="preserve">          6234 - EXPENDABLE SUPPLIES &amp; EQUIPMEN</v>
      </c>
      <c r="C230" s="11"/>
      <c r="D230" s="6">
        <v>-550.67999999999995</v>
      </c>
      <c r="E230" s="2"/>
      <c r="F230" s="7">
        <f t="shared" si="113"/>
        <v>-4.9623033276844928E-3</v>
      </c>
      <c r="G230" s="2"/>
      <c r="H230" s="6">
        <v>106.65</v>
      </c>
      <c r="I230" s="2"/>
      <c r="J230" s="7">
        <f t="shared" si="114"/>
        <v>2.3680904770877431E-4</v>
      </c>
      <c r="K230" s="2"/>
      <c r="L230" s="6">
        <f t="shared" si="115"/>
        <v>-657.32999999999993</v>
      </c>
      <c r="M230" s="2"/>
      <c r="N230" s="7">
        <f t="shared" si="116"/>
        <v>-6.163431786216595</v>
      </c>
      <c r="O230" s="11"/>
      <c r="P230" s="6">
        <v>-449.34</v>
      </c>
      <c r="Q230" s="2"/>
      <c r="R230" s="7">
        <f t="shared" si="117"/>
        <v>-1.822892955379991E-4</v>
      </c>
      <c r="S230" s="2"/>
      <c r="T230" s="6">
        <v>1822.75</v>
      </c>
      <c r="U230" s="2"/>
      <c r="V230" s="7">
        <f t="shared" si="118"/>
        <v>3.5943318608164379E-4</v>
      </c>
      <c r="W230" s="2"/>
      <c r="X230" s="6">
        <f t="shared" si="119"/>
        <v>-2272.09</v>
      </c>
      <c r="Y230" s="2"/>
      <c r="Z230" s="7">
        <f t="shared" si="120"/>
        <v>-1.246517624468523</v>
      </c>
    </row>
    <row r="231" spans="1:26" s="24" customFormat="1" hidden="1" outlineLevel="2" x14ac:dyDescent="0.25">
      <c r="A231" s="25"/>
      <c r="B231" s="11" t="str">
        <f>CONCATENATE("          ", "6235", " - ", "COVID-19 EXPENSES")</f>
        <v xml:space="preserve">          6235 - COVID-19 EXPENSES</v>
      </c>
      <c r="C231" s="11"/>
      <c r="D231" s="6">
        <v>2556.84</v>
      </c>
      <c r="E231" s="2"/>
      <c r="F231" s="7">
        <f t="shared" si="113"/>
        <v>2.3040269558285791E-2</v>
      </c>
      <c r="G231" s="2"/>
      <c r="H231" s="6"/>
      <c r="I231" s="2"/>
      <c r="J231" s="7">
        <f t="shared" si="114"/>
        <v>0</v>
      </c>
      <c r="K231" s="2"/>
      <c r="L231" s="6">
        <f t="shared" si="115"/>
        <v>2556.84</v>
      </c>
      <c r="M231" s="2"/>
      <c r="N231" s="7">
        <f t="shared" si="116"/>
        <v>0</v>
      </c>
      <c r="O231" s="11"/>
      <c r="P231" s="6">
        <v>28456.63</v>
      </c>
      <c r="Q231" s="2"/>
      <c r="R231" s="7">
        <f t="shared" si="117"/>
        <v>1.1544351796157679E-2</v>
      </c>
      <c r="S231" s="2"/>
      <c r="T231" s="6"/>
      <c r="U231" s="2"/>
      <c r="V231" s="7">
        <f t="shared" si="118"/>
        <v>0</v>
      </c>
      <c r="W231" s="2"/>
      <c r="X231" s="6">
        <f t="shared" si="119"/>
        <v>28456.63</v>
      </c>
      <c r="Y231" s="2"/>
      <c r="Z231" s="7">
        <f t="shared" si="120"/>
        <v>0</v>
      </c>
    </row>
    <row r="232" spans="1:26" s="24" customFormat="1" hidden="1" outlineLevel="2" x14ac:dyDescent="0.25">
      <c r="A232" s="25"/>
      <c r="B232" s="11" t="str">
        <f>CONCATENATE("          ", "6237", " - ", "JANITORIAL SUPPLIES")</f>
        <v xml:space="preserve">          6237 - JANITORIAL SUPPLIES</v>
      </c>
      <c r="C232" s="11"/>
      <c r="D232" s="6">
        <v>246.99</v>
      </c>
      <c r="E232" s="2"/>
      <c r="F232" s="7">
        <f t="shared" si="113"/>
        <v>2.22568333497638E-3</v>
      </c>
      <c r="G232" s="2"/>
      <c r="H232" s="6">
        <v>691.53</v>
      </c>
      <c r="I232" s="2"/>
      <c r="J232" s="7">
        <f t="shared" si="114"/>
        <v>1.5354951782658105E-3</v>
      </c>
      <c r="K232" s="2"/>
      <c r="L232" s="6">
        <f t="shared" si="115"/>
        <v>-444.53999999999996</v>
      </c>
      <c r="M232" s="2"/>
      <c r="N232" s="7">
        <f t="shared" si="116"/>
        <v>-0.64283545182421586</v>
      </c>
      <c r="O232" s="11"/>
      <c r="P232" s="6">
        <v>1495.35</v>
      </c>
      <c r="Q232" s="2"/>
      <c r="R232" s="7">
        <f t="shared" si="117"/>
        <v>6.0663706343247199E-4</v>
      </c>
      <c r="S232" s="2"/>
      <c r="T232" s="6">
        <v>2857.75</v>
      </c>
      <c r="U232" s="2"/>
      <c r="V232" s="7">
        <f t="shared" si="118"/>
        <v>5.6352773969267178E-4</v>
      </c>
      <c r="W232" s="2"/>
      <c r="X232" s="6">
        <f t="shared" si="119"/>
        <v>-1362.4</v>
      </c>
      <c r="Y232" s="2"/>
      <c r="Z232" s="7">
        <f t="shared" si="120"/>
        <v>-0.47673869302773164</v>
      </c>
    </row>
    <row r="233" spans="1:26" s="24" customFormat="1" hidden="1" outlineLevel="2" x14ac:dyDescent="0.25">
      <c r="A233" s="25"/>
      <c r="B233" s="11" t="str">
        <f>CONCATENATE("          ", "6241", " - ", "OFFICE EXPENSE")</f>
        <v xml:space="preserve">          6241 - OFFICE EXPENSE</v>
      </c>
      <c r="C233" s="11"/>
      <c r="D233" s="6">
        <v>669.18</v>
      </c>
      <c r="E233" s="2"/>
      <c r="F233" s="7">
        <f t="shared" si="113"/>
        <v>6.0301339086582207E-3</v>
      </c>
      <c r="G233" s="2"/>
      <c r="H233" s="6">
        <v>2264.9499999999998</v>
      </c>
      <c r="I233" s="2"/>
      <c r="J233" s="7">
        <f t="shared" si="114"/>
        <v>5.029166925532005E-3</v>
      </c>
      <c r="K233" s="2"/>
      <c r="L233" s="6">
        <f t="shared" si="115"/>
        <v>-1595.77</v>
      </c>
      <c r="M233" s="2"/>
      <c r="N233" s="7">
        <f t="shared" si="116"/>
        <v>-0.70454976931058089</v>
      </c>
      <c r="O233" s="11"/>
      <c r="P233" s="6">
        <v>8478.86</v>
      </c>
      <c r="Q233" s="2"/>
      <c r="R233" s="7">
        <f t="shared" si="117"/>
        <v>3.4397236310262144E-3</v>
      </c>
      <c r="S233" s="2"/>
      <c r="T233" s="6">
        <v>14563.47</v>
      </c>
      <c r="U233" s="2"/>
      <c r="V233" s="7">
        <f t="shared" si="118"/>
        <v>2.8718115059686937E-3</v>
      </c>
      <c r="W233" s="2"/>
      <c r="X233" s="6">
        <f t="shared" si="119"/>
        <v>-6084.6099999999988</v>
      </c>
      <c r="Y233" s="2"/>
      <c r="Z233" s="7">
        <f t="shared" si="120"/>
        <v>-0.41779946674796592</v>
      </c>
    </row>
    <row r="234" spans="1:26" s="24" customFormat="1" hidden="1" outlineLevel="2" x14ac:dyDescent="0.25">
      <c r="A234" s="25"/>
      <c r="B234" s="11" t="str">
        <f>CONCATENATE("          ", "6243", " - ", "PAPER SUPPLIES")</f>
        <v xml:space="preserve">          6243 - PAPER SUPPLIES</v>
      </c>
      <c r="C234" s="11"/>
      <c r="D234" s="6">
        <v>1108.5999999999999</v>
      </c>
      <c r="E234" s="2"/>
      <c r="F234" s="7">
        <f t="shared" si="113"/>
        <v>9.9898479499364937E-3</v>
      </c>
      <c r="G234" s="2"/>
      <c r="H234" s="6">
        <v>1423.15</v>
      </c>
      <c r="I234" s="2"/>
      <c r="J234" s="7">
        <f t="shared" si="114"/>
        <v>3.1600074659797672E-3</v>
      </c>
      <c r="K234" s="2"/>
      <c r="L234" s="6">
        <f t="shared" si="115"/>
        <v>-314.55000000000018</v>
      </c>
      <c r="M234" s="2"/>
      <c r="N234" s="7">
        <f t="shared" si="116"/>
        <v>-0.2210237852650811</v>
      </c>
      <c r="O234" s="11"/>
      <c r="P234" s="6">
        <v>4682.3</v>
      </c>
      <c r="Q234" s="2"/>
      <c r="R234" s="7">
        <f t="shared" si="117"/>
        <v>1.8995263464137919E-3</v>
      </c>
      <c r="S234" s="2"/>
      <c r="T234" s="6">
        <v>6329.48</v>
      </c>
      <c r="U234" s="2"/>
      <c r="V234" s="7">
        <f t="shared" si="118"/>
        <v>1.2481279180579028E-3</v>
      </c>
      <c r="W234" s="2"/>
      <c r="X234" s="6">
        <f t="shared" si="119"/>
        <v>-1647.1799999999994</v>
      </c>
      <c r="Y234" s="2"/>
      <c r="Z234" s="7">
        <f t="shared" si="120"/>
        <v>-0.26023938775381222</v>
      </c>
    </row>
    <row r="235" spans="1:26" s="24" customFormat="1" hidden="1" outlineLevel="2" x14ac:dyDescent="0.25">
      <c r="A235" s="25"/>
      <c r="B235" s="11" t="str">
        <f>CONCATENATE("          ", "6245", " - ", "PRINTING")</f>
        <v xml:space="preserve">          6245 - PRINTING</v>
      </c>
      <c r="C235" s="11"/>
      <c r="D235" s="6">
        <v>93.72</v>
      </c>
      <c r="E235" s="2"/>
      <c r="F235" s="7">
        <f t="shared" si="113"/>
        <v>8.4453233796504446E-4</v>
      </c>
      <c r="G235" s="2"/>
      <c r="H235" s="6">
        <v>-402.2</v>
      </c>
      <c r="I235" s="2"/>
      <c r="J235" s="7">
        <f t="shared" si="114"/>
        <v>-8.9305765577561203E-4</v>
      </c>
      <c r="K235" s="2"/>
      <c r="L235" s="6">
        <f t="shared" si="115"/>
        <v>495.91999999999996</v>
      </c>
      <c r="M235" s="2"/>
      <c r="N235" s="7">
        <f t="shared" si="116"/>
        <v>-1.2330183988065639</v>
      </c>
      <c r="O235" s="11"/>
      <c r="P235" s="6">
        <v>508.27</v>
      </c>
      <c r="Q235" s="2"/>
      <c r="R235" s="7">
        <f t="shared" si="117"/>
        <v>2.0619615490074066E-4</v>
      </c>
      <c r="S235" s="2"/>
      <c r="T235" s="6">
        <v>4845.05</v>
      </c>
      <c r="U235" s="2"/>
      <c r="V235" s="7">
        <f t="shared" si="118"/>
        <v>9.5540900190638775E-4</v>
      </c>
      <c r="W235" s="2"/>
      <c r="X235" s="6">
        <f t="shared" si="119"/>
        <v>-4336.7800000000007</v>
      </c>
      <c r="Y235" s="2"/>
      <c r="Z235" s="7">
        <f t="shared" si="120"/>
        <v>-0.89509499385971258</v>
      </c>
    </row>
    <row r="236" spans="1:26" s="24" customFormat="1" hidden="1" outlineLevel="2" x14ac:dyDescent="0.25">
      <c r="A236" s="25"/>
      <c r="B236" s="11" t="str">
        <f>CONCATENATE("          ", "6247", " - ", "STORE SUPPLIES")</f>
        <v xml:space="preserve">          6247 - STORE SUPPLIES</v>
      </c>
      <c r="C236" s="11"/>
      <c r="D236" s="6">
        <v>10672.33</v>
      </c>
      <c r="E236" s="2"/>
      <c r="F236" s="7">
        <f t="shared" si="113"/>
        <v>9.6170804592770845E-2</v>
      </c>
      <c r="G236" s="2"/>
      <c r="H236" s="6">
        <v>25.61</v>
      </c>
      <c r="I236" s="2"/>
      <c r="J236" s="7">
        <f t="shared" si="114"/>
        <v>5.6865257494812092E-5</v>
      </c>
      <c r="K236" s="2"/>
      <c r="L236" s="6">
        <f t="shared" si="115"/>
        <v>10646.72</v>
      </c>
      <c r="M236" s="2"/>
      <c r="N236" s="7">
        <f t="shared" si="116"/>
        <v>415.72510737992968</v>
      </c>
      <c r="O236" s="11"/>
      <c r="P236" s="6">
        <v>28223.85</v>
      </c>
      <c r="Q236" s="2"/>
      <c r="R236" s="7">
        <f t="shared" si="117"/>
        <v>1.1449917064739742E-2</v>
      </c>
      <c r="S236" s="2"/>
      <c r="T236" s="6">
        <v>12765.02</v>
      </c>
      <c r="U236" s="2"/>
      <c r="V236" s="7">
        <f t="shared" si="118"/>
        <v>2.5171701050587872E-3</v>
      </c>
      <c r="W236" s="2"/>
      <c r="X236" s="6">
        <f t="shared" si="119"/>
        <v>15458.829999999998</v>
      </c>
      <c r="Y236" s="2"/>
      <c r="Z236" s="7">
        <f t="shared" si="120"/>
        <v>1.21103061334804</v>
      </c>
    </row>
    <row r="237" spans="1:26" s="26" customFormat="1" outlineLevel="1" collapsed="1" x14ac:dyDescent="0.25">
      <c r="A237" s="27"/>
      <c r="B237" s="13" t="str">
        <f>CONCATENATE("     ","Telephone/Data Lines                              ")</f>
        <v xml:space="preserve">     Telephone/Data Lines                              </v>
      </c>
      <c r="C237" s="13"/>
      <c r="D237" s="1">
        <f>SUM(OSRRefD22_21x_0)</f>
        <v>2676.5299999999997</v>
      </c>
      <c r="E237" s="1"/>
      <c r="F237" s="5">
        <f t="shared" ref="F237:F239" si="121">IF(D$12=0,0,D237/D$12)</f>
        <v>2.411882350121191E-2</v>
      </c>
      <c r="G237" s="1"/>
      <c r="H237" s="1">
        <f>SUM(OSRRefH22_21x_0)</f>
        <v>2367.4</v>
      </c>
      <c r="I237" s="1"/>
      <c r="J237" s="5">
        <f t="shared" ref="J237:J239" si="122">IF(H$12=0,0,H237/H$12)</f>
        <v>5.2566501598289008E-3</v>
      </c>
      <c r="K237" s="1"/>
      <c r="L237" s="1">
        <f t="shared" ref="L237:L239" si="123">+D237-H237</f>
        <v>309.12999999999965</v>
      </c>
      <c r="M237" s="1"/>
      <c r="N237" s="5">
        <f t="shared" ref="N237:N239" si="124">IF(H237=0,0,L237/H237)</f>
        <v>0.13057784911717482</v>
      </c>
      <c r="O237" s="13"/>
      <c r="P237" s="1">
        <f>SUM(OSRRefP22_21x_0)</f>
        <v>13056.65</v>
      </c>
      <c r="Q237" s="1"/>
      <c r="R237" s="5">
        <f t="shared" ref="R237:R239" si="125">IF(P$12=0,0,P237/P$12)</f>
        <v>5.2968521177420569E-3</v>
      </c>
      <c r="S237" s="1"/>
      <c r="T237" s="1">
        <f>SUM(OSRRefT22_21x_0)</f>
        <v>13454.67</v>
      </c>
      <c r="U237" s="1"/>
      <c r="V237" s="5">
        <f t="shared" ref="V237:V239" si="126">IF(T$12=0,0,T237/T$12)</f>
        <v>2.6531641233175749E-3</v>
      </c>
      <c r="W237" s="1"/>
      <c r="X237" s="1">
        <f t="shared" ref="X237:X239" si="127">+P237-T237</f>
        <v>-398.02000000000044</v>
      </c>
      <c r="Y237" s="1"/>
      <c r="Z237" s="5">
        <f t="shared" ref="Z237:Z239" si="128">IF(T237=0,0,X237/T237)</f>
        <v>-2.958229373147022E-2</v>
      </c>
    </row>
    <row r="238" spans="1:26" s="24" customFormat="1" hidden="1" outlineLevel="2" x14ac:dyDescent="0.25">
      <c r="A238" s="25"/>
      <c r="B238" s="11" t="str">
        <f>CONCATENATE("          ", "6303", " - ", "DATA PHONE LINES")</f>
        <v xml:space="preserve">          6303 - DATA PHONE LINES</v>
      </c>
      <c r="C238" s="11"/>
      <c r="D238" s="6">
        <v>885</v>
      </c>
      <c r="E238" s="2"/>
      <c r="F238" s="7">
        <f t="shared" si="121"/>
        <v>7.9749372503101195E-3</v>
      </c>
      <c r="G238" s="2"/>
      <c r="H238" s="6">
        <v>295</v>
      </c>
      <c r="I238" s="2"/>
      <c r="J238" s="7">
        <f t="shared" si="122"/>
        <v>6.5502737059623456E-4</v>
      </c>
      <c r="K238" s="2"/>
      <c r="L238" s="6">
        <f t="shared" si="123"/>
        <v>590</v>
      </c>
      <c r="M238" s="2"/>
      <c r="N238" s="7">
        <f t="shared" si="124"/>
        <v>2</v>
      </c>
      <c r="O238" s="11"/>
      <c r="P238" s="6">
        <v>2065</v>
      </c>
      <c r="Q238" s="2"/>
      <c r="R238" s="7">
        <f t="shared" si="125"/>
        <v>8.3773399939014595E-4</v>
      </c>
      <c r="S238" s="2"/>
      <c r="T238" s="6">
        <v>1475</v>
      </c>
      <c r="U238" s="2"/>
      <c r="V238" s="7">
        <f t="shared" si="126"/>
        <v>2.9085938799639258E-4</v>
      </c>
      <c r="W238" s="2"/>
      <c r="X238" s="6">
        <f t="shared" si="127"/>
        <v>590</v>
      </c>
      <c r="Y238" s="2"/>
      <c r="Z238" s="7">
        <f t="shared" si="128"/>
        <v>0.4</v>
      </c>
    </row>
    <row r="239" spans="1:26" s="24" customFormat="1" hidden="1" outlineLevel="2" x14ac:dyDescent="0.25">
      <c r="A239" s="25"/>
      <c r="B239" s="11" t="str">
        <f>CONCATENATE("          ", "6309", " - ", "TELEPHONE")</f>
        <v xml:space="preserve">          6309 - TELEPHONE</v>
      </c>
      <c r="C239" s="11"/>
      <c r="D239" s="6">
        <v>1791.53</v>
      </c>
      <c r="E239" s="2"/>
      <c r="F239" s="7">
        <f t="shared" si="121"/>
        <v>1.6143886250901792E-2</v>
      </c>
      <c r="G239" s="2"/>
      <c r="H239" s="6">
        <v>2072.4</v>
      </c>
      <c r="I239" s="2"/>
      <c r="J239" s="7">
        <f t="shared" si="122"/>
        <v>4.6016227892326667E-3</v>
      </c>
      <c r="K239" s="2"/>
      <c r="L239" s="6">
        <f t="shared" si="123"/>
        <v>-280.87000000000012</v>
      </c>
      <c r="M239" s="2"/>
      <c r="N239" s="7">
        <f t="shared" si="124"/>
        <v>-0.13552885543331408</v>
      </c>
      <c r="O239" s="11"/>
      <c r="P239" s="6">
        <v>10991.65</v>
      </c>
      <c r="Q239" s="2"/>
      <c r="R239" s="7">
        <f t="shared" si="125"/>
        <v>4.4591181183519114E-3</v>
      </c>
      <c r="S239" s="2"/>
      <c r="T239" s="6">
        <v>11979.67</v>
      </c>
      <c r="U239" s="2"/>
      <c r="V239" s="7">
        <f t="shared" si="126"/>
        <v>2.3623047353211824E-3</v>
      </c>
      <c r="W239" s="2"/>
      <c r="X239" s="6">
        <f t="shared" si="127"/>
        <v>-988.02000000000044</v>
      </c>
      <c r="Y239" s="2"/>
      <c r="Z239" s="7">
        <f t="shared" si="128"/>
        <v>-8.2474725931515683E-2</v>
      </c>
    </row>
    <row r="240" spans="1:26" s="26" customFormat="1" outlineLevel="1" collapsed="1" x14ac:dyDescent="0.25">
      <c r="A240" s="27"/>
      <c r="B240" s="13" t="str">
        <f>CONCATENATE("     ","Training                                          ")</f>
        <v xml:space="preserve">     Training                                          </v>
      </c>
      <c r="C240" s="13"/>
      <c r="D240" s="1">
        <f>SUM(OSRRefD22_22x_0)</f>
        <v>0</v>
      </c>
      <c r="E240" s="1"/>
      <c r="F240" s="5">
        <f t="shared" ref="F240:F245" si="129">IF(D$12=0,0,D240/D$12)</f>
        <v>0</v>
      </c>
      <c r="G240" s="1"/>
      <c r="H240" s="1">
        <f>SUM(OSRRefH22_22x_0)</f>
        <v>2143.04</v>
      </c>
      <c r="I240" s="1"/>
      <c r="J240" s="5">
        <f t="shared" ref="J240:J245" si="130">IF(H$12=0,0,H240/H$12)</f>
        <v>4.7584740890934058E-3</v>
      </c>
      <c r="K240" s="1"/>
      <c r="L240" s="1">
        <f t="shared" ref="L240:L245" si="131">+D240-H240</f>
        <v>-2143.04</v>
      </c>
      <c r="M240" s="1"/>
      <c r="N240" s="5">
        <f t="shared" ref="N240:N245" si="132">IF(H240=0,0,L240/H240)</f>
        <v>-1</v>
      </c>
      <c r="O240" s="13"/>
      <c r="P240" s="1">
        <f>SUM(OSRRefP22_22x_0)</f>
        <v>145.63</v>
      </c>
      <c r="Q240" s="1"/>
      <c r="R240" s="5">
        <f t="shared" ref="R240:R245" si="133">IF(P$12=0,0,P240/P$12)</f>
        <v>5.9079516867402876E-5</v>
      </c>
      <c r="S240" s="1"/>
      <c r="T240" s="1">
        <f>SUM(OSRRefT22_22x_0)</f>
        <v>7563.8</v>
      </c>
      <c r="U240" s="1"/>
      <c r="V240" s="5">
        <f t="shared" ref="V240:V245" si="134">IF(T$12=0,0,T240/T$12)</f>
        <v>1.4915269416455011E-3</v>
      </c>
      <c r="W240" s="1"/>
      <c r="X240" s="1">
        <f t="shared" ref="X240:X245" si="135">+P240-T240</f>
        <v>-7418.17</v>
      </c>
      <c r="Y240" s="1"/>
      <c r="Z240" s="5">
        <f t="shared" ref="Z240:Z245" si="136">IF(T240=0,0,X240/T240)</f>
        <v>-0.98074645019699092</v>
      </c>
    </row>
    <row r="241" spans="1:26" s="24" customFormat="1" hidden="1" outlineLevel="2" x14ac:dyDescent="0.25">
      <c r="A241" s="25"/>
      <c r="B241" s="11" t="str">
        <f>CONCATENATE("          ", "6376", " - ", "TRAINING")</f>
        <v xml:space="preserve">          6376 - TRAINING</v>
      </c>
      <c r="C241" s="11"/>
      <c r="D241" s="6"/>
      <c r="E241" s="2"/>
      <c r="F241" s="7">
        <f t="shared" si="129"/>
        <v>0</v>
      </c>
      <c r="G241" s="2"/>
      <c r="H241" s="6">
        <v>2143.04</v>
      </c>
      <c r="I241" s="2"/>
      <c r="J241" s="7">
        <f t="shared" si="130"/>
        <v>4.7584740890934058E-3</v>
      </c>
      <c r="K241" s="2"/>
      <c r="L241" s="6">
        <f t="shared" si="131"/>
        <v>-2143.04</v>
      </c>
      <c r="M241" s="2"/>
      <c r="N241" s="7">
        <f t="shared" si="132"/>
        <v>-1</v>
      </c>
      <c r="O241" s="11"/>
      <c r="P241" s="6">
        <v>145.63</v>
      </c>
      <c r="Q241" s="2"/>
      <c r="R241" s="7">
        <f t="shared" si="133"/>
        <v>5.9079516867402876E-5</v>
      </c>
      <c r="S241" s="2"/>
      <c r="T241" s="6">
        <v>7563.8</v>
      </c>
      <c r="U241" s="2"/>
      <c r="V241" s="7">
        <f t="shared" si="134"/>
        <v>1.4915269416455011E-3</v>
      </c>
      <c r="W241" s="2"/>
      <c r="X241" s="6">
        <f t="shared" si="135"/>
        <v>-7418.17</v>
      </c>
      <c r="Y241" s="2"/>
      <c r="Z241" s="7">
        <f t="shared" si="136"/>
        <v>-0.98074645019699092</v>
      </c>
    </row>
    <row r="242" spans="1:26" s="26" customFormat="1" outlineLevel="1" collapsed="1" x14ac:dyDescent="0.25">
      <c r="A242" s="27"/>
      <c r="B242" s="13" t="str">
        <f>CONCATENATE("     ","Travel                                            ")</f>
        <v xml:space="preserve">     Travel                                            </v>
      </c>
      <c r="C242" s="13"/>
      <c r="D242" s="1">
        <f>SUM(OSRRefD22_23x_0)</f>
        <v>299</v>
      </c>
      <c r="E242" s="1"/>
      <c r="F242" s="5">
        <f t="shared" si="129"/>
        <v>2.6943573308957349E-3</v>
      </c>
      <c r="G242" s="1"/>
      <c r="H242" s="1">
        <f>SUM(OSRRefH22_23x_0)</f>
        <v>354.64</v>
      </c>
      <c r="I242" s="1"/>
      <c r="J242" s="5">
        <f t="shared" si="130"/>
        <v>7.8745392104491061E-4</v>
      </c>
      <c r="K242" s="1"/>
      <c r="L242" s="1">
        <f t="shared" si="131"/>
        <v>-55.639999999999986</v>
      </c>
      <c r="M242" s="1"/>
      <c r="N242" s="5">
        <f t="shared" si="132"/>
        <v>-0.15689149560117299</v>
      </c>
      <c r="O242" s="13"/>
      <c r="P242" s="1">
        <f>SUM(OSRRefP22_23x_0)</f>
        <v>680.93</v>
      </c>
      <c r="Q242" s="1"/>
      <c r="R242" s="5">
        <f t="shared" si="133"/>
        <v>2.76241264990185E-4</v>
      </c>
      <c r="S242" s="1"/>
      <c r="T242" s="1">
        <f>SUM(OSRRefT22_23x_0)</f>
        <v>1601.7499999999998</v>
      </c>
      <c r="U242" s="1"/>
      <c r="V242" s="5">
        <f t="shared" si="134"/>
        <v>3.1585357608354014E-4</v>
      </c>
      <c r="W242" s="1"/>
      <c r="X242" s="1">
        <f t="shared" si="135"/>
        <v>-920.81999999999982</v>
      </c>
      <c r="Y242" s="1"/>
      <c r="Z242" s="5">
        <f t="shared" si="136"/>
        <v>-0.57488372093023254</v>
      </c>
    </row>
    <row r="243" spans="1:26" s="24" customFormat="1" hidden="1" outlineLevel="2" x14ac:dyDescent="0.25">
      <c r="A243" s="25"/>
      <c r="B243" s="11" t="str">
        <f>CONCATENATE("          ", "6292", " - ", "TRAVEL/CONFERENCE")</f>
        <v xml:space="preserve">          6292 - TRAVEL/CONFERENCE</v>
      </c>
      <c r="C243" s="11"/>
      <c r="D243" s="6">
        <v>299</v>
      </c>
      <c r="E243" s="2"/>
      <c r="F243" s="7">
        <f t="shared" si="129"/>
        <v>2.6943573308957349E-3</v>
      </c>
      <c r="G243" s="2"/>
      <c r="H243" s="6">
        <v>47.96</v>
      </c>
      <c r="I243" s="2"/>
      <c r="J243" s="7">
        <f t="shared" si="130"/>
        <v>1.0649190743659462E-4</v>
      </c>
      <c r="K243" s="2"/>
      <c r="L243" s="6">
        <f t="shared" si="131"/>
        <v>251.04</v>
      </c>
      <c r="M243" s="2"/>
      <c r="N243" s="7">
        <f t="shared" si="132"/>
        <v>5.2343619683069225</v>
      </c>
      <c r="O243" s="11"/>
      <c r="P243" s="6">
        <v>299.16000000000003</v>
      </c>
      <c r="Q243" s="2"/>
      <c r="R243" s="7">
        <f t="shared" si="133"/>
        <v>1.213639240956688E-4</v>
      </c>
      <c r="S243" s="2"/>
      <c r="T243" s="6">
        <v>688.61</v>
      </c>
      <c r="U243" s="2"/>
      <c r="V243" s="7">
        <f t="shared" si="134"/>
        <v>1.3578893774114975E-4</v>
      </c>
      <c r="W243" s="2"/>
      <c r="X243" s="6">
        <f t="shared" si="135"/>
        <v>-389.45</v>
      </c>
      <c r="Y243" s="2"/>
      <c r="Z243" s="7">
        <f t="shared" si="136"/>
        <v>-0.56555960558225993</v>
      </c>
    </row>
    <row r="244" spans="1:26" s="24" customFormat="1" hidden="1" outlineLevel="2" x14ac:dyDescent="0.25">
      <c r="A244" s="25"/>
      <c r="B244" s="11" t="str">
        <f>CONCATENATE("          ", "6294", " - ", "TRAVEL OPERATIONAL")</f>
        <v xml:space="preserve">          6294 - TRAVEL OPERATIONAL</v>
      </c>
      <c r="C244" s="11"/>
      <c r="D244" s="6"/>
      <c r="E244" s="2"/>
      <c r="F244" s="7">
        <f t="shared" si="129"/>
        <v>0</v>
      </c>
      <c r="G244" s="2"/>
      <c r="H244" s="6">
        <v>257.33</v>
      </c>
      <c r="I244" s="2"/>
      <c r="J244" s="7">
        <f t="shared" si="130"/>
        <v>5.7138370601874256E-4</v>
      </c>
      <c r="K244" s="2"/>
      <c r="L244" s="6">
        <f t="shared" si="131"/>
        <v>-257.33</v>
      </c>
      <c r="M244" s="2"/>
      <c r="N244" s="7">
        <f t="shared" si="132"/>
        <v>-1</v>
      </c>
      <c r="O244" s="11"/>
      <c r="P244" s="6">
        <v>321.88</v>
      </c>
      <c r="Q244" s="2"/>
      <c r="R244" s="7">
        <f t="shared" si="133"/>
        <v>1.3058102650058119E-4</v>
      </c>
      <c r="S244" s="2"/>
      <c r="T244" s="6">
        <v>693.8</v>
      </c>
      <c r="U244" s="2"/>
      <c r="V244" s="7">
        <f t="shared" si="134"/>
        <v>1.3681236840128619E-4</v>
      </c>
      <c r="W244" s="2"/>
      <c r="X244" s="6">
        <f t="shared" si="135"/>
        <v>-371.91999999999996</v>
      </c>
      <c r="Y244" s="2"/>
      <c r="Z244" s="7">
        <f t="shared" si="136"/>
        <v>-0.53606226578264626</v>
      </c>
    </row>
    <row r="245" spans="1:26" s="24" customFormat="1" hidden="1" outlineLevel="2" x14ac:dyDescent="0.25">
      <c r="A245" s="25"/>
      <c r="B245" s="11" t="str">
        <f>CONCATENATE("          ", "6298", " - ", "VEHICLE MILEAGE")</f>
        <v xml:space="preserve">          6298 - VEHICLE MILEAGE</v>
      </c>
      <c r="C245" s="11"/>
      <c r="D245" s="6"/>
      <c r="E245" s="2"/>
      <c r="F245" s="7">
        <f t="shared" si="129"/>
        <v>0</v>
      </c>
      <c r="G245" s="2"/>
      <c r="H245" s="6">
        <v>49.35</v>
      </c>
      <c r="I245" s="2"/>
      <c r="J245" s="7">
        <f t="shared" si="130"/>
        <v>1.0957830758957348E-4</v>
      </c>
      <c r="K245" s="2"/>
      <c r="L245" s="6">
        <f t="shared" si="131"/>
        <v>-49.35</v>
      </c>
      <c r="M245" s="2"/>
      <c r="N245" s="7">
        <f t="shared" si="132"/>
        <v>-1</v>
      </c>
      <c r="O245" s="11"/>
      <c r="P245" s="6">
        <v>59.89</v>
      </c>
      <c r="Q245" s="2"/>
      <c r="R245" s="7">
        <f t="shared" si="133"/>
        <v>2.4296314393935032E-5</v>
      </c>
      <c r="S245" s="2"/>
      <c r="T245" s="6">
        <v>219.34</v>
      </c>
      <c r="U245" s="2"/>
      <c r="V245" s="7">
        <f t="shared" si="134"/>
        <v>4.3252269941104238E-5</v>
      </c>
      <c r="W245" s="2"/>
      <c r="X245" s="6">
        <f t="shared" si="135"/>
        <v>-159.44999999999999</v>
      </c>
      <c r="Y245" s="2"/>
      <c r="Z245" s="7">
        <f t="shared" si="136"/>
        <v>-0.72695358803683774</v>
      </c>
    </row>
    <row r="246" spans="1:26" s="26" customFormat="1" outlineLevel="1" collapsed="1" x14ac:dyDescent="0.25">
      <c r="A246" s="27"/>
      <c r="B246" s="13" t="str">
        <f>CONCATENATE("     ","Utilities                                         ")</f>
        <v xml:space="preserve">     Utilities                                         </v>
      </c>
      <c r="C246" s="13"/>
      <c r="D246" s="1">
        <f>SUM(OSRRefD22_24x_0)</f>
        <v>6150.38</v>
      </c>
      <c r="E246" s="1"/>
      <c r="F246" s="5">
        <f t="shared" ref="F246:F247" si="137">IF(D$12=0,0,D246/D$12)</f>
        <v>5.5422479735098701E-2</v>
      </c>
      <c r="G246" s="1"/>
      <c r="H246" s="1">
        <f>SUM(OSRRefH22_24x_0)</f>
        <v>5624.26</v>
      </c>
      <c r="I246" s="1"/>
      <c r="J246" s="5">
        <f t="shared" ref="J246:J247" si="138">IF(H$12=0,0,H246/H$12)</f>
        <v>1.2488285557117215E-2</v>
      </c>
      <c r="K246" s="1"/>
      <c r="L246" s="1">
        <f t="shared" ref="L246:L247" si="139">+D246-H246</f>
        <v>526.11999999999989</v>
      </c>
      <c r="M246" s="1"/>
      <c r="N246" s="5">
        <f t="shared" ref="N246:N247" si="140">IF(H246=0,0,L246/H246)</f>
        <v>9.3544750776102081E-2</v>
      </c>
      <c r="O246" s="13"/>
      <c r="P246" s="1">
        <f>SUM(OSRRefP22_24x_0)</f>
        <v>30585.809999999998</v>
      </c>
      <c r="Q246" s="1"/>
      <c r="R246" s="5">
        <f t="shared" ref="R246:R247" si="141">IF(P$12=0,0,P246/P$12)</f>
        <v>1.2408122487112405E-2</v>
      </c>
      <c r="S246" s="1"/>
      <c r="T246" s="1">
        <f>SUM(OSRRefT22_24x_0)</f>
        <v>22598.92</v>
      </c>
      <c r="U246" s="1"/>
      <c r="V246" s="5">
        <f t="shared" ref="V246:V247" si="142">IF(T$12=0,0,T246/T$12)</f>
        <v>4.4563444342911422E-3</v>
      </c>
      <c r="W246" s="1"/>
      <c r="X246" s="1">
        <f t="shared" ref="X246:X247" si="143">+P246-T246</f>
        <v>7986.8899999999994</v>
      </c>
      <c r="Y246" s="1"/>
      <c r="Z246" s="5">
        <f t="shared" ref="Z246:Z247" si="144">IF(T246=0,0,X246/T246)</f>
        <v>0.3534191014437858</v>
      </c>
    </row>
    <row r="247" spans="1:26" s="24" customFormat="1" hidden="1" outlineLevel="2" x14ac:dyDescent="0.25">
      <c r="A247" s="25"/>
      <c r="B247" s="11" t="str">
        <f>CONCATENATE("          ", "6274", " - ", "UTILITIES")</f>
        <v xml:space="preserve">          6274 - UTILITIES</v>
      </c>
      <c r="C247" s="11"/>
      <c r="D247" s="6">
        <v>6150.38</v>
      </c>
      <c r="E247" s="2"/>
      <c r="F247" s="7">
        <f t="shared" si="137"/>
        <v>5.5422479735098701E-2</v>
      </c>
      <c r="G247" s="2"/>
      <c r="H247" s="6">
        <v>5624.26</v>
      </c>
      <c r="I247" s="2"/>
      <c r="J247" s="7">
        <f t="shared" si="138"/>
        <v>1.2488285557117215E-2</v>
      </c>
      <c r="K247" s="2"/>
      <c r="L247" s="6">
        <f t="shared" si="139"/>
        <v>526.11999999999989</v>
      </c>
      <c r="M247" s="2"/>
      <c r="N247" s="7">
        <f t="shared" si="140"/>
        <v>9.3544750776102081E-2</v>
      </c>
      <c r="O247" s="11"/>
      <c r="P247" s="6">
        <v>30585.809999999998</v>
      </c>
      <c r="Q247" s="2"/>
      <c r="R247" s="7">
        <f t="shared" si="141"/>
        <v>1.2408122487112405E-2</v>
      </c>
      <c r="S247" s="2"/>
      <c r="T247" s="6">
        <v>22598.92</v>
      </c>
      <c r="U247" s="2"/>
      <c r="V247" s="7">
        <f t="shared" si="142"/>
        <v>4.4563444342911422E-3</v>
      </c>
      <c r="W247" s="2"/>
      <c r="X247" s="6">
        <f t="shared" si="143"/>
        <v>7986.8899999999994</v>
      </c>
      <c r="Y247" s="2"/>
      <c r="Z247" s="7">
        <f t="shared" si="144"/>
        <v>0.3534191014437858</v>
      </c>
    </row>
    <row r="248" spans="1:26" s="53" customFormat="1" x14ac:dyDescent="0.25">
      <c r="A248" s="37"/>
      <c r="B248" s="37"/>
      <c r="C248" s="37"/>
      <c r="D248" s="1"/>
      <c r="E248" s="1"/>
      <c r="F248" s="5"/>
      <c r="G248" s="1"/>
      <c r="H248" s="1"/>
      <c r="I248" s="1"/>
      <c r="J248" s="5"/>
      <c r="K248" s="1"/>
      <c r="L248" s="1"/>
      <c r="M248" s="1"/>
      <c r="N248" s="5"/>
      <c r="O248" s="37"/>
      <c r="P248" s="1"/>
      <c r="Q248" s="1"/>
      <c r="R248" s="5"/>
      <c r="S248" s="1"/>
      <c r="T248" s="1"/>
      <c r="U248" s="1"/>
      <c r="V248" s="5"/>
      <c r="W248" s="1"/>
      <c r="X248" s="1"/>
      <c r="Y248" s="1"/>
      <c r="Z248" s="5"/>
    </row>
    <row r="249" spans="1:26" s="23" customFormat="1" collapsed="1" x14ac:dyDescent="0.25">
      <c r="A249" s="10"/>
      <c r="B249" s="29" t="s">
        <v>0</v>
      </c>
      <c r="C249" s="10"/>
      <c r="D249" s="4">
        <f>SUM(OSRRefD25x_0)</f>
        <v>72384.83</v>
      </c>
      <c r="E249" s="4"/>
      <c r="F249" s="12">
        <f t="shared" ref="F249:F258" si="145">IF(D$12=0,0,D249/D$12)</f>
        <v>0.652276245338266</v>
      </c>
      <c r="G249" s="4"/>
      <c r="H249" s="4">
        <f>SUM(OSRRefH25x_0)</f>
        <v>21403.63</v>
      </c>
      <c r="I249" s="4"/>
      <c r="J249" s="12">
        <f t="shared" ref="J249:J258" si="146">IF(H$12=0,0,H249/H$12)</f>
        <v>4.7525299932592156E-2</v>
      </c>
      <c r="K249" s="4"/>
      <c r="L249" s="4">
        <f t="shared" ref="L249:L258" si="147">+D249-H249</f>
        <v>50981.2</v>
      </c>
      <c r="M249" s="4"/>
      <c r="N249" s="12">
        <f t="shared" ref="N249:N258" si="148">IF(H249=0,0,L249/H249)</f>
        <v>2.3818950336928828</v>
      </c>
      <c r="O249" s="10"/>
      <c r="P249" s="4">
        <f>SUM(OSRRefP25x_0)</f>
        <v>524380.25</v>
      </c>
      <c r="Q249" s="4"/>
      <c r="R249" s="12">
        <f t="shared" ref="R249:R258" si="149">IF(P$12=0,0,P249/P$12)</f>
        <v>0.21273179856353733</v>
      </c>
      <c r="S249" s="4"/>
      <c r="T249" s="4">
        <f>SUM(OSRRefT25x_0)</f>
        <v>400400.64000000001</v>
      </c>
      <c r="U249" s="4"/>
      <c r="V249" s="12">
        <f t="shared" ref="V249:V258" si="150">IF(T$12=0,0,T249/T$12)</f>
        <v>7.8956125494077226E-2</v>
      </c>
      <c r="W249" s="4"/>
      <c r="X249" s="4">
        <f t="shared" ref="X249:X258" si="151">+P249-T249</f>
        <v>123979.60999999999</v>
      </c>
      <c r="Y249" s="4"/>
      <c r="Z249" s="12">
        <f t="shared" ref="Z249:Z258" si="152">IF(T249=0,0,X249/T249)</f>
        <v>0.30963889068708778</v>
      </c>
    </row>
    <row r="250" spans="1:26" s="24" customFormat="1" hidden="1" outlineLevel="1" x14ac:dyDescent="0.25">
      <c r="A250" s="44"/>
      <c r="B250" s="11" t="str">
        <f>CONCATENATE("          ", "4098", " - ", "TAXABLE SALES-GRAD RENTALS")</f>
        <v xml:space="preserve">          4098 - TAXABLE SALES-GRAD RENTALS</v>
      </c>
      <c r="C250" s="11"/>
      <c r="D250" s="2">
        <f t="shared" ref="D250:D252" si="153">0</f>
        <v>0</v>
      </c>
      <c r="E250" s="2"/>
      <c r="F250" s="19">
        <f t="shared" si="145"/>
        <v>0</v>
      </c>
      <c r="G250" s="2"/>
      <c r="H250" s="2">
        <f t="shared" ref="H250:H252" si="154">0</f>
        <v>0</v>
      </c>
      <c r="I250" s="2"/>
      <c r="J250" s="19">
        <f t="shared" si="146"/>
        <v>0</v>
      </c>
      <c r="K250" s="2"/>
      <c r="L250" s="2">
        <f t="shared" si="147"/>
        <v>0</v>
      </c>
      <c r="M250" s="2"/>
      <c r="N250" s="19">
        <f t="shared" si="148"/>
        <v>0</v>
      </c>
      <c r="O250" s="11"/>
      <c r="P250" s="2">
        <f t="shared" ref="P250:P252" si="155">0</f>
        <v>0</v>
      </c>
      <c r="Q250" s="2"/>
      <c r="R250" s="19">
        <f t="shared" si="149"/>
        <v>0</v>
      </c>
      <c r="S250" s="2"/>
      <c r="T250" s="2">
        <f>--1626.85</f>
        <v>1626.85</v>
      </c>
      <c r="U250" s="2"/>
      <c r="V250" s="19">
        <f t="shared" si="150"/>
        <v>3.2080311549961436E-4</v>
      </c>
      <c r="W250" s="2"/>
      <c r="X250" s="2">
        <f t="shared" si="151"/>
        <v>-1626.85</v>
      </c>
      <c r="Y250" s="2"/>
      <c r="Z250" s="19">
        <f t="shared" si="152"/>
        <v>-1</v>
      </c>
    </row>
    <row r="251" spans="1:26" s="24" customFormat="1" hidden="1" outlineLevel="1" x14ac:dyDescent="0.25">
      <c r="A251" s="44"/>
      <c r="B251" s="11" t="str">
        <f>CONCATENATE("          ", "4197", " - ", "NON-TAXABLE SALES-RETURNED CHE")</f>
        <v xml:space="preserve">          4197 - NON-TAXABLE SALES-RETURNED CHE</v>
      </c>
      <c r="C251" s="11"/>
      <c r="D251" s="2">
        <f t="shared" si="153"/>
        <v>0</v>
      </c>
      <c r="E251" s="2"/>
      <c r="F251" s="19">
        <f t="shared" si="145"/>
        <v>0</v>
      </c>
      <c r="G251" s="2"/>
      <c r="H251" s="2">
        <f t="shared" si="154"/>
        <v>0</v>
      </c>
      <c r="I251" s="2"/>
      <c r="J251" s="19">
        <f t="shared" si="146"/>
        <v>0</v>
      </c>
      <c r="K251" s="2"/>
      <c r="L251" s="2">
        <f t="shared" si="147"/>
        <v>0</v>
      </c>
      <c r="M251" s="2"/>
      <c r="N251" s="19">
        <f t="shared" si="148"/>
        <v>0</v>
      </c>
      <c r="O251" s="11"/>
      <c r="P251" s="2">
        <f t="shared" si="155"/>
        <v>0</v>
      </c>
      <c r="Q251" s="2"/>
      <c r="R251" s="19">
        <f t="shared" si="149"/>
        <v>0</v>
      </c>
      <c r="S251" s="2"/>
      <c r="T251" s="2">
        <f>--30</f>
        <v>30</v>
      </c>
      <c r="U251" s="2"/>
      <c r="V251" s="19">
        <f t="shared" si="150"/>
        <v>5.9157841626384927E-6</v>
      </c>
      <c r="W251" s="2"/>
      <c r="X251" s="2">
        <f t="shared" si="151"/>
        <v>-30</v>
      </c>
      <c r="Y251" s="2"/>
      <c r="Z251" s="19">
        <f t="shared" si="152"/>
        <v>-1</v>
      </c>
    </row>
    <row r="252" spans="1:26" s="24" customFormat="1" hidden="1" outlineLevel="1" x14ac:dyDescent="0.25">
      <c r="A252" s="44"/>
      <c r="B252" s="11" t="str">
        <f>CONCATENATE("          ", "4198", " - ", "NON-TAXABLE SALES-GRAD RENTALS")</f>
        <v xml:space="preserve">          4198 - NON-TAXABLE SALES-GRAD RENTALS</v>
      </c>
      <c r="C252" s="11"/>
      <c r="D252" s="2">
        <f t="shared" si="153"/>
        <v>0</v>
      </c>
      <c r="E252" s="2"/>
      <c r="F252" s="19">
        <f t="shared" si="145"/>
        <v>0</v>
      </c>
      <c r="G252" s="2"/>
      <c r="H252" s="2">
        <f t="shared" si="154"/>
        <v>0</v>
      </c>
      <c r="I252" s="2"/>
      <c r="J252" s="19">
        <f t="shared" si="146"/>
        <v>0</v>
      </c>
      <c r="K252" s="2"/>
      <c r="L252" s="2">
        <f t="shared" si="147"/>
        <v>0</v>
      </c>
      <c r="M252" s="2"/>
      <c r="N252" s="19">
        <f t="shared" si="148"/>
        <v>0</v>
      </c>
      <c r="O252" s="11"/>
      <c r="P252" s="2">
        <f t="shared" si="155"/>
        <v>0</v>
      </c>
      <c r="Q252" s="2"/>
      <c r="R252" s="19">
        <f t="shared" si="149"/>
        <v>0</v>
      </c>
      <c r="S252" s="2"/>
      <c r="T252" s="2">
        <f>--495</f>
        <v>495</v>
      </c>
      <c r="U252" s="2"/>
      <c r="V252" s="19">
        <f t="shared" si="150"/>
        <v>9.7610438683535131E-5</v>
      </c>
      <c r="W252" s="2"/>
      <c r="X252" s="2">
        <f t="shared" si="151"/>
        <v>-495</v>
      </c>
      <c r="Y252" s="2"/>
      <c r="Z252" s="19">
        <f t="shared" si="152"/>
        <v>-1</v>
      </c>
    </row>
    <row r="253" spans="1:26" s="24" customFormat="1" hidden="1" outlineLevel="1" x14ac:dyDescent="0.25">
      <c r="A253" s="44"/>
      <c r="B253" s="11" t="str">
        <f>CONCATENATE("          ", "9150", " - ", "MISC. INCOME")</f>
        <v xml:space="preserve">          9150 - MISC. INCOME</v>
      </c>
      <c r="C253" s="11"/>
      <c r="D253" s="2">
        <f>--57387.68</f>
        <v>57387.68</v>
      </c>
      <c r="E253" s="2"/>
      <c r="F253" s="19">
        <f t="shared" si="145"/>
        <v>0.51713349936822262</v>
      </c>
      <c r="G253" s="2"/>
      <c r="H253" s="2">
        <f>--19494.41</f>
        <v>19494.41</v>
      </c>
      <c r="I253" s="2"/>
      <c r="J253" s="19">
        <f t="shared" si="146"/>
        <v>4.3286007198728618E-2</v>
      </c>
      <c r="K253" s="2"/>
      <c r="L253" s="2">
        <f t="shared" si="147"/>
        <v>37893.270000000004</v>
      </c>
      <c r="M253" s="2"/>
      <c r="N253" s="19">
        <f t="shared" si="148"/>
        <v>1.9438018385783413</v>
      </c>
      <c r="O253" s="11"/>
      <c r="P253" s="2">
        <f>--199082.79</f>
        <v>199082.79</v>
      </c>
      <c r="Q253" s="2"/>
      <c r="R253" s="19">
        <f t="shared" si="149"/>
        <v>8.0764368947432719E-2</v>
      </c>
      <c r="S253" s="2"/>
      <c r="T253" s="2">
        <f>--226144.65</f>
        <v>226144.65</v>
      </c>
      <c r="U253" s="2"/>
      <c r="V253" s="19">
        <f t="shared" si="150"/>
        <v>4.4594097964514169E-2</v>
      </c>
      <c r="W253" s="2"/>
      <c r="X253" s="2">
        <f t="shared" si="151"/>
        <v>-27061.859999999986</v>
      </c>
      <c r="Y253" s="2"/>
      <c r="Z253" s="19">
        <f t="shared" si="152"/>
        <v>-0.11966615173076164</v>
      </c>
    </row>
    <row r="254" spans="1:26" s="24" customFormat="1" hidden="1" outlineLevel="1" x14ac:dyDescent="0.25">
      <c r="A254" s="44"/>
      <c r="B254" s="11" t="str">
        <f>CONCATENATE("          ", "9151", " - ", "MISC. INCOME")</f>
        <v xml:space="preserve">          9151 - MISC. INCOME</v>
      </c>
      <c r="C254" s="11"/>
      <c r="D254" s="2">
        <f>0</f>
        <v>0</v>
      </c>
      <c r="E254" s="2"/>
      <c r="F254" s="19">
        <f t="shared" si="145"/>
        <v>0</v>
      </c>
      <c r="G254" s="2"/>
      <c r="H254" s="2">
        <f>0</f>
        <v>0</v>
      </c>
      <c r="I254" s="2"/>
      <c r="J254" s="19">
        <f t="shared" si="146"/>
        <v>0</v>
      </c>
      <c r="K254" s="2"/>
      <c r="L254" s="2">
        <f t="shared" si="147"/>
        <v>0</v>
      </c>
      <c r="M254" s="2"/>
      <c r="N254" s="19">
        <f t="shared" si="148"/>
        <v>0</v>
      </c>
      <c r="O254" s="11"/>
      <c r="P254" s="2">
        <f>--147285.39</f>
        <v>147285.39000000001</v>
      </c>
      <c r="Q254" s="2"/>
      <c r="R254" s="19">
        <f t="shared" si="149"/>
        <v>5.9751079329993906E-2</v>
      </c>
      <c r="S254" s="2"/>
      <c r="T254" s="2">
        <f>--87224.27</f>
        <v>87224.27</v>
      </c>
      <c r="U254" s="2"/>
      <c r="V254" s="19">
        <f t="shared" si="150"/>
        <v>1.7199998502123462E-2</v>
      </c>
      <c r="W254" s="2"/>
      <c r="X254" s="2">
        <f t="shared" si="151"/>
        <v>60061.12000000001</v>
      </c>
      <c r="Y254" s="2"/>
      <c r="Z254" s="19">
        <f t="shared" si="152"/>
        <v>0.68858266168349713</v>
      </c>
    </row>
    <row r="255" spans="1:26" s="24" customFormat="1" hidden="1" outlineLevel="1" x14ac:dyDescent="0.25">
      <c r="A255" s="44"/>
      <c r="B255" s="11" t="str">
        <f>CONCATENATE("          ", "9152", " - ", "MISC. INCOME")</f>
        <v xml:space="preserve">          9152 - MISC. INCOME</v>
      </c>
      <c r="C255" s="11"/>
      <c r="D255" s="2">
        <f>--255.21</f>
        <v>255.21</v>
      </c>
      <c r="E255" s="2"/>
      <c r="F255" s="19">
        <f t="shared" si="145"/>
        <v>2.2997556335046842E-3</v>
      </c>
      <c r="G255" s="2"/>
      <c r="H255" s="2">
        <f>--154.22</f>
        <v>154.22</v>
      </c>
      <c r="I255" s="2"/>
      <c r="J255" s="19">
        <f t="shared" si="146"/>
        <v>3.4243498675712303E-4</v>
      </c>
      <c r="K255" s="2"/>
      <c r="L255" s="2">
        <f t="shared" si="147"/>
        <v>100.99000000000001</v>
      </c>
      <c r="M255" s="2"/>
      <c r="N255" s="19">
        <f t="shared" si="148"/>
        <v>0.65484372973673977</v>
      </c>
      <c r="O255" s="11"/>
      <c r="P255" s="2">
        <f>--2606.23</f>
        <v>2606.23</v>
      </c>
      <c r="Q255" s="2"/>
      <c r="R255" s="19">
        <f t="shared" si="149"/>
        <v>1.0573014436951961E-3</v>
      </c>
      <c r="S255" s="2"/>
      <c r="T255" s="2">
        <f>--848.32</f>
        <v>848.32</v>
      </c>
      <c r="U255" s="2"/>
      <c r="V255" s="19">
        <f t="shared" si="150"/>
        <v>1.6728260069498289E-4</v>
      </c>
      <c r="W255" s="2"/>
      <c r="X255" s="2">
        <f t="shared" si="151"/>
        <v>1757.9099999999999</v>
      </c>
      <c r="Y255" s="2"/>
      <c r="Z255" s="19">
        <f t="shared" si="152"/>
        <v>2.0722251037344397</v>
      </c>
    </row>
    <row r="256" spans="1:26" s="24" customFormat="1" hidden="1" outlineLevel="1" x14ac:dyDescent="0.25">
      <c r="A256" s="44"/>
      <c r="B256" s="11" t="str">
        <f>CONCATENATE("          ", "9153", " - ", "MISC. INCOME")</f>
        <v xml:space="preserve">          9153 - MISC. INCOME</v>
      </c>
      <c r="C256" s="11"/>
      <c r="D256" s="2">
        <f t="shared" ref="D256:D257" si="156">0</f>
        <v>0</v>
      </c>
      <c r="E256" s="2"/>
      <c r="F256" s="19">
        <f t="shared" si="145"/>
        <v>0</v>
      </c>
      <c r="G256" s="2"/>
      <c r="H256" s="2">
        <f>--450</f>
        <v>450</v>
      </c>
      <c r="I256" s="2"/>
      <c r="J256" s="19">
        <f t="shared" si="146"/>
        <v>9.9919429412984951E-4</v>
      </c>
      <c r="K256" s="2"/>
      <c r="L256" s="2">
        <f t="shared" si="147"/>
        <v>-450</v>
      </c>
      <c r="M256" s="2"/>
      <c r="N256" s="19">
        <f t="shared" si="148"/>
        <v>-1</v>
      </c>
      <c r="O256" s="11"/>
      <c r="P256" s="2">
        <f t="shared" ref="P256:P257" si="157">0</f>
        <v>0</v>
      </c>
      <c r="Q256" s="2"/>
      <c r="R256" s="19">
        <f t="shared" si="149"/>
        <v>0</v>
      </c>
      <c r="S256" s="2"/>
      <c r="T256" s="2">
        <f>--450</f>
        <v>450</v>
      </c>
      <c r="U256" s="2"/>
      <c r="V256" s="19">
        <f t="shared" si="150"/>
        <v>8.8736762439577387E-5</v>
      </c>
      <c r="W256" s="2"/>
      <c r="X256" s="2">
        <f t="shared" si="151"/>
        <v>-450</v>
      </c>
      <c r="Y256" s="2"/>
      <c r="Z256" s="19">
        <f t="shared" si="152"/>
        <v>-1</v>
      </c>
    </row>
    <row r="257" spans="1:26" s="24" customFormat="1" hidden="1" outlineLevel="1" x14ac:dyDescent="0.25">
      <c r="A257" s="44"/>
      <c r="B257" s="11" t="str">
        <f>CONCATENATE("          ", "9160", " - ", "MISC. INCOME")</f>
        <v xml:space="preserve">          9160 - MISC. INCOME</v>
      </c>
      <c r="C257" s="11"/>
      <c r="D257" s="2">
        <f t="shared" si="156"/>
        <v>0</v>
      </c>
      <c r="E257" s="2"/>
      <c r="F257" s="19">
        <f t="shared" si="145"/>
        <v>0</v>
      </c>
      <c r="G257" s="2"/>
      <c r="H257" s="2">
        <f>--1305</f>
        <v>1305</v>
      </c>
      <c r="I257" s="2"/>
      <c r="J257" s="19">
        <f t="shared" si="146"/>
        <v>2.8976634529765634E-3</v>
      </c>
      <c r="K257" s="2"/>
      <c r="L257" s="2">
        <f t="shared" si="147"/>
        <v>-1305</v>
      </c>
      <c r="M257" s="2"/>
      <c r="N257" s="19">
        <f t="shared" si="148"/>
        <v>-1</v>
      </c>
      <c r="O257" s="11"/>
      <c r="P257" s="2">
        <f t="shared" si="157"/>
        <v>0</v>
      </c>
      <c r="Q257" s="2"/>
      <c r="R257" s="19">
        <f t="shared" si="149"/>
        <v>0</v>
      </c>
      <c r="S257" s="2"/>
      <c r="T257" s="2">
        <f>--22475</f>
        <v>22475</v>
      </c>
      <c r="U257" s="2"/>
      <c r="V257" s="19">
        <f t="shared" si="150"/>
        <v>4.4319083018433377E-3</v>
      </c>
      <c r="W257" s="2"/>
      <c r="X257" s="2">
        <f t="shared" si="151"/>
        <v>-22475</v>
      </c>
      <c r="Y257" s="2"/>
      <c r="Z257" s="19">
        <f t="shared" si="152"/>
        <v>-1</v>
      </c>
    </row>
    <row r="258" spans="1:26" s="24" customFormat="1" hidden="1" outlineLevel="1" x14ac:dyDescent="0.25">
      <c r="A258" s="44"/>
      <c r="B258" s="11" t="str">
        <f>CONCATENATE("          ", "9163", " - ", "MISC. INCOME")</f>
        <v xml:space="preserve">          9163 - MISC. INCOME</v>
      </c>
      <c r="C258" s="11"/>
      <c r="D258" s="2">
        <f>--14741.94</f>
        <v>14741.94</v>
      </c>
      <c r="E258" s="2"/>
      <c r="F258" s="19">
        <f t="shared" si="145"/>
        <v>0.13284299033653871</v>
      </c>
      <c r="G258" s="2"/>
      <c r="H258" s="2">
        <f>0</f>
        <v>0</v>
      </c>
      <c r="I258" s="2"/>
      <c r="J258" s="19">
        <f t="shared" si="146"/>
        <v>0</v>
      </c>
      <c r="K258" s="2"/>
      <c r="L258" s="2">
        <f t="shared" si="147"/>
        <v>14741.94</v>
      </c>
      <c r="M258" s="2"/>
      <c r="N258" s="19">
        <f t="shared" si="148"/>
        <v>0</v>
      </c>
      <c r="O258" s="11"/>
      <c r="P258" s="2">
        <f>--175405.84</f>
        <v>175405.84</v>
      </c>
      <c r="Q258" s="2"/>
      <c r="R258" s="19">
        <f t="shared" si="149"/>
        <v>7.1159048842415515E-2</v>
      </c>
      <c r="S258" s="2"/>
      <c r="T258" s="2">
        <f>--61106.55</f>
        <v>61106.55</v>
      </c>
      <c r="U258" s="2"/>
      <c r="V258" s="19">
        <f t="shared" si="150"/>
        <v>1.2049772024115907E-2</v>
      </c>
      <c r="W258" s="2"/>
      <c r="X258" s="2">
        <f t="shared" si="151"/>
        <v>114299.29</v>
      </c>
      <c r="Y258" s="2"/>
      <c r="Z258" s="19">
        <f t="shared" si="152"/>
        <v>1.8704916248749108</v>
      </c>
    </row>
    <row r="259" spans="1:26" x14ac:dyDescent="0.25">
      <c r="A259" s="9"/>
      <c r="B259" s="10"/>
      <c r="C259" s="10"/>
      <c r="D259" s="3"/>
      <c r="E259" s="3"/>
      <c r="F259" s="8"/>
      <c r="G259" s="3"/>
      <c r="H259" s="3"/>
      <c r="I259" s="3"/>
      <c r="J259" s="8"/>
      <c r="K259" s="3"/>
      <c r="L259" s="3"/>
      <c r="M259" s="3"/>
      <c r="N259" s="8"/>
      <c r="O259" s="10"/>
      <c r="P259" s="3"/>
      <c r="Q259" s="3"/>
      <c r="R259" s="8"/>
      <c r="S259" s="3"/>
      <c r="T259" s="3"/>
      <c r="U259" s="3"/>
      <c r="V259" s="8"/>
      <c r="W259" s="3"/>
      <c r="X259" s="3"/>
      <c r="Y259" s="3"/>
      <c r="Z259" s="8"/>
    </row>
    <row r="260" spans="1:26" s="23" customFormat="1" x14ac:dyDescent="0.25">
      <c r="A260" s="10"/>
      <c r="B260" s="28" t="s">
        <v>3</v>
      </c>
      <c r="C260" s="28"/>
      <c r="D260" s="20">
        <f>+D158-D160+D249</f>
        <v>-113545.32999999991</v>
      </c>
      <c r="E260" s="14"/>
      <c r="F260" s="22">
        <f>IF(D$12=0,0,D260/D$12)</f>
        <v>-1.0231829173059372</v>
      </c>
      <c r="G260" s="14"/>
      <c r="H260" s="20">
        <f>+H158-H160+H249</f>
        <v>-112284.21000000034</v>
      </c>
      <c r="I260" s="14"/>
      <c r="J260" s="22">
        <f>IF(H$12=0,0,H260/H$12)</f>
        <v>-0.24931942656195138</v>
      </c>
      <c r="K260" s="15"/>
      <c r="L260" s="20">
        <f>+D260-H260</f>
        <v>-1261.1199999995733</v>
      </c>
      <c r="M260" s="15"/>
      <c r="N260" s="22">
        <f>IF(H260=0,0,L260/H260)</f>
        <v>1.1231499068297934E-2</v>
      </c>
      <c r="O260" s="29"/>
      <c r="P260" s="20">
        <f>+P158-P160+P249</f>
        <v>28789.289999999339</v>
      </c>
      <c r="Q260" s="14"/>
      <c r="R260" s="22">
        <f>IF(P$12=0,0,P260/P$12)</f>
        <v>1.1679306078112435E-2</v>
      </c>
      <c r="S260" s="14"/>
      <c r="T260" s="20">
        <f>+T158-T160+T249</f>
        <v>549311.93999999657</v>
      </c>
      <c r="U260" s="14"/>
      <c r="V260" s="22">
        <f>IF(T$12=0,0,T260/T$12)</f>
        <v>0.10832036250000686</v>
      </c>
      <c r="W260" s="15"/>
      <c r="X260" s="20">
        <f>+P260-T260</f>
        <v>-520522.64999999723</v>
      </c>
      <c r="Y260" s="15"/>
      <c r="Z260" s="22">
        <f>IF(T260=0,0,X260/T260)</f>
        <v>-0.94759027083955338</v>
      </c>
    </row>
    <row r="261" spans="1:26" x14ac:dyDescent="0.25">
      <c r="A261" s="9"/>
      <c r="B261" s="10"/>
      <c r="C261" s="9"/>
      <c r="D261" s="3"/>
      <c r="E261" s="3"/>
      <c r="F261" s="8"/>
      <c r="G261" s="3"/>
      <c r="H261" s="3"/>
      <c r="I261" s="3"/>
      <c r="J261" s="8"/>
      <c r="K261" s="3"/>
      <c r="L261" s="3"/>
      <c r="M261" s="3"/>
      <c r="N261" s="8"/>
      <c r="P261" s="3"/>
      <c r="Q261" s="3"/>
      <c r="R261" s="8"/>
      <c r="S261" s="3"/>
      <c r="T261" s="3"/>
      <c r="U261" s="3"/>
      <c r="V261" s="8"/>
      <c r="W261" s="3"/>
      <c r="X261" s="3"/>
      <c r="Y261" s="3"/>
      <c r="Z261" s="8"/>
    </row>
    <row r="262" spans="1:26" s="23" customFormat="1" x14ac:dyDescent="0.25">
      <c r="A262" s="51"/>
      <c r="B262" s="10" t="s">
        <v>13</v>
      </c>
      <c r="C262" s="10"/>
      <c r="D262" s="4">
        <v>-118249.83</v>
      </c>
      <c r="E262" s="4"/>
      <c r="F262" s="12">
        <f>IF(D$12=0,0,D262/D$12)</f>
        <v>-1.0655762419320216</v>
      </c>
      <c r="G262" s="4"/>
      <c r="H262" s="4">
        <v>71860.39</v>
      </c>
      <c r="I262" s="4"/>
      <c r="J262" s="12">
        <f>IF(H$12=0,0,H262/H$12)</f>
        <v>0.15956109258210152</v>
      </c>
      <c r="K262" s="4"/>
      <c r="L262" s="4">
        <f>+D262-H262</f>
        <v>-190110.22</v>
      </c>
      <c r="M262" s="4"/>
      <c r="N262" s="12">
        <f>IF(H262=0,0,L262/H262)</f>
        <v>-2.6455495162216627</v>
      </c>
      <c r="O262" s="10"/>
      <c r="P262" s="4">
        <v>391679.49</v>
      </c>
      <c r="Q262" s="4"/>
      <c r="R262" s="12">
        <f>IF(P$12=0,0,P262/P$12)</f>
        <v>0.15889744582895529</v>
      </c>
      <c r="S262" s="4"/>
      <c r="T262" s="4">
        <v>537003.53</v>
      </c>
      <c r="U262" s="4"/>
      <c r="V262" s="12">
        <f>IF(T$12=0,0,T262/T$12)</f>
        <v>0.10589323260183217</v>
      </c>
      <c r="W262" s="4"/>
      <c r="X262" s="4">
        <f>+P262-T262</f>
        <v>-145324.04000000004</v>
      </c>
      <c r="Y262" s="4"/>
      <c r="Z262" s="12">
        <f>IF(T262=0,0,X262/T262)</f>
        <v>-0.27062026947942042</v>
      </c>
    </row>
    <row r="263" spans="1:26" x14ac:dyDescent="0.25">
      <c r="A263" s="9"/>
      <c r="B263" s="10"/>
      <c r="C263" s="10"/>
      <c r="D263" s="3"/>
      <c r="E263" s="3"/>
      <c r="F263" s="8"/>
      <c r="G263" s="3"/>
      <c r="H263" s="3"/>
      <c r="I263" s="3"/>
      <c r="J263" s="8"/>
      <c r="K263" s="3"/>
      <c r="L263" s="3"/>
      <c r="M263" s="3"/>
      <c r="N263" s="8"/>
      <c r="O263" s="10"/>
      <c r="P263" s="3"/>
      <c r="Q263" s="3"/>
      <c r="R263" s="8"/>
      <c r="S263" s="3"/>
      <c r="T263" s="3"/>
      <c r="U263" s="3"/>
      <c r="V263" s="8"/>
      <c r="W263" s="3"/>
      <c r="X263" s="3"/>
      <c r="Y263" s="3"/>
      <c r="Z263" s="8"/>
    </row>
    <row r="264" spans="1:26" s="23" customFormat="1" ht="15.75" thickBot="1" x14ac:dyDescent="0.3">
      <c r="A264" s="10"/>
      <c r="B264" s="28" t="s">
        <v>4</v>
      </c>
      <c r="C264" s="28"/>
      <c r="D264" s="31">
        <f>+D260-D262</f>
        <v>4704.5000000000873</v>
      </c>
      <c r="E264" s="14"/>
      <c r="F264" s="34">
        <f>IF(D$12=0,0,D264/D$12)</f>
        <v>4.2393324626084354E-2</v>
      </c>
      <c r="G264" s="14"/>
      <c r="H264" s="31">
        <f>+H260-H262</f>
        <v>-184144.60000000033</v>
      </c>
      <c r="I264" s="14"/>
      <c r="J264" s="34">
        <f>IF(H$12=0,0,H264/H$12)</f>
        <v>-0.40888051914405288</v>
      </c>
      <c r="K264" s="15"/>
      <c r="L264" s="31">
        <f>D264-H264</f>
        <v>188849.10000000041</v>
      </c>
      <c r="M264" s="15"/>
      <c r="N264" s="34">
        <f>IF(H264=0,0,L264/H264)</f>
        <v>-1.0255478574989443</v>
      </c>
      <c r="O264" s="29"/>
      <c r="P264" s="31">
        <f>+P260-P262</f>
        <v>-362890.20000000065</v>
      </c>
      <c r="Q264" s="14"/>
      <c r="R264" s="34">
        <f>IF(P$12=0,0,P264/P$12)</f>
        <v>-0.14721813975084283</v>
      </c>
      <c r="S264" s="14"/>
      <c r="T264" s="31">
        <f>+T260-T262</f>
        <v>12308.40999999654</v>
      </c>
      <c r="U264" s="14"/>
      <c r="V264" s="34">
        <f>IF(T$12=0,0,T264/T$12)</f>
        <v>2.4271298981746927E-3</v>
      </c>
      <c r="W264" s="15"/>
      <c r="X264" s="31">
        <f>P264-T264</f>
        <v>-375198.60999999719</v>
      </c>
      <c r="Y264" s="15"/>
      <c r="Z264" s="34">
        <f>IF(T264=0,0,X264/T264)</f>
        <v>-30.48310951618468</v>
      </c>
    </row>
    <row r="265" spans="1:26" ht="15.75" thickTop="1" x14ac:dyDescent="0.25">
      <c r="A265" s="9"/>
      <c r="B265" s="9"/>
      <c r="C265" s="9"/>
      <c r="D265" s="3"/>
      <c r="E265" s="3"/>
      <c r="F265" s="8"/>
      <c r="G265" s="3"/>
      <c r="H265" s="3"/>
      <c r="I265" s="3"/>
      <c r="J265" s="8"/>
      <c r="K265" s="3"/>
      <c r="L265" s="3"/>
      <c r="M265" s="3"/>
      <c r="N265" s="8"/>
      <c r="P265" s="3"/>
      <c r="Q265" s="3"/>
      <c r="R265" s="8"/>
      <c r="S265" s="3"/>
      <c r="T265" s="3"/>
      <c r="U265" s="3"/>
      <c r="V265" s="8"/>
      <c r="W265" s="3"/>
      <c r="X265" s="3"/>
      <c r="Y265" s="3"/>
      <c r="Z265" s="8"/>
    </row>
    <row r="266" spans="1:26" x14ac:dyDescent="0.25">
      <c r="A266" s="9"/>
      <c r="B266" s="9"/>
      <c r="C266" s="9"/>
      <c r="D266" s="3"/>
      <c r="E266" s="3"/>
      <c r="F266" s="8"/>
      <c r="G266" s="3"/>
      <c r="H266" s="3"/>
      <c r="I266" s="3"/>
      <c r="J266" s="8"/>
      <c r="K266" s="3"/>
      <c r="L266" s="3"/>
      <c r="M266" s="3"/>
      <c r="N266" s="8"/>
      <c r="P266" s="3"/>
      <c r="Q266" s="3"/>
      <c r="R266" s="8"/>
      <c r="S266" s="3"/>
      <c r="T266" s="3"/>
      <c r="U266" s="3"/>
      <c r="V266" s="8"/>
      <c r="W266" s="3"/>
      <c r="X266" s="3"/>
      <c r="Y266" s="3"/>
      <c r="Z266" s="8"/>
    </row>
    <row r="267" spans="1:26" s="23" customFormat="1" ht="15.75" thickBot="1" x14ac:dyDescent="0.3">
      <c r="A267" s="10"/>
      <c r="B267" s="28" t="s">
        <v>5</v>
      </c>
      <c r="C267" s="28"/>
      <c r="D267" s="32">
        <f>SUM(D264:D266)</f>
        <v>4704.5000000000873</v>
      </c>
      <c r="E267" s="14"/>
      <c r="F267" s="30">
        <f>IF(D$12=0,0,D267/D$12)</f>
        <v>4.2393324626084354E-2</v>
      </c>
      <c r="G267" s="14"/>
      <c r="H267" s="32">
        <f>SUM(H264:H266)</f>
        <v>-184144.60000000033</v>
      </c>
      <c r="I267" s="14"/>
      <c r="J267" s="30">
        <f>IF(H$12=0,0,H267/H$12)</f>
        <v>-0.40888051914405288</v>
      </c>
      <c r="K267" s="15"/>
      <c r="L267" s="32">
        <f>+D267-H267</f>
        <v>188849.10000000041</v>
      </c>
      <c r="M267" s="15"/>
      <c r="N267" s="30">
        <f>IF(H267=0,0,L267/H267)</f>
        <v>-1.0255478574989443</v>
      </c>
      <c r="O267" s="29"/>
      <c r="P267" s="32">
        <f>SUM(P264:P266)</f>
        <v>-362890.20000000065</v>
      </c>
      <c r="Q267" s="14"/>
      <c r="R267" s="30">
        <f>IF(P$12=0,0,P267/P$12)</f>
        <v>-0.14721813975084283</v>
      </c>
      <c r="S267" s="14"/>
      <c r="T267" s="32">
        <f>SUM(T264:T266)</f>
        <v>12308.40999999654</v>
      </c>
      <c r="U267" s="14"/>
      <c r="V267" s="30">
        <f>IF(T$12=0,0,T267/T$12)</f>
        <v>2.4271298981746927E-3</v>
      </c>
      <c r="W267" s="15"/>
      <c r="X267" s="32">
        <f>+P267-T267</f>
        <v>-375198.60999999719</v>
      </c>
      <c r="Y267" s="15"/>
      <c r="Z267" s="30">
        <f>IF(T267=0,0,X267/T267)</f>
        <v>-30.48310951618468</v>
      </c>
    </row>
    <row r="268" spans="1:26" ht="15.75" thickTop="1" x14ac:dyDescent="0.25">
      <c r="A268" s="9"/>
      <c r="C268" s="9"/>
      <c r="D268" s="17"/>
      <c r="E268" s="17"/>
      <c r="G268" s="17"/>
      <c r="H268" s="17"/>
      <c r="I268" s="17"/>
      <c r="J268" s="43"/>
      <c r="K268" s="17"/>
      <c r="L268" s="17"/>
      <c r="M268" s="17"/>
      <c r="P268" s="17"/>
      <c r="Q268" s="17"/>
      <c r="R268" s="43"/>
      <c r="S268" s="17"/>
      <c r="T268" s="17"/>
      <c r="U268" s="17"/>
      <c r="V268" s="43"/>
      <c r="W268" s="17"/>
      <c r="X268" s="17"/>
    </row>
    <row r="269" spans="1:26" x14ac:dyDescent="0.25">
      <c r="A269" s="9"/>
      <c r="B269" s="54">
        <v>44174.68504019676</v>
      </c>
      <c r="D269" s="17"/>
      <c r="E269" s="17"/>
      <c r="G269" s="17"/>
      <c r="H269" s="17"/>
      <c r="I269" s="17"/>
      <c r="J269" s="43"/>
      <c r="K269" s="17"/>
      <c r="L269" s="17"/>
      <c r="M269" s="17"/>
      <c r="P269" s="17"/>
      <c r="Q269" s="17"/>
      <c r="R269" s="43"/>
      <c r="S269" s="17"/>
      <c r="T269" s="17"/>
      <c r="U269" s="17"/>
      <c r="V269" s="43"/>
      <c r="W269" s="17"/>
      <c r="X269" s="17"/>
    </row>
    <row r="270" spans="1:26" x14ac:dyDescent="0.25">
      <c r="A270" s="9"/>
      <c r="B270" s="56" t="s">
        <v>313</v>
      </c>
      <c r="D270" s="17"/>
      <c r="E270" s="17"/>
      <c r="G270" s="17"/>
      <c r="H270" s="17"/>
      <c r="I270" s="17"/>
      <c r="J270" s="43"/>
      <c r="K270" s="17"/>
      <c r="L270" s="17"/>
      <c r="M270" s="17"/>
      <c r="P270" s="17"/>
      <c r="Q270" s="17"/>
      <c r="R270" s="43"/>
      <c r="S270" s="17"/>
      <c r="T270" s="17"/>
      <c r="U270" s="17"/>
      <c r="V270" s="43"/>
      <c r="W270" s="17"/>
      <c r="X270" s="17"/>
    </row>
    <row r="271" spans="1:26" x14ac:dyDescent="0.25">
      <c r="A271" s="9"/>
      <c r="B271" s="61"/>
      <c r="D271" s="17"/>
      <c r="E271" s="17"/>
      <c r="G271" s="17"/>
      <c r="H271" s="17"/>
      <c r="I271" s="17"/>
      <c r="J271" s="43"/>
      <c r="K271" s="17"/>
      <c r="L271" s="17"/>
      <c r="M271" s="17"/>
      <c r="P271" s="17"/>
      <c r="Q271" s="17"/>
      <c r="R271" s="43"/>
      <c r="S271" s="17"/>
      <c r="T271" s="17"/>
      <c r="U271" s="17"/>
      <c r="V271" s="43"/>
      <c r="W271" s="17"/>
      <c r="X271" s="17"/>
    </row>
    <row r="272" spans="1:26" x14ac:dyDescent="0.25">
      <c r="D272" s="17"/>
      <c r="E272" s="17"/>
      <c r="G272" s="17"/>
      <c r="H272" s="17"/>
      <c r="I272" s="17"/>
      <c r="J272" s="43"/>
      <c r="K272" s="17"/>
      <c r="L272" s="17"/>
      <c r="M272" s="17"/>
      <c r="P272" s="17"/>
      <c r="Q272" s="17"/>
      <c r="R272" s="43"/>
      <c r="S272" s="17"/>
      <c r="T272" s="17"/>
      <c r="U272" s="17"/>
      <c r="V272" s="43"/>
      <c r="W272" s="17"/>
      <c r="X272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295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9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311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170754.02999999997</v>
      </c>
      <c r="E12" s="4"/>
      <c r="F12" s="12"/>
      <c r="G12" s="4"/>
      <c r="H12" s="4">
        <f>SUM(OSRRefH13x_0)</f>
        <v>610843.18999999983</v>
      </c>
      <c r="I12" s="4"/>
      <c r="J12" s="12"/>
      <c r="K12" s="4"/>
      <c r="L12" s="4">
        <f t="shared" ref="L12:L122" si="0">+D12-H12</f>
        <v>-440089.15999999986</v>
      </c>
      <c r="M12" s="4"/>
      <c r="N12" s="12">
        <f t="shared" ref="N12:N122" si="1">IF(H12=0,0,L12/H12)</f>
        <v>-0.72046176040695487</v>
      </c>
      <c r="O12" s="10"/>
      <c r="P12" s="4">
        <f>SUM(OSRRefP13x_0)</f>
        <v>3660885.8200000008</v>
      </c>
      <c r="Q12" s="4"/>
      <c r="R12" s="12"/>
      <c r="S12" s="4"/>
      <c r="T12" s="4">
        <f>SUM(OSRRefT13x_0)</f>
        <v>6570064.0599999977</v>
      </c>
      <c r="U12" s="4"/>
      <c r="V12" s="12"/>
      <c r="W12" s="4"/>
      <c r="X12" s="4">
        <f t="shared" ref="X12:X122" si="2">+P12-T12</f>
        <v>-2909178.239999997</v>
      </c>
      <c r="Y12" s="4"/>
      <c r="Z12" s="12">
        <f t="shared" ref="Z12:Z122" si="3">IF(T12=0,0,X12/T12)</f>
        <v>-0.44279297940361301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-9680.35</f>
        <v>-9680.35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-9680.35</v>
      </c>
      <c r="M13" s="2"/>
      <c r="N13" s="19">
        <f t="shared" si="1"/>
        <v>0</v>
      </c>
      <c r="O13" s="11"/>
      <c r="P13" s="2">
        <f>-59042.76</f>
        <v>-59042.76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-59042.76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--6816.45</f>
        <v>6816.45</v>
      </c>
      <c r="E14" s="2"/>
      <c r="F14" s="19"/>
      <c r="G14" s="2"/>
      <c r="H14" s="2">
        <f>--8184.69</f>
        <v>8184.69</v>
      </c>
      <c r="I14" s="2"/>
      <c r="J14" s="19"/>
      <c r="K14" s="2"/>
      <c r="L14" s="2">
        <f t="shared" si="0"/>
        <v>-1368.2399999999998</v>
      </c>
      <c r="M14" s="2"/>
      <c r="N14" s="19">
        <f t="shared" si="1"/>
        <v>-0.16717065643292536</v>
      </c>
      <c r="O14" s="11"/>
      <c r="P14" s="2">
        <f>--719144.02</f>
        <v>719144.02</v>
      </c>
      <c r="Q14" s="2"/>
      <c r="R14" s="19"/>
      <c r="S14" s="2"/>
      <c r="T14" s="2">
        <f>--1503344.43</f>
        <v>1503344.43</v>
      </c>
      <c r="U14" s="2"/>
      <c r="V14" s="19"/>
      <c r="W14" s="2"/>
      <c r="X14" s="2">
        <f t="shared" si="2"/>
        <v>-784200.40999999992</v>
      </c>
      <c r="Y14" s="2"/>
      <c r="Z14" s="19">
        <f t="shared" si="3"/>
        <v>-0.52163722055364248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--1492.1</f>
        <v>1492.1</v>
      </c>
      <c r="E15" s="2"/>
      <c r="F15" s="19"/>
      <c r="G15" s="2"/>
      <c r="H15" s="2">
        <f>--4182.93</f>
        <v>4182.93</v>
      </c>
      <c r="I15" s="2"/>
      <c r="J15" s="19"/>
      <c r="K15" s="2"/>
      <c r="L15" s="2">
        <f t="shared" si="0"/>
        <v>-2690.8300000000004</v>
      </c>
      <c r="M15" s="2"/>
      <c r="N15" s="19">
        <f t="shared" si="1"/>
        <v>-0.64328831704092593</v>
      </c>
      <c r="O15" s="11"/>
      <c r="P15" s="2">
        <f>--320631.62</f>
        <v>320631.62</v>
      </c>
      <c r="Q15" s="2"/>
      <c r="R15" s="19"/>
      <c r="S15" s="2"/>
      <c r="T15" s="2">
        <f>--670479.29</f>
        <v>670479.29</v>
      </c>
      <c r="U15" s="2"/>
      <c r="V15" s="19"/>
      <c r="W15" s="2"/>
      <c r="X15" s="2">
        <f t="shared" si="2"/>
        <v>-349847.67000000004</v>
      </c>
      <c r="Y15" s="2"/>
      <c r="Z15" s="19">
        <f t="shared" si="3"/>
        <v>-0.52178743656645987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8" si="4"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--10665.63</f>
        <v>10665.63</v>
      </c>
      <c r="Q16" s="2"/>
      <c r="R16" s="19"/>
      <c r="S16" s="2"/>
      <c r="T16" s="2">
        <f>--15844.66</f>
        <v>15844.66</v>
      </c>
      <c r="U16" s="2"/>
      <c r="V16" s="19"/>
      <c r="W16" s="2"/>
      <c r="X16" s="2">
        <f t="shared" si="2"/>
        <v>-5179.0300000000007</v>
      </c>
      <c r="Y16" s="2"/>
      <c r="Z16" s="19">
        <f t="shared" si="3"/>
        <v>-0.32686280425076969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--119.4</f>
        <v>119.4</v>
      </c>
      <c r="I17" s="2"/>
      <c r="J17" s="19"/>
      <c r="K17" s="2"/>
      <c r="L17" s="2">
        <f t="shared" si="0"/>
        <v>-119.4</v>
      </c>
      <c r="M17" s="2"/>
      <c r="N17" s="19">
        <f t="shared" si="1"/>
        <v>-1</v>
      </c>
      <c r="O17" s="11"/>
      <c r="P17" s="2">
        <f>--2459.56</f>
        <v>2459.56</v>
      </c>
      <c r="Q17" s="2"/>
      <c r="R17" s="19"/>
      <c r="S17" s="2"/>
      <c r="T17" s="2">
        <f>--30279.88</f>
        <v>30279.88</v>
      </c>
      <c r="U17" s="2"/>
      <c r="V17" s="19"/>
      <c r="W17" s="2"/>
      <c r="X17" s="2">
        <f t="shared" si="2"/>
        <v>-27820.32</v>
      </c>
      <c r="Y17" s="2"/>
      <c r="Z17" s="19">
        <f t="shared" si="3"/>
        <v>-0.91877246541267665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--9.6</f>
        <v>9.6</v>
      </c>
      <c r="U18" s="2"/>
      <c r="V18" s="19"/>
      <c r="W18" s="2"/>
      <c r="X18" s="2">
        <f t="shared" si="2"/>
        <v>-9.6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--307.75</f>
        <v>307.75</v>
      </c>
      <c r="E19" s="2"/>
      <c r="F19" s="19"/>
      <c r="G19" s="2"/>
      <c r="H19" s="2">
        <f>--285.33</f>
        <v>285.33</v>
      </c>
      <c r="I19" s="2"/>
      <c r="J19" s="19"/>
      <c r="K19" s="2"/>
      <c r="L19" s="2">
        <f t="shared" si="0"/>
        <v>22.420000000000016</v>
      </c>
      <c r="M19" s="2"/>
      <c r="N19" s="19">
        <f t="shared" si="1"/>
        <v>7.857568429537734E-2</v>
      </c>
      <c r="O19" s="11"/>
      <c r="P19" s="2">
        <f>--505.12</f>
        <v>505.12</v>
      </c>
      <c r="Q19" s="2"/>
      <c r="R19" s="19"/>
      <c r="S19" s="2"/>
      <c r="T19" s="2">
        <f>--1112.72</f>
        <v>1112.72</v>
      </c>
      <c r="U19" s="2"/>
      <c r="V19" s="19"/>
      <c r="W19" s="2"/>
      <c r="X19" s="2">
        <f t="shared" si="2"/>
        <v>-607.6</v>
      </c>
      <c r="Y19" s="2"/>
      <c r="Z19" s="19">
        <f t="shared" si="3"/>
        <v>-0.54604932058379463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 t="shared" ref="D20:D24" si="5">0</f>
        <v>0</v>
      </c>
      <c r="E20" s="2"/>
      <c r="F20" s="19"/>
      <c r="G20" s="2"/>
      <c r="H20" s="2">
        <f>--189.13</f>
        <v>189.13</v>
      </c>
      <c r="I20" s="2"/>
      <c r="J20" s="19"/>
      <c r="K20" s="2"/>
      <c r="L20" s="2">
        <f t="shared" si="0"/>
        <v>-189.13</v>
      </c>
      <c r="M20" s="2"/>
      <c r="N20" s="19">
        <f t="shared" si="1"/>
        <v>-1</v>
      </c>
      <c r="O20" s="11"/>
      <c r="P20" s="2">
        <f>--340.24</f>
        <v>340.24</v>
      </c>
      <c r="Q20" s="2"/>
      <c r="R20" s="19"/>
      <c r="S20" s="2"/>
      <c r="T20" s="2">
        <f>--883.35</f>
        <v>883.35</v>
      </c>
      <c r="U20" s="2"/>
      <c r="V20" s="19"/>
      <c r="W20" s="2"/>
      <c r="X20" s="2">
        <f t="shared" si="2"/>
        <v>-543.11</v>
      </c>
      <c r="Y20" s="2"/>
      <c r="Z20" s="19">
        <f t="shared" si="3"/>
        <v>-0.61482990886964395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 t="shared" si="5"/>
        <v>0</v>
      </c>
      <c r="E21" s="2"/>
      <c r="F21" s="19"/>
      <c r="G21" s="2"/>
      <c r="H21" s="2">
        <f>--5.49</f>
        <v>5.49</v>
      </c>
      <c r="I21" s="2"/>
      <c r="J21" s="19"/>
      <c r="K21" s="2"/>
      <c r="L21" s="2">
        <f t="shared" si="0"/>
        <v>-5.49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--231.16</f>
        <v>231.16</v>
      </c>
      <c r="U21" s="2"/>
      <c r="V21" s="19"/>
      <c r="W21" s="2"/>
      <c r="X21" s="2">
        <f t="shared" si="2"/>
        <v>-231.16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si="5"/>
        <v>0</v>
      </c>
      <c r="E22" s="2"/>
      <c r="F22" s="19"/>
      <c r="G22" s="2"/>
      <c r="H22" s="2">
        <f>--277.82</f>
        <v>277.82</v>
      </c>
      <c r="I22" s="2"/>
      <c r="J22" s="19"/>
      <c r="K22" s="2"/>
      <c r="L22" s="2">
        <f t="shared" si="0"/>
        <v>-277.82</v>
      </c>
      <c r="M22" s="2"/>
      <c r="N22" s="19">
        <f t="shared" si="1"/>
        <v>-1</v>
      </c>
      <c r="O22" s="11"/>
      <c r="P22" s="2">
        <f>--183.89</f>
        <v>183.89</v>
      </c>
      <c r="Q22" s="2"/>
      <c r="R22" s="19"/>
      <c r="S22" s="2"/>
      <c r="T22" s="2">
        <f>--2732.65</f>
        <v>2732.65</v>
      </c>
      <c r="U22" s="2"/>
      <c r="V22" s="19"/>
      <c r="W22" s="2"/>
      <c r="X22" s="2">
        <f t="shared" si="2"/>
        <v>-2548.7600000000002</v>
      </c>
      <c r="Y22" s="2"/>
      <c r="Z22" s="19">
        <f t="shared" si="3"/>
        <v>-0.93270634731853697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5"/>
        <v>0</v>
      </c>
      <c r="E23" s="2"/>
      <c r="F23" s="19"/>
      <c r="G23" s="2"/>
      <c r="H23" s="2">
        <f>--3.98</f>
        <v>3.98</v>
      </c>
      <c r="I23" s="2"/>
      <c r="J23" s="19"/>
      <c r="K23" s="2"/>
      <c r="L23" s="2">
        <f t="shared" si="0"/>
        <v>-3.98</v>
      </c>
      <c r="M23" s="2"/>
      <c r="N23" s="19">
        <f t="shared" si="1"/>
        <v>-1</v>
      </c>
      <c r="O23" s="11"/>
      <c r="P23" s="2">
        <f t="shared" ref="P23:P24" si="6">0</f>
        <v>0</v>
      </c>
      <c r="Q23" s="2"/>
      <c r="R23" s="19"/>
      <c r="S23" s="2"/>
      <c r="T23" s="2">
        <f>--33.88</f>
        <v>33.880000000000003</v>
      </c>
      <c r="U23" s="2"/>
      <c r="V23" s="19"/>
      <c r="W23" s="2"/>
      <c r="X23" s="2">
        <f t="shared" si="2"/>
        <v>-33.880000000000003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5"/>
        <v>0</v>
      </c>
      <c r="E24" s="2"/>
      <c r="F24" s="19"/>
      <c r="G24" s="2"/>
      <c r="H24" s="2">
        <f>--3212.68</f>
        <v>3212.68</v>
      </c>
      <c r="I24" s="2"/>
      <c r="J24" s="19"/>
      <c r="K24" s="2"/>
      <c r="L24" s="2">
        <f t="shared" si="0"/>
        <v>-3212.68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--29544.72</f>
        <v>29544.720000000001</v>
      </c>
      <c r="U24" s="2"/>
      <c r="V24" s="19"/>
      <c r="W24" s="2"/>
      <c r="X24" s="2">
        <f t="shared" si="2"/>
        <v>-29544.720000000001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--18.37</f>
        <v>18.37</v>
      </c>
      <c r="E25" s="2"/>
      <c r="F25" s="19"/>
      <c r="G25" s="2"/>
      <c r="H25" s="2">
        <f>--6609.41</f>
        <v>6609.41</v>
      </c>
      <c r="I25" s="2"/>
      <c r="J25" s="19"/>
      <c r="K25" s="2"/>
      <c r="L25" s="2">
        <f t="shared" si="0"/>
        <v>-6591.04</v>
      </c>
      <c r="M25" s="2"/>
      <c r="N25" s="19">
        <f t="shared" si="1"/>
        <v>-0.99722062937539058</v>
      </c>
      <c r="O25" s="11"/>
      <c r="P25" s="2">
        <f>--297.2</f>
        <v>297.2</v>
      </c>
      <c r="Q25" s="2"/>
      <c r="R25" s="19"/>
      <c r="S25" s="2"/>
      <c r="T25" s="2">
        <f>--43673.95</f>
        <v>43673.95</v>
      </c>
      <c r="U25" s="2"/>
      <c r="V25" s="19"/>
      <c r="W25" s="2"/>
      <c r="X25" s="2">
        <f t="shared" si="2"/>
        <v>-43376.75</v>
      </c>
      <c r="Y25" s="2"/>
      <c r="Z25" s="19">
        <f t="shared" si="3"/>
        <v>-0.99319502815751726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--1716.97</f>
        <v>1716.97</v>
      </c>
      <c r="E26" s="2"/>
      <c r="F26" s="19"/>
      <c r="G26" s="2"/>
      <c r="H26" s="2">
        <f>--10515.54</f>
        <v>10515.54</v>
      </c>
      <c r="I26" s="2"/>
      <c r="J26" s="19"/>
      <c r="K26" s="2"/>
      <c r="L26" s="2">
        <f t="shared" si="0"/>
        <v>-8798.5700000000015</v>
      </c>
      <c r="M26" s="2"/>
      <c r="N26" s="19">
        <f t="shared" si="1"/>
        <v>-0.8367207009815949</v>
      </c>
      <c r="O26" s="11"/>
      <c r="P26" s="2">
        <f>--36720.47</f>
        <v>36720.47</v>
      </c>
      <c r="Q26" s="2"/>
      <c r="R26" s="19"/>
      <c r="S26" s="2"/>
      <c r="T26" s="2">
        <f>--154789.08</f>
        <v>154789.07999999999</v>
      </c>
      <c r="U26" s="2"/>
      <c r="V26" s="19"/>
      <c r="W26" s="2"/>
      <c r="X26" s="2">
        <f t="shared" si="2"/>
        <v>-118068.60999999999</v>
      </c>
      <c r="Y26" s="2"/>
      <c r="Z26" s="19">
        <f t="shared" si="3"/>
        <v>-0.76277092673462488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--1730.73</f>
        <v>1730.73</v>
      </c>
      <c r="E27" s="2"/>
      <c r="F27" s="19"/>
      <c r="G27" s="2"/>
      <c r="H27" s="2">
        <f>--29388.04</f>
        <v>29388.04</v>
      </c>
      <c r="I27" s="2"/>
      <c r="J27" s="19"/>
      <c r="K27" s="2"/>
      <c r="L27" s="2">
        <f t="shared" si="0"/>
        <v>-27657.31</v>
      </c>
      <c r="M27" s="2"/>
      <c r="N27" s="19">
        <f t="shared" si="1"/>
        <v>-0.94110767509503868</v>
      </c>
      <c r="O27" s="11"/>
      <c r="P27" s="2">
        <f>--15999.58</f>
        <v>15999.58</v>
      </c>
      <c r="Q27" s="2"/>
      <c r="R27" s="19"/>
      <c r="S27" s="2"/>
      <c r="T27" s="2">
        <f>--175952.71</f>
        <v>175952.71</v>
      </c>
      <c r="U27" s="2"/>
      <c r="V27" s="19"/>
      <c r="W27" s="2"/>
      <c r="X27" s="2">
        <f t="shared" si="2"/>
        <v>-159953.13</v>
      </c>
      <c r="Y27" s="2"/>
      <c r="Z27" s="19">
        <f t="shared" si="3"/>
        <v>-0.90906886287798583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--194.65</f>
        <v>194.65</v>
      </c>
      <c r="E28" s="2"/>
      <c r="F28" s="19"/>
      <c r="G28" s="2"/>
      <c r="H28" s="2">
        <f>--58.77</f>
        <v>58.77</v>
      </c>
      <c r="I28" s="2"/>
      <c r="J28" s="19"/>
      <c r="K28" s="2"/>
      <c r="L28" s="2">
        <f t="shared" si="0"/>
        <v>135.88</v>
      </c>
      <c r="M28" s="2"/>
      <c r="N28" s="19">
        <f t="shared" si="1"/>
        <v>2.3120639782201802</v>
      </c>
      <c r="O28" s="11"/>
      <c r="P28" s="2">
        <f>--1862.61</f>
        <v>1862.61</v>
      </c>
      <c r="Q28" s="2"/>
      <c r="R28" s="19"/>
      <c r="S28" s="2"/>
      <c r="T28" s="2">
        <f>--280.05</f>
        <v>280.05</v>
      </c>
      <c r="U28" s="2"/>
      <c r="V28" s="19"/>
      <c r="W28" s="2"/>
      <c r="X28" s="2">
        <f t="shared" si="2"/>
        <v>1582.56</v>
      </c>
      <c r="Y28" s="2"/>
      <c r="Z28" s="19">
        <f t="shared" si="3"/>
        <v>5.6509908944831277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ref="D29:D33" si="7">0</f>
        <v>0</v>
      </c>
      <c r="E29" s="2"/>
      <c r="F29" s="19"/>
      <c r="G29" s="2"/>
      <c r="H29" s="2">
        <f>--609.66</f>
        <v>609.66</v>
      </c>
      <c r="I29" s="2"/>
      <c r="J29" s="19"/>
      <c r="K29" s="2"/>
      <c r="L29" s="2">
        <f t="shared" si="0"/>
        <v>-609.66</v>
      </c>
      <c r="M29" s="2"/>
      <c r="N29" s="19">
        <f t="shared" si="1"/>
        <v>-1</v>
      </c>
      <c r="O29" s="11"/>
      <c r="P29" s="2">
        <f t="shared" ref="P29:P30" si="8">0</f>
        <v>0</v>
      </c>
      <c r="Q29" s="2"/>
      <c r="R29" s="19"/>
      <c r="S29" s="2"/>
      <c r="T29" s="2">
        <f>--663.08</f>
        <v>663.08</v>
      </c>
      <c r="U29" s="2"/>
      <c r="V29" s="19"/>
      <c r="W29" s="2"/>
      <c r="X29" s="2">
        <f t="shared" si="2"/>
        <v>-663.08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7"/>
        <v>0</v>
      </c>
      <c r="E30" s="2"/>
      <c r="F30" s="19"/>
      <c r="G30" s="2"/>
      <c r="H30" s="2">
        <f>--23.21</f>
        <v>23.21</v>
      </c>
      <c r="I30" s="2"/>
      <c r="J30" s="19"/>
      <c r="K30" s="2"/>
      <c r="L30" s="2">
        <f t="shared" si="0"/>
        <v>-23.21</v>
      </c>
      <c r="M30" s="2"/>
      <c r="N30" s="19">
        <f t="shared" si="1"/>
        <v>-1</v>
      </c>
      <c r="O30" s="11"/>
      <c r="P30" s="2">
        <f t="shared" si="8"/>
        <v>0</v>
      </c>
      <c r="Q30" s="2"/>
      <c r="R30" s="19"/>
      <c r="S30" s="2"/>
      <c r="T30" s="2">
        <f>--108.61</f>
        <v>108.61</v>
      </c>
      <c r="U30" s="2"/>
      <c r="V30" s="19"/>
      <c r="W30" s="2"/>
      <c r="X30" s="2">
        <f t="shared" si="2"/>
        <v>-108.61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7"/>
        <v>0</v>
      </c>
      <c r="E31" s="2"/>
      <c r="F31" s="19"/>
      <c r="G31" s="2"/>
      <c r="H31" s="2">
        <f>--1010.01</f>
        <v>1010.01</v>
      </c>
      <c r="I31" s="2"/>
      <c r="J31" s="19"/>
      <c r="K31" s="2"/>
      <c r="L31" s="2">
        <f t="shared" si="0"/>
        <v>-1010.01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--4724.25</f>
        <v>4724.25</v>
      </c>
      <c r="U31" s="2"/>
      <c r="V31" s="19"/>
      <c r="W31" s="2"/>
      <c r="X31" s="2">
        <f t="shared" si="2"/>
        <v>-4717.47</v>
      </c>
      <c r="Y31" s="2"/>
      <c r="Z31" s="19">
        <f t="shared" si="3"/>
        <v>-0.99856485156374031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7"/>
        <v>0</v>
      </c>
      <c r="E32" s="2"/>
      <c r="F32" s="19"/>
      <c r="G32" s="2"/>
      <c r="H32" s="2">
        <f>--269.24</f>
        <v>269.24</v>
      </c>
      <c r="I32" s="2"/>
      <c r="J32" s="19"/>
      <c r="K32" s="2"/>
      <c r="L32" s="2">
        <f t="shared" si="0"/>
        <v>-269.24</v>
      </c>
      <c r="M32" s="2"/>
      <c r="N32" s="19">
        <f t="shared" si="1"/>
        <v>-1</v>
      </c>
      <c r="O32" s="11"/>
      <c r="P32" s="2">
        <f t="shared" ref="P32:P33" si="9">0</f>
        <v>0</v>
      </c>
      <c r="Q32" s="2"/>
      <c r="R32" s="19"/>
      <c r="S32" s="2"/>
      <c r="T32" s="2">
        <f>--1133.6</f>
        <v>1133.5999999999999</v>
      </c>
      <c r="U32" s="2"/>
      <c r="V32" s="19"/>
      <c r="W32" s="2"/>
      <c r="X32" s="2">
        <f t="shared" si="2"/>
        <v>-1133.5999999999999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7"/>
        <v>0</v>
      </c>
      <c r="E33" s="2"/>
      <c r="F33" s="19"/>
      <c r="G33" s="2"/>
      <c r="H33" s="2">
        <f>--74.6</f>
        <v>74.599999999999994</v>
      </c>
      <c r="I33" s="2"/>
      <c r="J33" s="19"/>
      <c r="K33" s="2"/>
      <c r="L33" s="2">
        <f t="shared" si="0"/>
        <v>-74.599999999999994</v>
      </c>
      <c r="M33" s="2"/>
      <c r="N33" s="19">
        <f t="shared" si="1"/>
        <v>-1</v>
      </c>
      <c r="O33" s="11"/>
      <c r="P33" s="2">
        <f t="shared" si="9"/>
        <v>0</v>
      </c>
      <c r="Q33" s="2"/>
      <c r="R33" s="19"/>
      <c r="S33" s="2"/>
      <c r="T33" s="2">
        <f>--377.17</f>
        <v>377.17</v>
      </c>
      <c r="U33" s="2"/>
      <c r="V33" s="19"/>
      <c r="W33" s="2"/>
      <c r="X33" s="2">
        <f t="shared" si="2"/>
        <v>-377.17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--40927.79</f>
        <v>40927.79</v>
      </c>
      <c r="E34" s="2"/>
      <c r="F34" s="19"/>
      <c r="G34" s="2"/>
      <c r="H34" s="2">
        <f>--249896.49</f>
        <v>249896.49</v>
      </c>
      <c r="I34" s="2"/>
      <c r="J34" s="19"/>
      <c r="K34" s="2"/>
      <c r="L34" s="2">
        <f t="shared" si="0"/>
        <v>-208968.69999999998</v>
      </c>
      <c r="M34" s="2"/>
      <c r="N34" s="19">
        <f t="shared" si="1"/>
        <v>-0.83622102895482842</v>
      </c>
      <c r="O34" s="11"/>
      <c r="P34" s="2">
        <f>--423732.7</f>
        <v>423732.7</v>
      </c>
      <c r="Q34" s="2"/>
      <c r="R34" s="19"/>
      <c r="S34" s="2"/>
      <c r="T34" s="2">
        <f>--1098136.94</f>
        <v>1098136.94</v>
      </c>
      <c r="U34" s="2"/>
      <c r="V34" s="19"/>
      <c r="W34" s="2"/>
      <c r="X34" s="2">
        <f t="shared" si="2"/>
        <v>-674404.24</v>
      </c>
      <c r="Y34" s="2"/>
      <c r="Z34" s="19">
        <f t="shared" si="3"/>
        <v>-0.61413491836455303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--12313.27</f>
        <v>12313.27</v>
      </c>
      <c r="E35" s="2"/>
      <c r="F35" s="19"/>
      <c r="G35" s="2"/>
      <c r="H35" s="2">
        <f>--29333.75</f>
        <v>29333.75</v>
      </c>
      <c r="I35" s="2"/>
      <c r="J35" s="19"/>
      <c r="K35" s="2"/>
      <c r="L35" s="2">
        <f t="shared" si="0"/>
        <v>-17020.48</v>
      </c>
      <c r="M35" s="2"/>
      <c r="N35" s="19">
        <f t="shared" si="1"/>
        <v>-0.5802353943836025</v>
      </c>
      <c r="O35" s="11"/>
      <c r="P35" s="2">
        <f>--165400.49</f>
        <v>165400.49</v>
      </c>
      <c r="Q35" s="2"/>
      <c r="R35" s="19"/>
      <c r="S35" s="2"/>
      <c r="T35" s="2">
        <f>--258147.65</f>
        <v>258147.65</v>
      </c>
      <c r="U35" s="2"/>
      <c r="V35" s="19"/>
      <c r="W35" s="2"/>
      <c r="X35" s="2">
        <f t="shared" si="2"/>
        <v>-92747.16</v>
      </c>
      <c r="Y35" s="2"/>
      <c r="Z35" s="19">
        <f t="shared" si="3"/>
        <v>-0.35927950535284753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--2095.44</f>
        <v>2095.44</v>
      </c>
      <c r="E36" s="2"/>
      <c r="F36" s="19"/>
      <c r="G36" s="2"/>
      <c r="H36" s="2">
        <f>--30667.82</f>
        <v>30667.82</v>
      </c>
      <c r="I36" s="2"/>
      <c r="J36" s="19"/>
      <c r="K36" s="2"/>
      <c r="L36" s="2">
        <f t="shared" si="0"/>
        <v>-28572.38</v>
      </c>
      <c r="M36" s="2"/>
      <c r="N36" s="19">
        <f t="shared" si="1"/>
        <v>-0.93167300447178836</v>
      </c>
      <c r="O36" s="11"/>
      <c r="P36" s="2">
        <f>--56879.12</f>
        <v>56879.12</v>
      </c>
      <c r="Q36" s="2"/>
      <c r="R36" s="19"/>
      <c r="S36" s="2"/>
      <c r="T36" s="2">
        <f>--154978.19</f>
        <v>154978.19</v>
      </c>
      <c r="U36" s="2"/>
      <c r="V36" s="19"/>
      <c r="W36" s="2"/>
      <c r="X36" s="2">
        <f t="shared" si="2"/>
        <v>-98099.07</v>
      </c>
      <c r="Y36" s="2"/>
      <c r="Z36" s="19">
        <f t="shared" si="3"/>
        <v>-0.63298629310356513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--16932.18</f>
        <v>16932.18</v>
      </c>
      <c r="E37" s="2"/>
      <c r="F37" s="19"/>
      <c r="G37" s="2"/>
      <c r="H37" s="2">
        <f>--4302.17</f>
        <v>4302.17</v>
      </c>
      <c r="I37" s="2"/>
      <c r="J37" s="19"/>
      <c r="K37" s="2"/>
      <c r="L37" s="2">
        <f t="shared" si="0"/>
        <v>12630.01</v>
      </c>
      <c r="M37" s="2"/>
      <c r="N37" s="19">
        <f t="shared" si="1"/>
        <v>2.9357301082941865</v>
      </c>
      <c r="O37" s="11"/>
      <c r="P37" s="2">
        <f>--57178.22</f>
        <v>57178.22</v>
      </c>
      <c r="Q37" s="2"/>
      <c r="R37" s="19"/>
      <c r="S37" s="2"/>
      <c r="T37" s="2">
        <f>--4823.02</f>
        <v>4823.0200000000004</v>
      </c>
      <c r="U37" s="2"/>
      <c r="V37" s="19"/>
      <c r="W37" s="2"/>
      <c r="X37" s="2">
        <f t="shared" si="2"/>
        <v>52355.199999999997</v>
      </c>
      <c r="Y37" s="2"/>
      <c r="Z37" s="19">
        <f t="shared" si="3"/>
        <v>10.855273252028811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--2517.35</f>
        <v>2517.35</v>
      </c>
      <c r="E38" s="2"/>
      <c r="F38" s="19"/>
      <c r="G38" s="2"/>
      <c r="H38" s="2">
        <f>--8230.63</f>
        <v>8230.6299999999992</v>
      </c>
      <c r="I38" s="2"/>
      <c r="J38" s="19"/>
      <c r="K38" s="2"/>
      <c r="L38" s="2">
        <f t="shared" si="0"/>
        <v>-5713.2799999999988</v>
      </c>
      <c r="M38" s="2"/>
      <c r="N38" s="19">
        <f t="shared" si="1"/>
        <v>-0.69414856456917629</v>
      </c>
      <c r="O38" s="11"/>
      <c r="P38" s="2">
        <f>--15006.51</f>
        <v>15006.51</v>
      </c>
      <c r="Q38" s="2"/>
      <c r="R38" s="19"/>
      <c r="S38" s="2"/>
      <c r="T38" s="2">
        <f>--41297.78</f>
        <v>41297.78</v>
      </c>
      <c r="U38" s="2"/>
      <c r="V38" s="19"/>
      <c r="W38" s="2"/>
      <c r="X38" s="2">
        <f t="shared" si="2"/>
        <v>-26291.269999999997</v>
      </c>
      <c r="Y38" s="2"/>
      <c r="Z38" s="19">
        <f t="shared" si="3"/>
        <v>-0.63662671455947506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--11255.56</f>
        <v>11255.56</v>
      </c>
      <c r="E39" s="2"/>
      <c r="F39" s="19"/>
      <c r="G39" s="2"/>
      <c r="H39" s="2">
        <f>--18665.34</f>
        <v>18665.34</v>
      </c>
      <c r="I39" s="2"/>
      <c r="J39" s="19"/>
      <c r="K39" s="2"/>
      <c r="L39" s="2">
        <f t="shared" si="0"/>
        <v>-7409.7800000000007</v>
      </c>
      <c r="M39" s="2"/>
      <c r="N39" s="19">
        <f t="shared" si="1"/>
        <v>-0.39698071398645834</v>
      </c>
      <c r="O39" s="11"/>
      <c r="P39" s="2">
        <f>--108212.17</f>
        <v>108212.17</v>
      </c>
      <c r="Q39" s="2"/>
      <c r="R39" s="19"/>
      <c r="S39" s="2"/>
      <c r="T39" s="2">
        <f>--54518.44</f>
        <v>54518.44</v>
      </c>
      <c r="U39" s="2"/>
      <c r="V39" s="19"/>
      <c r="W39" s="2"/>
      <c r="X39" s="2">
        <f t="shared" si="2"/>
        <v>53693.729999999996</v>
      </c>
      <c r="Y39" s="2"/>
      <c r="Z39" s="19">
        <f t="shared" si="3"/>
        <v>0.98487282468097026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0</f>
        <v>0</v>
      </c>
      <c r="E40" s="2"/>
      <c r="F40" s="19"/>
      <c r="G40" s="2"/>
      <c r="H40" s="2">
        <f>--304.55</f>
        <v>304.55</v>
      </c>
      <c r="I40" s="2"/>
      <c r="J40" s="19"/>
      <c r="K40" s="2"/>
      <c r="L40" s="2">
        <f t="shared" si="0"/>
        <v>-304.55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--1678.55</f>
        <v>1678.55</v>
      </c>
      <c r="U40" s="2"/>
      <c r="V40" s="19"/>
      <c r="W40" s="2"/>
      <c r="X40" s="2">
        <f t="shared" si="2"/>
        <v>-1678.55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--973.93</f>
        <v>973.93</v>
      </c>
      <c r="E41" s="2"/>
      <c r="F41" s="19"/>
      <c r="G41" s="2"/>
      <c r="H41" s="2">
        <f>--16554.53</f>
        <v>16554.53</v>
      </c>
      <c r="I41" s="2"/>
      <c r="J41" s="19"/>
      <c r="K41" s="2"/>
      <c r="L41" s="2">
        <f t="shared" si="0"/>
        <v>-15580.599999999999</v>
      </c>
      <c r="M41" s="2"/>
      <c r="N41" s="19">
        <f t="shared" si="1"/>
        <v>-0.94116836902044332</v>
      </c>
      <c r="O41" s="11"/>
      <c r="P41" s="2">
        <f>--56091.22</f>
        <v>56091.22</v>
      </c>
      <c r="Q41" s="2"/>
      <c r="R41" s="19"/>
      <c r="S41" s="2"/>
      <c r="T41" s="2">
        <f>--231804.25</f>
        <v>231804.25</v>
      </c>
      <c r="U41" s="2"/>
      <c r="V41" s="19"/>
      <c r="W41" s="2"/>
      <c r="X41" s="2">
        <f t="shared" si="2"/>
        <v>-175713.03</v>
      </c>
      <c r="Y41" s="2"/>
      <c r="Z41" s="19">
        <f t="shared" si="3"/>
        <v>-0.75802333218653239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--57494.9</f>
        <v>57494.9</v>
      </c>
      <c r="E42" s="2"/>
      <c r="F42" s="19"/>
      <c r="G42" s="2"/>
      <c r="H42" s="2">
        <f>--134369.21</f>
        <v>134369.21</v>
      </c>
      <c r="I42" s="2"/>
      <c r="J42" s="19"/>
      <c r="K42" s="2"/>
      <c r="L42" s="2">
        <f t="shared" si="0"/>
        <v>-76874.31</v>
      </c>
      <c r="M42" s="2"/>
      <c r="N42" s="19">
        <f t="shared" si="1"/>
        <v>-0.57211253977008569</v>
      </c>
      <c r="O42" s="11"/>
      <c r="P42" s="2">
        <f>--949594.89</f>
        <v>949594.89</v>
      </c>
      <c r="Q42" s="2"/>
      <c r="R42" s="19"/>
      <c r="S42" s="2"/>
      <c r="T42" s="2">
        <f>--1282930.84</f>
        <v>1282930.8400000001</v>
      </c>
      <c r="U42" s="2"/>
      <c r="V42" s="19"/>
      <c r="W42" s="2"/>
      <c r="X42" s="2">
        <f t="shared" si="2"/>
        <v>-333335.95000000007</v>
      </c>
      <c r="Y42" s="2"/>
      <c r="Z42" s="19">
        <f t="shared" si="3"/>
        <v>-0.25982378753947488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--4805.85</f>
        <v>4805.8500000000004</v>
      </c>
      <c r="E43" s="2"/>
      <c r="F43" s="19"/>
      <c r="G43" s="2"/>
      <c r="H43" s="2">
        <f>--10037.71</f>
        <v>10037.709999999999</v>
      </c>
      <c r="I43" s="2"/>
      <c r="J43" s="19"/>
      <c r="K43" s="2"/>
      <c r="L43" s="2">
        <f t="shared" si="0"/>
        <v>-5231.8599999999988</v>
      </c>
      <c r="M43" s="2"/>
      <c r="N43" s="19">
        <f t="shared" si="1"/>
        <v>-0.52122047757904932</v>
      </c>
      <c r="O43" s="11"/>
      <c r="P43" s="2">
        <f>--76860.94</f>
        <v>76860.94</v>
      </c>
      <c r="Q43" s="2"/>
      <c r="R43" s="19"/>
      <c r="S43" s="2"/>
      <c r="T43" s="2">
        <f>--64073.62</f>
        <v>64073.62</v>
      </c>
      <c r="U43" s="2"/>
      <c r="V43" s="19"/>
      <c r="W43" s="2"/>
      <c r="X43" s="2">
        <f t="shared" si="2"/>
        <v>12787.32</v>
      </c>
      <c r="Y43" s="2"/>
      <c r="Z43" s="19">
        <f t="shared" si="3"/>
        <v>0.1995723044834988</v>
      </c>
    </row>
    <row r="44" spans="1:26" s="24" customFormat="1" hidden="1" outlineLevel="1" x14ac:dyDescent="0.25">
      <c r="A44" s="44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>0</f>
        <v>0</v>
      </c>
      <c r="E44" s="2"/>
      <c r="F44" s="19"/>
      <c r="G44" s="2"/>
      <c r="H44" s="2">
        <f t="shared" ref="H44:H45" si="10"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0</f>
        <v>0</v>
      </c>
      <c r="Q44" s="2"/>
      <c r="R44" s="19"/>
      <c r="S44" s="2"/>
      <c r="T44" s="2">
        <f>--129</f>
        <v>129</v>
      </c>
      <c r="U44" s="2"/>
      <c r="V44" s="19"/>
      <c r="W44" s="2"/>
      <c r="X44" s="2">
        <f t="shared" si="2"/>
        <v>-129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"4085", " - ", "TAXABLE SALES-SOFTWARE")</f>
        <v xml:space="preserve">          4085 - TAXABLE SALES-SOFTWARE</v>
      </c>
      <c r="C45" s="11"/>
      <c r="D45" s="2">
        <f>--378.99</f>
        <v>378.99</v>
      </c>
      <c r="E45" s="2"/>
      <c r="F45" s="19"/>
      <c r="G45" s="2"/>
      <c r="H45" s="2">
        <f t="shared" si="10"/>
        <v>0</v>
      </c>
      <c r="I45" s="2"/>
      <c r="J45" s="19"/>
      <c r="K45" s="2"/>
      <c r="L45" s="2">
        <f t="shared" si="0"/>
        <v>378.99</v>
      </c>
      <c r="M45" s="2"/>
      <c r="N45" s="19">
        <f t="shared" si="1"/>
        <v>0</v>
      </c>
      <c r="O45" s="11"/>
      <c r="P45" s="2">
        <f>--1499.95</f>
        <v>1499.95</v>
      </c>
      <c r="Q45" s="2"/>
      <c r="R45" s="19"/>
      <c r="S45" s="2"/>
      <c r="T45" s="2">
        <f>--4407.94</f>
        <v>4407.9399999999996</v>
      </c>
      <c r="U45" s="2"/>
      <c r="V45" s="19"/>
      <c r="W45" s="2"/>
      <c r="X45" s="2">
        <f t="shared" si="2"/>
        <v>-2907.99</v>
      </c>
      <c r="Y45" s="2"/>
      <c r="Z45" s="19">
        <f t="shared" si="3"/>
        <v>-0.65971633007708819</v>
      </c>
    </row>
    <row r="46" spans="1:26" s="24" customFormat="1" hidden="1" outlineLevel="1" x14ac:dyDescent="0.25">
      <c r="A46" s="44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--260.94</f>
        <v>260.94</v>
      </c>
      <c r="E46" s="2"/>
      <c r="F46" s="19"/>
      <c r="G46" s="2"/>
      <c r="H46" s="2">
        <f>--3874.61</f>
        <v>3874.61</v>
      </c>
      <c r="I46" s="2"/>
      <c r="J46" s="19"/>
      <c r="K46" s="2"/>
      <c r="L46" s="2">
        <f t="shared" si="0"/>
        <v>-3613.67</v>
      </c>
      <c r="M46" s="2"/>
      <c r="N46" s="19">
        <f t="shared" si="1"/>
        <v>-0.93265386709888221</v>
      </c>
      <c r="O46" s="11"/>
      <c r="P46" s="2">
        <f>--29627.6</f>
        <v>29627.599999999999</v>
      </c>
      <c r="Q46" s="2"/>
      <c r="R46" s="19"/>
      <c r="S46" s="2"/>
      <c r="T46" s="2">
        <f>--31007.7</f>
        <v>31007.7</v>
      </c>
      <c r="U46" s="2"/>
      <c r="V46" s="19"/>
      <c r="W46" s="2"/>
      <c r="X46" s="2">
        <f t="shared" si="2"/>
        <v>-1380.1000000000022</v>
      </c>
      <c r="Y46" s="2"/>
      <c r="Z46" s="19">
        <f t="shared" si="3"/>
        <v>-4.4508299551401821E-2</v>
      </c>
    </row>
    <row r="47" spans="1:26" s="24" customFormat="1" hidden="1" outlineLevel="1" x14ac:dyDescent="0.25">
      <c r="A47" s="44"/>
      <c r="B47" s="11" t="str">
        <f>CONCATENATE("          ", "4088", " - ", "TAXABLE SALES-MUSIC")</f>
        <v xml:space="preserve">          4088 - TAXABLE SALES-MUSIC</v>
      </c>
      <c r="C47" s="11"/>
      <c r="D47" s="2">
        <f t="shared" ref="D47:D49" si="11">0</f>
        <v>0</v>
      </c>
      <c r="E47" s="2"/>
      <c r="F47" s="19"/>
      <c r="G47" s="2"/>
      <c r="H47" s="2">
        <f>--118.97</f>
        <v>118.97</v>
      </c>
      <c r="I47" s="2"/>
      <c r="J47" s="19"/>
      <c r="K47" s="2"/>
      <c r="L47" s="2">
        <f t="shared" si="0"/>
        <v>-118.97</v>
      </c>
      <c r="M47" s="2"/>
      <c r="N47" s="19">
        <f t="shared" si="1"/>
        <v>-1</v>
      </c>
      <c r="O47" s="11"/>
      <c r="P47" s="2">
        <f t="shared" ref="P47:P49" si="12">0</f>
        <v>0</v>
      </c>
      <c r="Q47" s="2"/>
      <c r="R47" s="19"/>
      <c r="S47" s="2"/>
      <c r="T47" s="2">
        <f>--936.91</f>
        <v>936.91</v>
      </c>
      <c r="U47" s="2"/>
      <c r="V47" s="19"/>
      <c r="W47" s="2"/>
      <c r="X47" s="2">
        <f t="shared" si="2"/>
        <v>-936.91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"4092", " - ", "TAXABLE SALES-GRAD MERCH")</f>
        <v xml:space="preserve">          4092 - TAXABLE SALES-GRAD MERCH</v>
      </c>
      <c r="C48" s="11"/>
      <c r="D48" s="2">
        <f t="shared" si="11"/>
        <v>0</v>
      </c>
      <c r="E48" s="2"/>
      <c r="F48" s="19"/>
      <c r="G48" s="2"/>
      <c r="H48" s="2">
        <f>--2389.54</f>
        <v>2389.54</v>
      </c>
      <c r="I48" s="2"/>
      <c r="J48" s="19"/>
      <c r="K48" s="2"/>
      <c r="L48" s="2">
        <f t="shared" si="0"/>
        <v>-2389.54</v>
      </c>
      <c r="M48" s="2"/>
      <c r="N48" s="19">
        <f t="shared" si="1"/>
        <v>-1</v>
      </c>
      <c r="O48" s="11"/>
      <c r="P48" s="2">
        <f t="shared" si="12"/>
        <v>0</v>
      </c>
      <c r="Q48" s="2"/>
      <c r="R48" s="19"/>
      <c r="S48" s="2"/>
      <c r="T48" s="2">
        <f>--7440.62</f>
        <v>7440.62</v>
      </c>
      <c r="U48" s="2"/>
      <c r="V48" s="19"/>
      <c r="W48" s="2"/>
      <c r="X48" s="2">
        <f t="shared" si="2"/>
        <v>-7440.62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"4095", " - ", "TAXABLE SALES-CUSTOMER SERVICE")</f>
        <v xml:space="preserve">          4095 - TAXABLE SALES-CUSTOMER SERVICE</v>
      </c>
      <c r="C49" s="11"/>
      <c r="D49" s="2">
        <f t="shared" si="11"/>
        <v>0</v>
      </c>
      <c r="E49" s="2"/>
      <c r="F49" s="19"/>
      <c r="G49" s="2"/>
      <c r="H49" s="2">
        <f>--31.83</f>
        <v>31.83</v>
      </c>
      <c r="I49" s="2"/>
      <c r="J49" s="19"/>
      <c r="K49" s="2"/>
      <c r="L49" s="2">
        <f t="shared" si="0"/>
        <v>-31.83</v>
      </c>
      <c r="M49" s="2"/>
      <c r="N49" s="19">
        <f t="shared" si="1"/>
        <v>-1</v>
      </c>
      <c r="O49" s="11"/>
      <c r="P49" s="2">
        <f t="shared" si="12"/>
        <v>0</v>
      </c>
      <c r="Q49" s="2"/>
      <c r="R49" s="19"/>
      <c r="S49" s="2"/>
      <c r="T49" s="2">
        <f>--276.44</f>
        <v>276.44</v>
      </c>
      <c r="U49" s="2"/>
      <c r="V49" s="19"/>
      <c r="W49" s="2"/>
      <c r="X49" s="2">
        <f t="shared" si="2"/>
        <v>-276.44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"4100", " - ", "NON-TAXABLE SALES")</f>
        <v xml:space="preserve">          4100 - NON-TAXABLE SALES</v>
      </c>
      <c r="C50" s="11"/>
      <c r="D50" s="2">
        <f>--1333.61</f>
        <v>1333.61</v>
      </c>
      <c r="E50" s="2"/>
      <c r="F50" s="19"/>
      <c r="G50" s="2"/>
      <c r="H50" s="2">
        <f>--458.89</f>
        <v>458.89</v>
      </c>
      <c r="I50" s="2"/>
      <c r="J50" s="19"/>
      <c r="K50" s="2"/>
      <c r="L50" s="2">
        <f t="shared" si="0"/>
        <v>874.71999999999991</v>
      </c>
      <c r="M50" s="2"/>
      <c r="N50" s="19">
        <f t="shared" si="1"/>
        <v>1.9061648761141012</v>
      </c>
      <c r="O50" s="11"/>
      <c r="P50" s="2">
        <f>--165813.42</f>
        <v>165813.42000000001</v>
      </c>
      <c r="Q50" s="2"/>
      <c r="R50" s="19"/>
      <c r="S50" s="2"/>
      <c r="T50" s="2">
        <f>--335840.56</f>
        <v>335840.56</v>
      </c>
      <c r="U50" s="2"/>
      <c r="V50" s="19"/>
      <c r="W50" s="2"/>
      <c r="X50" s="2">
        <f t="shared" si="2"/>
        <v>-170027.13999999998</v>
      </c>
      <c r="Y50" s="2"/>
      <c r="Z50" s="19">
        <f t="shared" si="3"/>
        <v>-0.50627339354126843</v>
      </c>
    </row>
    <row r="51" spans="1:26" s="24" customFormat="1" hidden="1" outlineLevel="1" x14ac:dyDescent="0.25">
      <c r="A51" s="44"/>
      <c r="B51" s="11" t="str">
        <f>CONCATENATE("          ", "4101", " - ", "NON-TAXABLE SALES-NEW TEXT")</f>
        <v xml:space="preserve">          4101 - NON-TAXABLE SALES-NEW TEXT</v>
      </c>
      <c r="C51" s="11"/>
      <c r="D51" s="2">
        <f>--1270.83</f>
        <v>1270.83</v>
      </c>
      <c r="E51" s="2"/>
      <c r="F51" s="19"/>
      <c r="G51" s="2"/>
      <c r="H51" s="2">
        <f>--349.66</f>
        <v>349.66</v>
      </c>
      <c r="I51" s="2"/>
      <c r="J51" s="19"/>
      <c r="K51" s="2"/>
      <c r="L51" s="2">
        <f t="shared" si="0"/>
        <v>921.16999999999985</v>
      </c>
      <c r="M51" s="2"/>
      <c r="N51" s="19">
        <f t="shared" si="1"/>
        <v>2.6344734885317158</v>
      </c>
      <c r="O51" s="11"/>
      <c r="P51" s="2">
        <f>--78935.72</f>
        <v>78935.72</v>
      </c>
      <c r="Q51" s="2"/>
      <c r="R51" s="19"/>
      <c r="S51" s="2"/>
      <c r="T51" s="2">
        <f>--92680.75</f>
        <v>92680.75</v>
      </c>
      <c r="U51" s="2"/>
      <c r="V51" s="19"/>
      <c r="W51" s="2"/>
      <c r="X51" s="2">
        <f t="shared" si="2"/>
        <v>-13745.029999999999</v>
      </c>
      <c r="Y51" s="2"/>
      <c r="Z51" s="19">
        <f t="shared" si="3"/>
        <v>-0.14830512269268428</v>
      </c>
    </row>
    <row r="52" spans="1:26" s="24" customFormat="1" hidden="1" outlineLevel="1" x14ac:dyDescent="0.25">
      <c r="A52" s="44"/>
      <c r="B52" s="11" t="str">
        <f>CONCATENATE("          ", "4102", " - ", "NON-TAXABLE SALES-USED TEXT")</f>
        <v xml:space="preserve">          4102 - NON-TAXABLE SALES-USED TEXT</v>
      </c>
      <c r="C52" s="11"/>
      <c r="D52" s="2">
        <f>--320.72</f>
        <v>320.72000000000003</v>
      </c>
      <c r="E52" s="2"/>
      <c r="F52" s="19"/>
      <c r="G52" s="2"/>
      <c r="H52" s="2">
        <f>--584.52</f>
        <v>584.52</v>
      </c>
      <c r="I52" s="2"/>
      <c r="J52" s="19"/>
      <c r="K52" s="2"/>
      <c r="L52" s="2">
        <f t="shared" si="0"/>
        <v>-263.79999999999995</v>
      </c>
      <c r="M52" s="2"/>
      <c r="N52" s="19">
        <f t="shared" si="1"/>
        <v>-0.45131047697255861</v>
      </c>
      <c r="O52" s="11"/>
      <c r="P52" s="2">
        <f>--33033.19</f>
        <v>33033.19</v>
      </c>
      <c r="Q52" s="2"/>
      <c r="R52" s="19"/>
      <c r="S52" s="2"/>
      <c r="T52" s="2">
        <f>--37606.84</f>
        <v>37606.839999999997</v>
      </c>
      <c r="U52" s="2"/>
      <c r="V52" s="19"/>
      <c r="W52" s="2"/>
      <c r="X52" s="2">
        <f t="shared" si="2"/>
        <v>-4573.6499999999942</v>
      </c>
      <c r="Y52" s="2"/>
      <c r="Z52" s="19">
        <f t="shared" si="3"/>
        <v>-0.12161750362434054</v>
      </c>
    </row>
    <row r="53" spans="1:26" s="24" customFormat="1" hidden="1" outlineLevel="1" x14ac:dyDescent="0.25">
      <c r="A53" s="44"/>
      <c r="B53" s="11" t="str">
        <f>CONCATENATE("          ", "4103", " - ", "NON-TAXABLE SALES-RENTAL TEXT")</f>
        <v xml:space="preserve">          4103 - NON-TAXABLE SALES-RENTAL TEXT</v>
      </c>
      <c r="C53" s="11"/>
      <c r="D53" s="2">
        <f>0</f>
        <v>0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--284.97</f>
        <v>284.97000000000003</v>
      </c>
      <c r="Q53" s="2"/>
      <c r="R53" s="19"/>
      <c r="S53" s="2"/>
      <c r="T53" s="2">
        <f>--329.98</f>
        <v>329.98</v>
      </c>
      <c r="U53" s="2"/>
      <c r="V53" s="19"/>
      <c r="W53" s="2"/>
      <c r="X53" s="2">
        <f t="shared" si="2"/>
        <v>-45.009999999999991</v>
      </c>
      <c r="Y53" s="2"/>
      <c r="Z53" s="19">
        <f t="shared" si="3"/>
        <v>-0.13640220619431478</v>
      </c>
    </row>
    <row r="54" spans="1:26" s="24" customFormat="1" hidden="1" outlineLevel="1" x14ac:dyDescent="0.25">
      <c r="A54" s="44"/>
      <c r="B54" s="11" t="str">
        <f>CONCATENATE("          ", "4104", " - ", "NON-TAXABLE SALES-DIGITAL TEXT")</f>
        <v xml:space="preserve">          4104 - NON-TAXABLE SALES-DIGITAL TEXT</v>
      </c>
      <c r="C54" s="11"/>
      <c r="D54" s="2">
        <f>--1414.19</f>
        <v>1414.19</v>
      </c>
      <c r="E54" s="2"/>
      <c r="F54" s="19"/>
      <c r="G54" s="2"/>
      <c r="H54" s="2">
        <f>--206.24</f>
        <v>206.24</v>
      </c>
      <c r="I54" s="2"/>
      <c r="J54" s="19"/>
      <c r="K54" s="2"/>
      <c r="L54" s="2">
        <f t="shared" si="0"/>
        <v>1207.95</v>
      </c>
      <c r="M54" s="2"/>
      <c r="N54" s="19">
        <f t="shared" si="1"/>
        <v>5.8570112490302559</v>
      </c>
      <c r="O54" s="11"/>
      <c r="P54" s="2">
        <f>--294889.71</f>
        <v>294889.71000000002</v>
      </c>
      <c r="Q54" s="2"/>
      <c r="R54" s="19"/>
      <c r="S54" s="2"/>
      <c r="T54" s="2">
        <f>--320699.09</f>
        <v>320699.09000000003</v>
      </c>
      <c r="U54" s="2"/>
      <c r="V54" s="19"/>
      <c r="W54" s="2"/>
      <c r="X54" s="2">
        <f t="shared" si="2"/>
        <v>-25809.380000000005</v>
      </c>
      <c r="Y54" s="2"/>
      <c r="Z54" s="19">
        <f t="shared" si="3"/>
        <v>-8.0478494653664287E-2</v>
      </c>
    </row>
    <row r="55" spans="1:26" s="24" customFormat="1" hidden="1" outlineLevel="1" x14ac:dyDescent="0.25">
      <c r="A55" s="44"/>
      <c r="B55" s="11" t="str">
        <f>CONCATENATE("          ", "4111", " - ", "NON-TAXABLE SALES-NO VALUE TEX")</f>
        <v xml:space="preserve">          4111 - NON-TAXABLE SALES-NO VALUE TEX</v>
      </c>
      <c r="C55" s="11"/>
      <c r="D55" s="2">
        <f>0</f>
        <v>0</v>
      </c>
      <c r="E55" s="2"/>
      <c r="F55" s="19"/>
      <c r="G55" s="2"/>
      <c r="H55" s="2">
        <f>--492.72</f>
        <v>492.72</v>
      </c>
      <c r="I55" s="2"/>
      <c r="J55" s="19"/>
      <c r="K55" s="2"/>
      <c r="L55" s="2">
        <f t="shared" si="0"/>
        <v>-492.72</v>
      </c>
      <c r="M55" s="2"/>
      <c r="N55" s="19">
        <f t="shared" si="1"/>
        <v>-1</v>
      </c>
      <c r="O55" s="11"/>
      <c r="P55" s="2">
        <f>0</f>
        <v>0</v>
      </c>
      <c r="Q55" s="2"/>
      <c r="R55" s="19"/>
      <c r="S55" s="2"/>
      <c r="T55" s="2">
        <f>--7592.19</f>
        <v>7592.19</v>
      </c>
      <c r="U55" s="2"/>
      <c r="V55" s="19"/>
      <c r="W55" s="2"/>
      <c r="X55" s="2">
        <f t="shared" si="2"/>
        <v>-7592.19</v>
      </c>
      <c r="Y55" s="2"/>
      <c r="Z55" s="19">
        <f t="shared" si="3"/>
        <v>-1</v>
      </c>
    </row>
    <row r="56" spans="1:26" s="24" customFormat="1" hidden="1" outlineLevel="1" x14ac:dyDescent="0.25">
      <c r="A56" s="44"/>
      <c r="B56" s="11" t="str">
        <f>CONCATENATE("          ", "4113", " - ", "NON-TAXABLE SALES-TRADE BOOKS")</f>
        <v xml:space="preserve">          4113 - NON-TAXABLE SALES-TRADE BOOKS</v>
      </c>
      <c r="C56" s="11"/>
      <c r="D56" s="2">
        <f>--630</f>
        <v>630</v>
      </c>
      <c r="E56" s="2"/>
      <c r="F56" s="19"/>
      <c r="G56" s="2"/>
      <c r="H56" s="2">
        <f>0</f>
        <v>0</v>
      </c>
      <c r="I56" s="2"/>
      <c r="J56" s="19"/>
      <c r="K56" s="2"/>
      <c r="L56" s="2">
        <f t="shared" si="0"/>
        <v>630</v>
      </c>
      <c r="M56" s="2"/>
      <c r="N56" s="19">
        <f t="shared" si="1"/>
        <v>0</v>
      </c>
      <c r="O56" s="11"/>
      <c r="P56" s="2">
        <f>--2285.95</f>
        <v>2285.9499999999998</v>
      </c>
      <c r="Q56" s="2"/>
      <c r="R56" s="19"/>
      <c r="S56" s="2"/>
      <c r="T56" s="2">
        <f>--1146.72</f>
        <v>1146.72</v>
      </c>
      <c r="U56" s="2"/>
      <c r="V56" s="19"/>
      <c r="W56" s="2"/>
      <c r="X56" s="2">
        <f t="shared" si="2"/>
        <v>1139.2299999999998</v>
      </c>
      <c r="Y56" s="2"/>
      <c r="Z56" s="19">
        <f t="shared" si="3"/>
        <v>0.99346832705455534</v>
      </c>
    </row>
    <row r="57" spans="1:26" s="24" customFormat="1" hidden="1" outlineLevel="1" x14ac:dyDescent="0.25">
      <c r="A57" s="44"/>
      <c r="B57" s="11" t="str">
        <f>CONCATENATE("          ", "4118", " - ", "NON-TAXABLE SALES-STUDY GUIDES")</f>
        <v xml:space="preserve">          4118 - NON-TAXABLE SALES-STUDY GUIDES</v>
      </c>
      <c r="C57" s="11"/>
      <c r="D57" s="2">
        <f>--27.8</f>
        <v>27.8</v>
      </c>
      <c r="E57" s="2"/>
      <c r="F57" s="19"/>
      <c r="G57" s="2"/>
      <c r="H57" s="2">
        <f>--14.04</f>
        <v>14.04</v>
      </c>
      <c r="I57" s="2"/>
      <c r="J57" s="19"/>
      <c r="K57" s="2"/>
      <c r="L57" s="2">
        <f t="shared" si="0"/>
        <v>13.760000000000002</v>
      </c>
      <c r="M57" s="2"/>
      <c r="N57" s="19">
        <f t="shared" si="1"/>
        <v>0.98005698005698028</v>
      </c>
      <c r="O57" s="11"/>
      <c r="P57" s="2">
        <f>--233.43</f>
        <v>233.43</v>
      </c>
      <c r="Q57" s="2"/>
      <c r="R57" s="19"/>
      <c r="S57" s="2"/>
      <c r="T57" s="2">
        <f>--34.96</f>
        <v>34.96</v>
      </c>
      <c r="U57" s="2"/>
      <c r="V57" s="19"/>
      <c r="W57" s="2"/>
      <c r="X57" s="2">
        <f t="shared" si="2"/>
        <v>198.47</v>
      </c>
      <c r="Y57" s="2"/>
      <c r="Z57" s="19">
        <f t="shared" si="3"/>
        <v>5.6770594965675052</v>
      </c>
    </row>
    <row r="58" spans="1:26" s="24" customFormat="1" hidden="1" outlineLevel="1" x14ac:dyDescent="0.25">
      <c r="A58" s="44"/>
      <c r="B58" s="11" t="str">
        <f>CONCATENATE("          ", "4125", " - ", "NON-TAXABLE SALES-TEST FORMS")</f>
        <v xml:space="preserve">          4125 - NON-TAXABLE SALES-TEST FORMS</v>
      </c>
      <c r="C58" s="11"/>
      <c r="D58" s="2">
        <f t="shared" ref="D58:D59" si="13">0</f>
        <v>0</v>
      </c>
      <c r="E58" s="2"/>
      <c r="F58" s="19"/>
      <c r="G58" s="2"/>
      <c r="H58" s="2">
        <f>0</f>
        <v>0</v>
      </c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0</f>
        <v>0</v>
      </c>
      <c r="Q58" s="2"/>
      <c r="R58" s="19"/>
      <c r="S58" s="2"/>
      <c r="T58" s="2">
        <f>--124.18</f>
        <v>124.18</v>
      </c>
      <c r="U58" s="2"/>
      <c r="V58" s="19"/>
      <c r="W58" s="2"/>
      <c r="X58" s="2">
        <f t="shared" si="2"/>
        <v>-124.18</v>
      </c>
      <c r="Y58" s="2"/>
      <c r="Z58" s="19">
        <f t="shared" si="3"/>
        <v>-1</v>
      </c>
    </row>
    <row r="59" spans="1:26" s="24" customFormat="1" hidden="1" outlineLevel="1" x14ac:dyDescent="0.25">
      <c r="A59" s="44"/>
      <c r="B59" s="11" t="str">
        <f>CONCATENATE("          ", "4126", " - ", "NON-TAXABLE SALES-WRITING INST")</f>
        <v xml:space="preserve">          4126 - NON-TAXABLE SALES-WRITING INST</v>
      </c>
      <c r="C59" s="11"/>
      <c r="D59" s="2">
        <f t="shared" si="13"/>
        <v>0</v>
      </c>
      <c r="E59" s="2"/>
      <c r="F59" s="19"/>
      <c r="G59" s="2"/>
      <c r="H59" s="2">
        <f>--11.85</f>
        <v>11.85</v>
      </c>
      <c r="I59" s="2"/>
      <c r="J59" s="19"/>
      <c r="K59" s="2"/>
      <c r="L59" s="2">
        <f t="shared" si="0"/>
        <v>-11.85</v>
      </c>
      <c r="M59" s="2"/>
      <c r="N59" s="19">
        <f t="shared" si="1"/>
        <v>-1</v>
      </c>
      <c r="O59" s="11"/>
      <c r="P59" s="2">
        <f>--52.68</f>
        <v>52.68</v>
      </c>
      <c r="Q59" s="2"/>
      <c r="R59" s="19"/>
      <c r="S59" s="2"/>
      <c r="T59" s="2">
        <f>--1470.38</f>
        <v>1470.38</v>
      </c>
      <c r="U59" s="2"/>
      <c r="V59" s="19"/>
      <c r="W59" s="2"/>
      <c r="X59" s="2">
        <f t="shared" si="2"/>
        <v>-1417.7</v>
      </c>
      <c r="Y59" s="2"/>
      <c r="Z59" s="19">
        <f t="shared" si="3"/>
        <v>-0.96417252682979904</v>
      </c>
    </row>
    <row r="60" spans="1:26" s="24" customFormat="1" hidden="1" outlineLevel="1" x14ac:dyDescent="0.25">
      <c r="A60" s="44"/>
      <c r="B60" s="11" t="str">
        <f>CONCATENATE("          ", "4127", " - ", "NON-TAXABLE SALES-SCHOOL SUPPL")</f>
        <v xml:space="preserve">          4127 - NON-TAXABLE SALES-SCHOOL SUPPL</v>
      </c>
      <c r="C60" s="11"/>
      <c r="D60" s="2">
        <f>--114.89</f>
        <v>114.89</v>
      </c>
      <c r="E60" s="2"/>
      <c r="F60" s="19"/>
      <c r="G60" s="2"/>
      <c r="H60" s="2">
        <f>--6.28</f>
        <v>6.28</v>
      </c>
      <c r="I60" s="2"/>
      <c r="J60" s="19"/>
      <c r="K60" s="2"/>
      <c r="L60" s="2">
        <f t="shared" si="0"/>
        <v>108.61</v>
      </c>
      <c r="M60" s="2"/>
      <c r="N60" s="19">
        <f t="shared" si="1"/>
        <v>17.294585987261147</v>
      </c>
      <c r="O60" s="11"/>
      <c r="P60" s="2">
        <f>--2946.58</f>
        <v>2946.58</v>
      </c>
      <c r="Q60" s="2"/>
      <c r="R60" s="19"/>
      <c r="S60" s="2"/>
      <c r="T60" s="2">
        <f>--2603.4</f>
        <v>2603.4</v>
      </c>
      <c r="U60" s="2"/>
      <c r="V60" s="19"/>
      <c r="W60" s="2"/>
      <c r="X60" s="2">
        <f t="shared" si="2"/>
        <v>343.17999999999984</v>
      </c>
      <c r="Y60" s="2"/>
      <c r="Z60" s="19">
        <f t="shared" si="3"/>
        <v>0.13181992778674034</v>
      </c>
    </row>
    <row r="61" spans="1:26" s="24" customFormat="1" hidden="1" outlineLevel="1" x14ac:dyDescent="0.25">
      <c r="A61" s="44"/>
      <c r="B61" s="11" t="str">
        <f>CONCATENATE("          ", "4128", " - ", "NON-TAXABLE SALES-ART/TECH")</f>
        <v xml:space="preserve">          4128 - NON-TAXABLE SALES-ART/TECH</v>
      </c>
      <c r="C61" s="11"/>
      <c r="D61" s="2">
        <f>--24.78</f>
        <v>24.78</v>
      </c>
      <c r="E61" s="2"/>
      <c r="F61" s="19"/>
      <c r="G61" s="2"/>
      <c r="H61" s="2">
        <f>0</f>
        <v>0</v>
      </c>
      <c r="I61" s="2"/>
      <c r="J61" s="19"/>
      <c r="K61" s="2"/>
      <c r="L61" s="2">
        <f t="shared" si="0"/>
        <v>24.78</v>
      </c>
      <c r="M61" s="2"/>
      <c r="N61" s="19">
        <f t="shared" si="1"/>
        <v>0</v>
      </c>
      <c r="O61" s="11"/>
      <c r="P61" s="2">
        <f>--24.78</f>
        <v>24.78</v>
      </c>
      <c r="Q61" s="2"/>
      <c r="R61" s="19"/>
      <c r="S61" s="2"/>
      <c r="T61" s="2">
        <f>--348.72</f>
        <v>348.72</v>
      </c>
      <c r="U61" s="2"/>
      <c r="V61" s="19"/>
      <c r="W61" s="2"/>
      <c r="X61" s="2">
        <f t="shared" si="2"/>
        <v>-323.94000000000005</v>
      </c>
      <c r="Y61" s="2"/>
      <c r="Z61" s="19">
        <f t="shared" si="3"/>
        <v>-0.92894012388162428</v>
      </c>
    </row>
    <row r="62" spans="1:26" s="24" customFormat="1" hidden="1" outlineLevel="1" x14ac:dyDescent="0.25">
      <c r="A62" s="44"/>
      <c r="B62" s="11" t="str">
        <f>CONCATENATE("          ", "4131", " - ", "NON-TAXABLE SALES-FOOD")</f>
        <v xml:space="preserve">          4131 - NON-TAXABLE SALES-FOOD</v>
      </c>
      <c r="C62" s="11"/>
      <c r="D62" s="2">
        <f>--983.89</f>
        <v>983.89</v>
      </c>
      <c r="E62" s="2"/>
      <c r="F62" s="19"/>
      <c r="G62" s="2"/>
      <c r="H62" s="2">
        <f>--8305.09</f>
        <v>8305.09</v>
      </c>
      <c r="I62" s="2"/>
      <c r="J62" s="19"/>
      <c r="K62" s="2"/>
      <c r="L62" s="2">
        <f t="shared" si="0"/>
        <v>-7321.2</v>
      </c>
      <c r="M62" s="2"/>
      <c r="N62" s="19">
        <f t="shared" si="1"/>
        <v>-0.88153168719423869</v>
      </c>
      <c r="O62" s="11"/>
      <c r="P62" s="2">
        <f>--6509.33</f>
        <v>6509.33</v>
      </c>
      <c r="Q62" s="2"/>
      <c r="R62" s="19"/>
      <c r="S62" s="2"/>
      <c r="T62" s="2">
        <f>--35027.51</f>
        <v>35027.51</v>
      </c>
      <c r="U62" s="2"/>
      <c r="V62" s="19"/>
      <c r="W62" s="2"/>
      <c r="X62" s="2">
        <f t="shared" si="2"/>
        <v>-28518.18</v>
      </c>
      <c r="Y62" s="2"/>
      <c r="Z62" s="19">
        <f t="shared" si="3"/>
        <v>-0.8141652090028666</v>
      </c>
    </row>
    <row r="63" spans="1:26" s="24" customFormat="1" hidden="1" outlineLevel="1" x14ac:dyDescent="0.25">
      <c r="A63" s="44"/>
      <c r="B63" s="11" t="str">
        <f>CONCATENATE("          ", "4132", " - ", "NON-TAXABLE SALES-JUICE")</f>
        <v xml:space="preserve">          4132 - NON-TAXABLE SALES-JUICE</v>
      </c>
      <c r="C63" s="11"/>
      <c r="D63" s="2">
        <f t="shared" ref="D63:D67" si="14">0</f>
        <v>0</v>
      </c>
      <c r="E63" s="2"/>
      <c r="F63" s="19"/>
      <c r="G63" s="2"/>
      <c r="H63" s="2">
        <f>--2505.59</f>
        <v>2505.59</v>
      </c>
      <c r="I63" s="2"/>
      <c r="J63" s="19"/>
      <c r="K63" s="2"/>
      <c r="L63" s="2">
        <f t="shared" si="0"/>
        <v>-2505.59</v>
      </c>
      <c r="M63" s="2"/>
      <c r="N63" s="19">
        <f t="shared" si="1"/>
        <v>-1</v>
      </c>
      <c r="O63" s="11"/>
      <c r="P63" s="2">
        <f>--22.49</f>
        <v>22.49</v>
      </c>
      <c r="Q63" s="2"/>
      <c r="R63" s="19"/>
      <c r="S63" s="2"/>
      <c r="T63" s="2">
        <f>--10274.39</f>
        <v>10274.39</v>
      </c>
      <c r="U63" s="2"/>
      <c r="V63" s="19"/>
      <c r="W63" s="2"/>
      <c r="X63" s="2">
        <f t="shared" si="2"/>
        <v>-10251.9</v>
      </c>
      <c r="Y63" s="2"/>
      <c r="Z63" s="19">
        <f t="shared" si="3"/>
        <v>-0.99781106226257721</v>
      </c>
    </row>
    <row r="64" spans="1:26" s="24" customFormat="1" hidden="1" outlineLevel="1" x14ac:dyDescent="0.25">
      <c r="A64" s="44"/>
      <c r="B64" s="11" t="str">
        <f>CONCATENATE("          ", "4133", " - ", "NON-TAXABLE SALES-CANDY")</f>
        <v xml:space="preserve">          4133 - NON-TAXABLE SALES-CANDY</v>
      </c>
      <c r="C64" s="11"/>
      <c r="D64" s="2">
        <f t="shared" si="14"/>
        <v>0</v>
      </c>
      <c r="E64" s="2"/>
      <c r="F64" s="19"/>
      <c r="G64" s="2"/>
      <c r="H64" s="2">
        <f>--2349.7</f>
        <v>2349.6999999999998</v>
      </c>
      <c r="I64" s="2"/>
      <c r="J64" s="19"/>
      <c r="K64" s="2"/>
      <c r="L64" s="2">
        <f t="shared" si="0"/>
        <v>-2349.6999999999998</v>
      </c>
      <c r="M64" s="2"/>
      <c r="N64" s="19">
        <f t="shared" si="1"/>
        <v>-1</v>
      </c>
      <c r="O64" s="11"/>
      <c r="P64" s="2">
        <f>--80.71</f>
        <v>80.709999999999994</v>
      </c>
      <c r="Q64" s="2"/>
      <c r="R64" s="19"/>
      <c r="S64" s="2"/>
      <c r="T64" s="2">
        <f>--10816.56</f>
        <v>10816.56</v>
      </c>
      <c r="U64" s="2"/>
      <c r="V64" s="19"/>
      <c r="W64" s="2"/>
      <c r="X64" s="2">
        <f t="shared" si="2"/>
        <v>-10735.85</v>
      </c>
      <c r="Y64" s="2"/>
      <c r="Z64" s="19">
        <f t="shared" si="3"/>
        <v>-0.99253829313571051</v>
      </c>
    </row>
    <row r="65" spans="1:26" s="24" customFormat="1" hidden="1" outlineLevel="1" x14ac:dyDescent="0.25">
      <c r="A65" s="44"/>
      <c r="B65" s="11" t="str">
        <f>CONCATENATE("          ", "4134", " - ", "NON-TAXABLE SALES-SODA")</f>
        <v xml:space="preserve">          4134 - NON-TAXABLE SALES-SODA</v>
      </c>
      <c r="C65" s="11"/>
      <c r="D65" s="2">
        <f t="shared" si="14"/>
        <v>0</v>
      </c>
      <c r="E65" s="2"/>
      <c r="F65" s="19"/>
      <c r="G65" s="2"/>
      <c r="H65" s="2">
        <f>0</f>
        <v>0</v>
      </c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1"/>
      <c r="P65" s="2">
        <f>--45.53</f>
        <v>45.53</v>
      </c>
      <c r="Q65" s="2"/>
      <c r="R65" s="19"/>
      <c r="S65" s="2"/>
      <c r="T65" s="2">
        <f>0</f>
        <v>0</v>
      </c>
      <c r="U65" s="2"/>
      <c r="V65" s="19"/>
      <c r="W65" s="2"/>
      <c r="X65" s="2">
        <f t="shared" si="2"/>
        <v>45.53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"4135", " - ", "NON-TAXABLE SALES")</f>
        <v xml:space="preserve">          4135 - NON-TAXABLE SALES</v>
      </c>
      <c r="C66" s="11"/>
      <c r="D66" s="2">
        <f t="shared" si="14"/>
        <v>0</v>
      </c>
      <c r="E66" s="2"/>
      <c r="F66" s="19"/>
      <c r="G66" s="2"/>
      <c r="H66" s="2">
        <f>--10.77</f>
        <v>10.77</v>
      </c>
      <c r="I66" s="2"/>
      <c r="J66" s="19"/>
      <c r="K66" s="2"/>
      <c r="L66" s="2">
        <f t="shared" si="0"/>
        <v>-10.77</v>
      </c>
      <c r="M66" s="2"/>
      <c r="N66" s="19">
        <f t="shared" si="1"/>
        <v>-1</v>
      </c>
      <c r="O66" s="11"/>
      <c r="P66" s="2">
        <f>0</f>
        <v>0</v>
      </c>
      <c r="Q66" s="2"/>
      <c r="R66" s="19"/>
      <c r="S66" s="2"/>
      <c r="T66" s="2">
        <f>--114.73</f>
        <v>114.73</v>
      </c>
      <c r="U66" s="2"/>
      <c r="V66" s="19"/>
      <c r="W66" s="2"/>
      <c r="X66" s="2">
        <f t="shared" si="2"/>
        <v>-114.73</v>
      </c>
      <c r="Y66" s="2"/>
      <c r="Z66" s="19">
        <f t="shared" si="3"/>
        <v>-1</v>
      </c>
    </row>
    <row r="67" spans="1:26" s="24" customFormat="1" hidden="1" outlineLevel="1" x14ac:dyDescent="0.25">
      <c r="A67" s="44"/>
      <c r="B67" s="11" t="str">
        <f>CONCATENATE("          ", "4137", " - ", "NON-TAXABLE SALES-WATER")</f>
        <v xml:space="preserve">          4137 - NON-TAXABLE SALES-WATER</v>
      </c>
      <c r="C67" s="11"/>
      <c r="D67" s="2">
        <f t="shared" si="14"/>
        <v>0</v>
      </c>
      <c r="E67" s="2"/>
      <c r="F67" s="19"/>
      <c r="G67" s="2"/>
      <c r="H67" s="2">
        <f>--1024.04</f>
        <v>1024.04</v>
      </c>
      <c r="I67" s="2"/>
      <c r="J67" s="19"/>
      <c r="K67" s="2"/>
      <c r="L67" s="2">
        <f t="shared" si="0"/>
        <v>-1024.04</v>
      </c>
      <c r="M67" s="2"/>
      <c r="N67" s="19">
        <f t="shared" si="1"/>
        <v>-1</v>
      </c>
      <c r="O67" s="11"/>
      <c r="P67" s="2">
        <f>--68.25</f>
        <v>68.25</v>
      </c>
      <c r="Q67" s="2"/>
      <c r="R67" s="19"/>
      <c r="S67" s="2"/>
      <c r="T67" s="2">
        <f>--5289.34</f>
        <v>5289.34</v>
      </c>
      <c r="U67" s="2"/>
      <c r="V67" s="19"/>
      <c r="W67" s="2"/>
      <c r="X67" s="2">
        <f t="shared" si="2"/>
        <v>-5221.09</v>
      </c>
      <c r="Y67" s="2"/>
      <c r="Z67" s="19">
        <f t="shared" si="3"/>
        <v>-0.98709668881183665</v>
      </c>
    </row>
    <row r="68" spans="1:26" s="24" customFormat="1" hidden="1" outlineLevel="1" x14ac:dyDescent="0.25">
      <c r="A68" s="44"/>
      <c r="B68" s="11" t="str">
        <f>CONCATENATE("          ", "4140", " - ", "NON-TAXABLE SALES-LOGO CLOTHIN")</f>
        <v xml:space="preserve">          4140 - NON-TAXABLE SALES-LOGO CLOTHIN</v>
      </c>
      <c r="C68" s="11"/>
      <c r="D68" s="2">
        <f>--19704.79</f>
        <v>19704.79</v>
      </c>
      <c r="E68" s="2"/>
      <c r="F68" s="19"/>
      <c r="G68" s="2"/>
      <c r="H68" s="2">
        <f>--7373.27</f>
        <v>7373.27</v>
      </c>
      <c r="I68" s="2"/>
      <c r="J68" s="19"/>
      <c r="K68" s="2"/>
      <c r="L68" s="2">
        <f t="shared" si="0"/>
        <v>12331.52</v>
      </c>
      <c r="M68" s="2"/>
      <c r="N68" s="19">
        <f t="shared" si="1"/>
        <v>1.6724628285685998</v>
      </c>
      <c r="O68" s="11"/>
      <c r="P68" s="2">
        <f>--50320.27</f>
        <v>50320.27</v>
      </c>
      <c r="Q68" s="2"/>
      <c r="R68" s="19"/>
      <c r="S68" s="2"/>
      <c r="T68" s="2">
        <f>--20008.79</f>
        <v>20008.79</v>
      </c>
      <c r="U68" s="2"/>
      <c r="V68" s="19"/>
      <c r="W68" s="2"/>
      <c r="X68" s="2">
        <f t="shared" si="2"/>
        <v>30311.479999999996</v>
      </c>
      <c r="Y68" s="2"/>
      <c r="Z68" s="19">
        <f t="shared" si="3"/>
        <v>1.514908197847046</v>
      </c>
    </row>
    <row r="69" spans="1:26" s="24" customFormat="1" hidden="1" outlineLevel="1" x14ac:dyDescent="0.25">
      <c r="A69" s="44"/>
      <c r="B69" s="11" t="str">
        <f>CONCATENATE("          ", "4141", " - ", "NON-TAXABLE SALES-LOGO GIFTS")</f>
        <v xml:space="preserve">          4141 - NON-TAXABLE SALES-LOGO GIFTS</v>
      </c>
      <c r="C69" s="11"/>
      <c r="D69" s="2">
        <f>--806.32</f>
        <v>806.32</v>
      </c>
      <c r="E69" s="2"/>
      <c r="F69" s="19"/>
      <c r="G69" s="2"/>
      <c r="H69" s="2">
        <f>--434.35</f>
        <v>434.35</v>
      </c>
      <c r="I69" s="2"/>
      <c r="J69" s="19"/>
      <c r="K69" s="2"/>
      <c r="L69" s="2">
        <f t="shared" si="0"/>
        <v>371.97</v>
      </c>
      <c r="M69" s="2"/>
      <c r="N69" s="19">
        <f t="shared" si="1"/>
        <v>0.85638310118567973</v>
      </c>
      <c r="O69" s="11"/>
      <c r="P69" s="2">
        <f>--4189.02</f>
        <v>4189.0200000000004</v>
      </c>
      <c r="Q69" s="2"/>
      <c r="R69" s="19"/>
      <c r="S69" s="2"/>
      <c r="T69" s="2">
        <f>--1830.28</f>
        <v>1830.28</v>
      </c>
      <c r="U69" s="2"/>
      <c r="V69" s="19"/>
      <c r="W69" s="2"/>
      <c r="X69" s="2">
        <f t="shared" si="2"/>
        <v>2358.7400000000007</v>
      </c>
      <c r="Y69" s="2"/>
      <c r="Z69" s="19">
        <f t="shared" si="3"/>
        <v>1.2887317787442363</v>
      </c>
    </row>
    <row r="70" spans="1:26" s="24" customFormat="1" hidden="1" outlineLevel="1" x14ac:dyDescent="0.25">
      <c r="A70" s="44"/>
      <c r="B70" s="11" t="str">
        <f>CONCATENATE("          ", "4142", " - ", "NON-TAXABLE SALES-EVERYDAY GIF")</f>
        <v xml:space="preserve">          4142 - NON-TAXABLE SALES-EVERYDAY GIF</v>
      </c>
      <c r="C70" s="11"/>
      <c r="D70" s="2">
        <f>--887.78</f>
        <v>887.78</v>
      </c>
      <c r="E70" s="2"/>
      <c r="F70" s="19"/>
      <c r="G70" s="2"/>
      <c r="H70" s="2">
        <f>--2013.22</f>
        <v>2013.22</v>
      </c>
      <c r="I70" s="2"/>
      <c r="J70" s="19"/>
      <c r="K70" s="2"/>
      <c r="L70" s="2">
        <f t="shared" si="0"/>
        <v>-1125.44</v>
      </c>
      <c r="M70" s="2"/>
      <c r="N70" s="19">
        <f t="shared" si="1"/>
        <v>-0.55902484576946387</v>
      </c>
      <c r="O70" s="11"/>
      <c r="P70" s="2">
        <f>--2208.19</f>
        <v>2208.19</v>
      </c>
      <c r="Q70" s="2"/>
      <c r="R70" s="19"/>
      <c r="S70" s="2"/>
      <c r="T70" s="2">
        <f>--7932.83</f>
        <v>7932.83</v>
      </c>
      <c r="U70" s="2"/>
      <c r="V70" s="19"/>
      <c r="W70" s="2"/>
      <c r="X70" s="2">
        <f t="shared" si="2"/>
        <v>-5724.6399999999994</v>
      </c>
      <c r="Y70" s="2"/>
      <c r="Z70" s="19">
        <f t="shared" si="3"/>
        <v>-0.72163906197409999</v>
      </c>
    </row>
    <row r="71" spans="1:26" s="24" customFormat="1" hidden="1" outlineLevel="1" x14ac:dyDescent="0.25">
      <c r="A71" s="44"/>
      <c r="B71" s="11" t="str">
        <f>CONCATENATE("          ", "4143", " - ", "NON-TAXABLE SALES-CARDS")</f>
        <v xml:space="preserve">          4143 - NON-TAXABLE SALES-CARDS</v>
      </c>
      <c r="C71" s="11"/>
      <c r="D71" s="2">
        <f>--9.99</f>
        <v>9.99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9.99</v>
      </c>
      <c r="M71" s="2"/>
      <c r="N71" s="19">
        <f t="shared" si="1"/>
        <v>0</v>
      </c>
      <c r="O71" s="11"/>
      <c r="P71" s="2">
        <f>--39.96</f>
        <v>39.96</v>
      </c>
      <c r="Q71" s="2"/>
      <c r="R71" s="19"/>
      <c r="S71" s="2"/>
      <c r="T71" s="2">
        <f>0</f>
        <v>0</v>
      </c>
      <c r="U71" s="2"/>
      <c r="V71" s="19"/>
      <c r="W71" s="2"/>
      <c r="X71" s="2">
        <f t="shared" si="2"/>
        <v>39.96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"4144", " - ", "NON-TAXABLE SALES-ACCESSORIES")</f>
        <v xml:space="preserve">          4144 - NON-TAXABLE SALES-ACCESSORIES</v>
      </c>
      <c r="C72" s="11"/>
      <c r="D72" s="2">
        <f>--19.95</f>
        <v>19.95</v>
      </c>
      <c r="E72" s="2"/>
      <c r="F72" s="19"/>
      <c r="G72" s="2"/>
      <c r="H72" s="2">
        <f>--29.95</f>
        <v>29.95</v>
      </c>
      <c r="I72" s="2"/>
      <c r="J72" s="19"/>
      <c r="K72" s="2"/>
      <c r="L72" s="2">
        <f t="shared" si="0"/>
        <v>-10</v>
      </c>
      <c r="M72" s="2"/>
      <c r="N72" s="19">
        <f t="shared" si="1"/>
        <v>-0.333889816360601</v>
      </c>
      <c r="O72" s="11"/>
      <c r="P72" s="2">
        <f>--389.7</f>
        <v>389.7</v>
      </c>
      <c r="Q72" s="2"/>
      <c r="R72" s="19"/>
      <c r="S72" s="2"/>
      <c r="T72" s="2">
        <f>--241.56</f>
        <v>241.56</v>
      </c>
      <c r="U72" s="2"/>
      <c r="V72" s="19"/>
      <c r="W72" s="2"/>
      <c r="X72" s="2">
        <f t="shared" si="2"/>
        <v>148.13999999999999</v>
      </c>
      <c r="Y72" s="2"/>
      <c r="Z72" s="19">
        <f t="shared" si="3"/>
        <v>0.61326378539493287</v>
      </c>
    </row>
    <row r="73" spans="1:26" s="24" customFormat="1" hidden="1" outlineLevel="1" x14ac:dyDescent="0.25">
      <c r="A73" s="44"/>
      <c r="B73" s="11" t="str">
        <f>CONCATENATE("          ", "4145", " - ", "NON-TAXABLE SALES-SPECIAL ORDE")</f>
        <v xml:space="preserve">          4145 - NON-TAXABLE SALES-SPECIAL ORDE</v>
      </c>
      <c r="C73" s="11"/>
      <c r="D73" s="2">
        <f>--2800</f>
        <v>2800</v>
      </c>
      <c r="E73" s="2"/>
      <c r="F73" s="19"/>
      <c r="G73" s="2"/>
      <c r="H73" s="2">
        <f>--50</f>
        <v>50</v>
      </c>
      <c r="I73" s="2"/>
      <c r="J73" s="19"/>
      <c r="K73" s="2"/>
      <c r="L73" s="2">
        <f t="shared" si="0"/>
        <v>2750</v>
      </c>
      <c r="M73" s="2"/>
      <c r="N73" s="19">
        <f t="shared" si="1"/>
        <v>55</v>
      </c>
      <c r="O73" s="11"/>
      <c r="P73" s="2">
        <f>--38646</f>
        <v>38646</v>
      </c>
      <c r="Q73" s="2"/>
      <c r="R73" s="19"/>
      <c r="S73" s="2"/>
      <c r="T73" s="2">
        <f>--140</f>
        <v>140</v>
      </c>
      <c r="U73" s="2"/>
      <c r="V73" s="19"/>
      <c r="W73" s="2"/>
      <c r="X73" s="2">
        <f t="shared" si="2"/>
        <v>38506</v>
      </c>
      <c r="Y73" s="2"/>
      <c r="Z73" s="19">
        <f t="shared" si="3"/>
        <v>275.04285714285714</v>
      </c>
    </row>
    <row r="74" spans="1:26" s="24" customFormat="1" hidden="1" outlineLevel="1" x14ac:dyDescent="0.25">
      <c r="A74" s="44"/>
      <c r="B74" s="11" t="str">
        <f>CONCATENATE("          ", "4146", " - ", "NON-TAXABLE SALES-COIN OP MACH")</f>
        <v xml:space="preserve">          4146 - NON-TAXABLE SALES-COIN OP MACH</v>
      </c>
      <c r="C74" s="11"/>
      <c r="D74" s="2">
        <f>--21.5</f>
        <v>21.5</v>
      </c>
      <c r="E74" s="2"/>
      <c r="F74" s="19"/>
      <c r="G74" s="2"/>
      <c r="H74" s="2">
        <f>--28930.75</f>
        <v>28930.75</v>
      </c>
      <c r="I74" s="2"/>
      <c r="J74" s="19"/>
      <c r="K74" s="2"/>
      <c r="L74" s="2">
        <f t="shared" si="0"/>
        <v>-28909.25</v>
      </c>
      <c r="M74" s="2"/>
      <c r="N74" s="19">
        <f t="shared" si="1"/>
        <v>-0.9992568460893686</v>
      </c>
      <c r="O74" s="11"/>
      <c r="P74" s="2">
        <f>--108</f>
        <v>108</v>
      </c>
      <c r="Q74" s="2"/>
      <c r="R74" s="19"/>
      <c r="S74" s="2"/>
      <c r="T74" s="2">
        <f>--119341.05</f>
        <v>119341.05</v>
      </c>
      <c r="U74" s="2"/>
      <c r="V74" s="19"/>
      <c r="W74" s="2"/>
      <c r="X74" s="2">
        <f t="shared" si="2"/>
        <v>-119233.05</v>
      </c>
      <c r="Y74" s="2"/>
      <c r="Z74" s="19">
        <f t="shared" si="3"/>
        <v>-0.99909503058670923</v>
      </c>
    </row>
    <row r="75" spans="1:26" s="24" customFormat="1" hidden="1" outlineLevel="1" x14ac:dyDescent="0.25">
      <c r="A75" s="44"/>
      <c r="B75" s="11" t="str">
        <f>CONCATENATE("          ", "4147", " - ", "NON-TAXABLE SALES-MISC")</f>
        <v xml:space="preserve">          4147 - NON-TAXABLE SALES-MISC</v>
      </c>
      <c r="C75" s="11"/>
      <c r="D75" s="2">
        <f>--5</f>
        <v>5</v>
      </c>
      <c r="E75" s="2"/>
      <c r="F75" s="19"/>
      <c r="G75" s="2"/>
      <c r="H75" s="2">
        <f>--75</f>
        <v>75</v>
      </c>
      <c r="I75" s="2"/>
      <c r="J75" s="19"/>
      <c r="K75" s="2"/>
      <c r="L75" s="2">
        <f t="shared" si="0"/>
        <v>-70</v>
      </c>
      <c r="M75" s="2"/>
      <c r="N75" s="19">
        <f t="shared" si="1"/>
        <v>-0.93333333333333335</v>
      </c>
      <c r="O75" s="11"/>
      <c r="P75" s="2">
        <f>--91.5</f>
        <v>91.5</v>
      </c>
      <c r="Q75" s="2"/>
      <c r="R75" s="19"/>
      <c r="S75" s="2"/>
      <c r="T75" s="2">
        <f>--249.9</f>
        <v>249.9</v>
      </c>
      <c r="U75" s="2"/>
      <c r="V75" s="19"/>
      <c r="W75" s="2"/>
      <c r="X75" s="2">
        <f t="shared" si="2"/>
        <v>-158.4</v>
      </c>
      <c r="Y75" s="2"/>
      <c r="Z75" s="19">
        <f t="shared" si="3"/>
        <v>-0.63385354141656669</v>
      </c>
    </row>
    <row r="76" spans="1:26" s="24" customFormat="1" hidden="1" outlineLevel="1" x14ac:dyDescent="0.25">
      <c r="A76" s="44"/>
      <c r="B76" s="11" t="str">
        <f>CONCATENATE("          ", "4181", " - ", "NON-TAXABLE SALES-ELECTRONICS")</f>
        <v xml:space="preserve">          4181 - NON-TAXABLE SALES-ELECTRONICS</v>
      </c>
      <c r="C76" s="11"/>
      <c r="D76" s="2">
        <f>--29.99</f>
        <v>29.99</v>
      </c>
      <c r="E76" s="2"/>
      <c r="F76" s="19"/>
      <c r="G76" s="2"/>
      <c r="H76" s="2">
        <f>0</f>
        <v>0</v>
      </c>
      <c r="I76" s="2"/>
      <c r="J76" s="19"/>
      <c r="K76" s="2"/>
      <c r="L76" s="2">
        <f t="shared" si="0"/>
        <v>29.99</v>
      </c>
      <c r="M76" s="2"/>
      <c r="N76" s="19">
        <f t="shared" si="1"/>
        <v>0</v>
      </c>
      <c r="O76" s="11"/>
      <c r="P76" s="2">
        <f>--3534.12</f>
        <v>3534.12</v>
      </c>
      <c r="Q76" s="2"/>
      <c r="R76" s="19"/>
      <c r="S76" s="2"/>
      <c r="T76" s="2">
        <f>--1462.51</f>
        <v>1462.51</v>
      </c>
      <c r="U76" s="2"/>
      <c r="V76" s="19"/>
      <c r="W76" s="2"/>
      <c r="X76" s="2">
        <f t="shared" si="2"/>
        <v>2071.6099999999997</v>
      </c>
      <c r="Y76" s="2"/>
      <c r="Z76" s="19">
        <f t="shared" si="3"/>
        <v>1.4164757847809586</v>
      </c>
    </row>
    <row r="77" spans="1:26" s="24" customFormat="1" hidden="1" outlineLevel="1" x14ac:dyDescent="0.25">
      <c r="A77" s="44"/>
      <c r="B77" s="11" t="str">
        <f>CONCATENATE("          ", "4182", " - ", "NON-TAXABLE SALES-COMPUTER HAR")</f>
        <v xml:space="preserve">          4182 - NON-TAXABLE SALES-COMPUTER HAR</v>
      </c>
      <c r="C77" s="11"/>
      <c r="D77" s="2">
        <f>--9499.97</f>
        <v>9499.9699999999993</v>
      </c>
      <c r="E77" s="2"/>
      <c r="F77" s="19"/>
      <c r="G77" s="2"/>
      <c r="H77" s="2">
        <f>--5749</f>
        <v>5749</v>
      </c>
      <c r="I77" s="2"/>
      <c r="J77" s="19"/>
      <c r="K77" s="2"/>
      <c r="L77" s="2">
        <f t="shared" si="0"/>
        <v>3750.9699999999993</v>
      </c>
      <c r="M77" s="2"/>
      <c r="N77" s="19">
        <f t="shared" si="1"/>
        <v>0.6524560793181422</v>
      </c>
      <c r="O77" s="11"/>
      <c r="P77" s="2">
        <f>--154794.35</f>
        <v>154794.35</v>
      </c>
      <c r="Q77" s="2"/>
      <c r="R77" s="19"/>
      <c r="S77" s="2"/>
      <c r="T77" s="2">
        <f>--62309</f>
        <v>62309</v>
      </c>
      <c r="U77" s="2"/>
      <c r="V77" s="19"/>
      <c r="W77" s="2"/>
      <c r="X77" s="2">
        <f t="shared" si="2"/>
        <v>92485.35</v>
      </c>
      <c r="Y77" s="2"/>
      <c r="Z77" s="19">
        <f t="shared" si="3"/>
        <v>1.4843016257683481</v>
      </c>
    </row>
    <row r="78" spans="1:26" s="24" customFormat="1" hidden="1" outlineLevel="1" x14ac:dyDescent="0.25">
      <c r="A78" s="44"/>
      <c r="B78" s="11" t="str">
        <f>CONCATENATE("          ", "4183", " - ", "NON-TAXABLE SALES-COMPUTER EQU")</f>
        <v xml:space="preserve">          4183 - NON-TAXABLE SALES-COMPUTER EQU</v>
      </c>
      <c r="C78" s="11"/>
      <c r="D78" s="2">
        <f>--1033.89</f>
        <v>1033.8900000000001</v>
      </c>
      <c r="E78" s="2"/>
      <c r="F78" s="19"/>
      <c r="G78" s="2"/>
      <c r="H78" s="2">
        <f>--249.96</f>
        <v>249.96</v>
      </c>
      <c r="I78" s="2"/>
      <c r="J78" s="19"/>
      <c r="K78" s="2"/>
      <c r="L78" s="2">
        <f t="shared" si="0"/>
        <v>783.93000000000006</v>
      </c>
      <c r="M78" s="2"/>
      <c r="N78" s="19">
        <f t="shared" si="1"/>
        <v>3.1362217954872782</v>
      </c>
      <c r="O78" s="11"/>
      <c r="P78" s="2">
        <f>--7370.28</f>
        <v>7370.28</v>
      </c>
      <c r="Q78" s="2"/>
      <c r="R78" s="19"/>
      <c r="S78" s="2"/>
      <c r="T78" s="2">
        <f>--3304.88</f>
        <v>3304.88</v>
      </c>
      <c r="U78" s="2"/>
      <c r="V78" s="19"/>
      <c r="W78" s="2"/>
      <c r="X78" s="2">
        <f t="shared" si="2"/>
        <v>4065.3999999999996</v>
      </c>
      <c r="Y78" s="2"/>
      <c r="Z78" s="19">
        <f t="shared" si="3"/>
        <v>1.2301203069400399</v>
      </c>
    </row>
    <row r="79" spans="1:26" s="24" customFormat="1" hidden="1" outlineLevel="1" x14ac:dyDescent="0.25">
      <c r="A79" s="44"/>
      <c r="B79" s="11" t="str">
        <f>CONCATENATE("          ", "4184", " - ", "NON-TAXABLE SALES-SOFTWARE LIC")</f>
        <v xml:space="preserve">          4184 - NON-TAXABLE SALES-SOFTWARE LIC</v>
      </c>
      <c r="C79" s="11"/>
      <c r="D79" s="2">
        <f>0</f>
        <v>0</v>
      </c>
      <c r="E79" s="2"/>
      <c r="F79" s="19"/>
      <c r="G79" s="2"/>
      <c r="H79" s="2">
        <f>--1206</f>
        <v>1206</v>
      </c>
      <c r="I79" s="2"/>
      <c r="J79" s="19"/>
      <c r="K79" s="2"/>
      <c r="L79" s="2">
        <f t="shared" si="0"/>
        <v>-1206</v>
      </c>
      <c r="M79" s="2"/>
      <c r="N79" s="19">
        <f t="shared" si="1"/>
        <v>-1</v>
      </c>
      <c r="O79" s="11"/>
      <c r="P79" s="2">
        <f>0</f>
        <v>0</v>
      </c>
      <c r="Q79" s="2"/>
      <c r="R79" s="19"/>
      <c r="S79" s="2"/>
      <c r="T79" s="2">
        <f>--2728</f>
        <v>2728</v>
      </c>
      <c r="U79" s="2"/>
      <c r="V79" s="19"/>
      <c r="W79" s="2"/>
      <c r="X79" s="2">
        <f t="shared" si="2"/>
        <v>-2728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"4185", " - ", "NON-TAXABLE SALES-SOFTWARE")</f>
        <v xml:space="preserve">          4185 - NON-TAXABLE SALES-SOFTWARE</v>
      </c>
      <c r="C80" s="11"/>
      <c r="D80" s="2">
        <f>--1989.89</f>
        <v>1989.89</v>
      </c>
      <c r="E80" s="2"/>
      <c r="F80" s="19"/>
      <c r="G80" s="2"/>
      <c r="H80" s="2">
        <f>--495.98</f>
        <v>495.98</v>
      </c>
      <c r="I80" s="2"/>
      <c r="J80" s="19"/>
      <c r="K80" s="2"/>
      <c r="L80" s="2">
        <f t="shared" si="0"/>
        <v>1493.91</v>
      </c>
      <c r="M80" s="2"/>
      <c r="N80" s="19">
        <f t="shared" si="1"/>
        <v>3.0120367756764388</v>
      </c>
      <c r="O80" s="11"/>
      <c r="P80" s="2">
        <f>--25806.74</f>
        <v>25806.74</v>
      </c>
      <c r="Q80" s="2"/>
      <c r="R80" s="19"/>
      <c r="S80" s="2"/>
      <c r="T80" s="2">
        <f>--8963.87</f>
        <v>8963.8700000000008</v>
      </c>
      <c r="U80" s="2"/>
      <c r="V80" s="19"/>
      <c r="W80" s="2"/>
      <c r="X80" s="2">
        <f t="shared" si="2"/>
        <v>16842.870000000003</v>
      </c>
      <c r="Y80" s="2"/>
      <c r="Z80" s="19">
        <f t="shared" si="3"/>
        <v>1.8789730328529977</v>
      </c>
    </row>
    <row r="81" spans="1:26" s="24" customFormat="1" hidden="1" outlineLevel="1" x14ac:dyDescent="0.25">
      <c r="A81" s="44"/>
      <c r="B81" s="11" t="str">
        <f>CONCATENATE("          ", "4186", " - ", "NON-TAXABLE SALES-COMPUTER SUP")</f>
        <v xml:space="preserve">          4186 - NON-TAXABLE SALES-COMPUTER SUP</v>
      </c>
      <c r="C81" s="11"/>
      <c r="D81" s="2">
        <f>--44</f>
        <v>44</v>
      </c>
      <c r="E81" s="2"/>
      <c r="F81" s="19"/>
      <c r="G81" s="2"/>
      <c r="H81" s="2">
        <f>--49.99</f>
        <v>49.99</v>
      </c>
      <c r="I81" s="2"/>
      <c r="J81" s="19"/>
      <c r="K81" s="2"/>
      <c r="L81" s="2">
        <f t="shared" si="0"/>
        <v>-5.990000000000002</v>
      </c>
      <c r="M81" s="2"/>
      <c r="N81" s="19">
        <f t="shared" si="1"/>
        <v>-0.11982396479295862</v>
      </c>
      <c r="O81" s="11"/>
      <c r="P81" s="2">
        <f>--1773.77</f>
        <v>1773.77</v>
      </c>
      <c r="Q81" s="2"/>
      <c r="R81" s="19"/>
      <c r="S81" s="2"/>
      <c r="T81" s="2">
        <f>--1572.4</f>
        <v>1572.4</v>
      </c>
      <c r="U81" s="2"/>
      <c r="V81" s="19"/>
      <c r="W81" s="2"/>
      <c r="X81" s="2">
        <f t="shared" si="2"/>
        <v>201.36999999999989</v>
      </c>
      <c r="Y81" s="2"/>
      <c r="Z81" s="19">
        <f t="shared" si="3"/>
        <v>0.12806537776647156</v>
      </c>
    </row>
    <row r="82" spans="1:26" s="24" customFormat="1" hidden="1" outlineLevel="1" x14ac:dyDescent="0.25">
      <c r="A82" s="44"/>
      <c r="B82" s="11" t="str">
        <f>CONCATENATE("          ", "4188", " - ", "NON-TAXABLE SALES-MUSIC")</f>
        <v xml:space="preserve">          4188 - NON-TAXABLE SALES-MUSIC</v>
      </c>
      <c r="C82" s="11"/>
      <c r="D82" s="2">
        <f>0</f>
        <v>0</v>
      </c>
      <c r="E82" s="2"/>
      <c r="F82" s="19"/>
      <c r="G82" s="2"/>
      <c r="H82" s="2">
        <f>0</f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0</f>
        <v>0</v>
      </c>
      <c r="Q82" s="2"/>
      <c r="R82" s="19"/>
      <c r="S82" s="2"/>
      <c r="T82" s="2">
        <f>--219.96</f>
        <v>219.96</v>
      </c>
      <c r="U82" s="2"/>
      <c r="V82" s="19"/>
      <c r="W82" s="2"/>
      <c r="X82" s="2">
        <f t="shared" si="2"/>
        <v>-219.96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"4201", " - ", "SALES RETURN TAXABLE-NEW TEXT")</f>
        <v xml:space="preserve">          4201 - SALES RETURN TAXABLE-NEW TEXT</v>
      </c>
      <c r="C83" s="11"/>
      <c r="D83" s="2">
        <f>-1333.42</f>
        <v>-1333.42</v>
      </c>
      <c r="E83" s="2"/>
      <c r="F83" s="19"/>
      <c r="G83" s="2"/>
      <c r="H83" s="2">
        <f>-314.9</f>
        <v>-314.89999999999998</v>
      </c>
      <c r="I83" s="2"/>
      <c r="J83" s="19"/>
      <c r="K83" s="2"/>
      <c r="L83" s="2">
        <f t="shared" si="0"/>
        <v>-1018.5200000000001</v>
      </c>
      <c r="M83" s="2"/>
      <c r="N83" s="19">
        <f t="shared" si="1"/>
        <v>3.2344236265481112</v>
      </c>
      <c r="O83" s="11"/>
      <c r="P83" s="2">
        <f>-35094.66</f>
        <v>-35094.660000000003</v>
      </c>
      <c r="Q83" s="2"/>
      <c r="R83" s="19"/>
      <c r="S83" s="2"/>
      <c r="T83" s="2">
        <f>-78098.57</f>
        <v>-78098.570000000007</v>
      </c>
      <c r="U83" s="2"/>
      <c r="V83" s="19"/>
      <c r="W83" s="2"/>
      <c r="X83" s="2">
        <f t="shared" si="2"/>
        <v>43003.91</v>
      </c>
      <c r="Y83" s="2"/>
      <c r="Z83" s="19">
        <f t="shared" si="3"/>
        <v>-0.55063633047314442</v>
      </c>
    </row>
    <row r="84" spans="1:26" s="24" customFormat="1" hidden="1" outlineLevel="1" x14ac:dyDescent="0.25">
      <c r="A84" s="44"/>
      <c r="B84" s="11" t="str">
        <f>CONCATENATE("          ", "4202", " - ", "SALES RETURN TAXABLE-USED TEXT")</f>
        <v xml:space="preserve">          4202 - SALES RETURN TAXABLE-USED TEXT</v>
      </c>
      <c r="C84" s="11"/>
      <c r="D84" s="2">
        <f>-3274.35</f>
        <v>-3274.35</v>
      </c>
      <c r="E84" s="2"/>
      <c r="F84" s="19"/>
      <c r="G84" s="2"/>
      <c r="H84" s="2">
        <f>-113.2</f>
        <v>-113.2</v>
      </c>
      <c r="I84" s="2"/>
      <c r="J84" s="19"/>
      <c r="K84" s="2"/>
      <c r="L84" s="2">
        <f t="shared" si="0"/>
        <v>-3161.15</v>
      </c>
      <c r="M84" s="2"/>
      <c r="N84" s="19">
        <f t="shared" si="1"/>
        <v>27.925353356890458</v>
      </c>
      <c r="O84" s="11"/>
      <c r="P84" s="2">
        <f>-13803.35</f>
        <v>-13803.35</v>
      </c>
      <c r="Q84" s="2"/>
      <c r="R84" s="19"/>
      <c r="S84" s="2"/>
      <c r="T84" s="2">
        <f>-27042.2</f>
        <v>-27042.2</v>
      </c>
      <c r="U84" s="2"/>
      <c r="V84" s="19"/>
      <c r="W84" s="2"/>
      <c r="X84" s="2">
        <f t="shared" si="2"/>
        <v>13238.85</v>
      </c>
      <c r="Y84" s="2"/>
      <c r="Z84" s="19">
        <f t="shared" si="3"/>
        <v>-0.48956260955099806</v>
      </c>
    </row>
    <row r="85" spans="1:26" s="24" customFormat="1" hidden="1" outlineLevel="1" x14ac:dyDescent="0.25">
      <c r="A85" s="44"/>
      <c r="B85" s="11" t="str">
        <f>CONCATENATE("          ", "4203", " - ", "SALES RETURN TAXABLE-RENTAL TE")</f>
        <v xml:space="preserve">          4203 - SALES RETURN TAXABLE-RENTAL TE</v>
      </c>
      <c r="C85" s="11"/>
      <c r="D85" s="2">
        <f t="shared" ref="D85:D91" si="15">0</f>
        <v>0</v>
      </c>
      <c r="E85" s="2"/>
      <c r="F85" s="19"/>
      <c r="G85" s="2"/>
      <c r="H85" s="2">
        <f>0</f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0</f>
        <v>0</v>
      </c>
      <c r="Q85" s="2"/>
      <c r="R85" s="19"/>
      <c r="S85" s="2"/>
      <c r="T85" s="2">
        <f>-144.99</f>
        <v>-144.99</v>
      </c>
      <c r="U85" s="2"/>
      <c r="V85" s="19"/>
      <c r="W85" s="2"/>
      <c r="X85" s="2">
        <f t="shared" si="2"/>
        <v>144.99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"4204", " - ", "SALES RETURN TAXABLE-DIGITAL T")</f>
        <v xml:space="preserve">          4204 - SALES RETURN TAXABLE-DIGITAL T</v>
      </c>
      <c r="C86" s="11"/>
      <c r="D86" s="2">
        <f t="shared" si="15"/>
        <v>0</v>
      </c>
      <c r="E86" s="2"/>
      <c r="F86" s="19"/>
      <c r="G86" s="2"/>
      <c r="H86" s="2">
        <f>-119.4</f>
        <v>-119.4</v>
      </c>
      <c r="I86" s="2"/>
      <c r="J86" s="19"/>
      <c r="K86" s="2"/>
      <c r="L86" s="2">
        <f t="shared" si="0"/>
        <v>119.4</v>
      </c>
      <c r="M86" s="2"/>
      <c r="N86" s="19">
        <f t="shared" si="1"/>
        <v>-1</v>
      </c>
      <c r="O86" s="11"/>
      <c r="P86" s="2">
        <f>-1630.85</f>
        <v>-1630.85</v>
      </c>
      <c r="Q86" s="2"/>
      <c r="R86" s="19"/>
      <c r="S86" s="2"/>
      <c r="T86" s="2">
        <f>-11369.46</f>
        <v>-11369.46</v>
      </c>
      <c r="U86" s="2"/>
      <c r="V86" s="19"/>
      <c r="W86" s="2"/>
      <c r="X86" s="2">
        <f t="shared" si="2"/>
        <v>9738.6099999999988</v>
      </c>
      <c r="Y86" s="2"/>
      <c r="Z86" s="19">
        <f t="shared" si="3"/>
        <v>-0.85655871079189327</v>
      </c>
    </row>
    <row r="87" spans="1:26" s="24" customFormat="1" hidden="1" outlineLevel="1" x14ac:dyDescent="0.25">
      <c r="A87" s="44"/>
      <c r="B87" s="11" t="str">
        <f>CONCATENATE("          ", "4213", " - ", "NON-TAXABLE SALES-TRADE BOOKS")</f>
        <v xml:space="preserve">          4213 - NON-TAXABLE SALES-TRADE BOOKS</v>
      </c>
      <c r="C87" s="11"/>
      <c r="D87" s="2">
        <f t="shared" si="15"/>
        <v>0</v>
      </c>
      <c r="E87" s="2"/>
      <c r="F87" s="19"/>
      <c r="G87" s="2"/>
      <c r="H87" s="2">
        <f>-67.34</f>
        <v>-67.34</v>
      </c>
      <c r="I87" s="2"/>
      <c r="J87" s="19"/>
      <c r="K87" s="2"/>
      <c r="L87" s="2">
        <f t="shared" si="0"/>
        <v>67.34</v>
      </c>
      <c r="M87" s="2"/>
      <c r="N87" s="19">
        <f t="shared" si="1"/>
        <v>-1</v>
      </c>
      <c r="O87" s="11"/>
      <c r="P87" s="2">
        <f t="shared" ref="P87:P90" si="16">0</f>
        <v>0</v>
      </c>
      <c r="Q87" s="2"/>
      <c r="R87" s="19"/>
      <c r="S87" s="2"/>
      <c r="T87" s="2">
        <f>-102.71</f>
        <v>-102.71</v>
      </c>
      <c r="U87" s="2"/>
      <c r="V87" s="19"/>
      <c r="W87" s="2"/>
      <c r="X87" s="2">
        <f t="shared" si="2"/>
        <v>102.71</v>
      </c>
      <c r="Y87" s="2"/>
      <c r="Z87" s="19">
        <f t="shared" si="3"/>
        <v>-1</v>
      </c>
    </row>
    <row r="88" spans="1:26" s="24" customFormat="1" hidden="1" outlineLevel="1" x14ac:dyDescent="0.25">
      <c r="A88" s="44"/>
      <c r="B88" s="11" t="str">
        <f>CONCATENATE("          ", "4217", " - ", "NON-TAXABLE SALES-DORM/HOUSEWA")</f>
        <v xml:space="preserve">          4217 - NON-TAXABLE SALES-DORM/HOUSEWA</v>
      </c>
      <c r="C88" s="11"/>
      <c r="D88" s="2">
        <f t="shared" si="15"/>
        <v>0</v>
      </c>
      <c r="E88" s="2"/>
      <c r="F88" s="19"/>
      <c r="G88" s="2"/>
      <c r="H88" s="2">
        <f t="shared" ref="H88:H89" si="17">0</f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 t="shared" si="16"/>
        <v>0</v>
      </c>
      <c r="Q88" s="2"/>
      <c r="R88" s="19"/>
      <c r="S88" s="2"/>
      <c r="T88" s="2">
        <f>-2.98</f>
        <v>-2.98</v>
      </c>
      <c r="U88" s="2"/>
      <c r="V88" s="19"/>
      <c r="W88" s="2"/>
      <c r="X88" s="2">
        <f t="shared" si="2"/>
        <v>2.98</v>
      </c>
      <c r="Y88" s="2"/>
      <c r="Z88" s="19">
        <f t="shared" si="3"/>
        <v>-1</v>
      </c>
    </row>
    <row r="89" spans="1:26" s="24" customFormat="1" hidden="1" outlineLevel="1" x14ac:dyDescent="0.25">
      <c r="A89" s="44"/>
      <c r="B89" s="11" t="str">
        <f>CONCATENATE("          ", "4218", " - ", "SALES RETURN TAXABLE-STUDY GUI")</f>
        <v xml:space="preserve">          4218 - SALES RETURN TAXABLE-STUDY GUI</v>
      </c>
      <c r="C89" s="11"/>
      <c r="D89" s="2">
        <f t="shared" si="15"/>
        <v>0</v>
      </c>
      <c r="E89" s="2"/>
      <c r="F89" s="19"/>
      <c r="G89" s="2"/>
      <c r="H89" s="2">
        <f t="shared" si="17"/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 t="shared" si="16"/>
        <v>0</v>
      </c>
      <c r="Q89" s="2"/>
      <c r="R89" s="19"/>
      <c r="S89" s="2"/>
      <c r="T89" s="2">
        <f>-32.75</f>
        <v>-32.75</v>
      </c>
      <c r="U89" s="2"/>
      <c r="V89" s="19"/>
      <c r="W89" s="2"/>
      <c r="X89" s="2">
        <f t="shared" si="2"/>
        <v>32.75</v>
      </c>
      <c r="Y89" s="2"/>
      <c r="Z89" s="19">
        <f t="shared" si="3"/>
        <v>-1</v>
      </c>
    </row>
    <row r="90" spans="1:26" s="24" customFormat="1" hidden="1" outlineLevel="1" x14ac:dyDescent="0.25">
      <c r="A90" s="44"/>
      <c r="B90" s="11" t="str">
        <f>CONCATENATE("          ", "4225", " - ", "SALES RETURN TAXABLE-TEST FORM")</f>
        <v xml:space="preserve">          4225 - SALES RETURN TAXABLE-TEST FORM</v>
      </c>
      <c r="C90" s="11"/>
      <c r="D90" s="2">
        <f t="shared" si="15"/>
        <v>0</v>
      </c>
      <c r="E90" s="2"/>
      <c r="F90" s="19"/>
      <c r="G90" s="2"/>
      <c r="H90" s="2">
        <f>-23.91</f>
        <v>-23.91</v>
      </c>
      <c r="I90" s="2"/>
      <c r="J90" s="19"/>
      <c r="K90" s="2"/>
      <c r="L90" s="2">
        <f t="shared" si="0"/>
        <v>23.91</v>
      </c>
      <c r="M90" s="2"/>
      <c r="N90" s="19">
        <f t="shared" si="1"/>
        <v>-1</v>
      </c>
      <c r="O90" s="11"/>
      <c r="P90" s="2">
        <f t="shared" si="16"/>
        <v>0</v>
      </c>
      <c r="Q90" s="2"/>
      <c r="R90" s="19"/>
      <c r="S90" s="2"/>
      <c r="T90" s="2">
        <f>-65.46</f>
        <v>-65.459999999999994</v>
      </c>
      <c r="U90" s="2"/>
      <c r="V90" s="19"/>
      <c r="W90" s="2"/>
      <c r="X90" s="2">
        <f t="shared" si="2"/>
        <v>65.459999999999994</v>
      </c>
      <c r="Y90" s="2"/>
      <c r="Z90" s="19">
        <f t="shared" si="3"/>
        <v>-1</v>
      </c>
    </row>
    <row r="91" spans="1:26" s="24" customFormat="1" hidden="1" outlineLevel="1" x14ac:dyDescent="0.25">
      <c r="A91" s="44"/>
      <c r="B91" s="11" t="str">
        <f>CONCATENATE("          ", "4226", " - ", "SALES RETURN TAXABLE-WRITING I")</f>
        <v xml:space="preserve">          4226 - SALES RETURN TAXABLE-WRITING I</v>
      </c>
      <c r="C91" s="11"/>
      <c r="D91" s="2">
        <f t="shared" si="15"/>
        <v>0</v>
      </c>
      <c r="E91" s="2"/>
      <c r="F91" s="19"/>
      <c r="G91" s="2"/>
      <c r="H91" s="2">
        <f>-13.74</f>
        <v>-13.74</v>
      </c>
      <c r="I91" s="2"/>
      <c r="J91" s="19"/>
      <c r="K91" s="2"/>
      <c r="L91" s="2">
        <f t="shared" si="0"/>
        <v>13.74</v>
      </c>
      <c r="M91" s="2"/>
      <c r="N91" s="19">
        <f t="shared" si="1"/>
        <v>-1</v>
      </c>
      <c r="O91" s="11"/>
      <c r="P91" s="2">
        <f>-34.23</f>
        <v>-34.229999999999997</v>
      </c>
      <c r="Q91" s="2"/>
      <c r="R91" s="19"/>
      <c r="S91" s="2"/>
      <c r="T91" s="2">
        <f>-489.71</f>
        <v>-489.71</v>
      </c>
      <c r="U91" s="2"/>
      <c r="V91" s="19"/>
      <c r="W91" s="2"/>
      <c r="X91" s="2">
        <f t="shared" si="2"/>
        <v>455.47999999999996</v>
      </c>
      <c r="Y91" s="2"/>
      <c r="Z91" s="19">
        <f t="shared" si="3"/>
        <v>-0.93010148863613151</v>
      </c>
    </row>
    <row r="92" spans="1:26" s="24" customFormat="1" hidden="1" outlineLevel="1" x14ac:dyDescent="0.25">
      <c r="A92" s="44"/>
      <c r="B92" s="11" t="str">
        <f>CONCATENATE("          ", "4227", " - ", "SALES RETURN TAXABLE-SCHOOL SU")</f>
        <v xml:space="preserve">          4227 - SALES RETURN TAXABLE-SCHOOL SU</v>
      </c>
      <c r="C92" s="11"/>
      <c r="D92" s="2">
        <f>-31.98</f>
        <v>-31.98</v>
      </c>
      <c r="E92" s="2"/>
      <c r="F92" s="19"/>
      <c r="G92" s="2"/>
      <c r="H92" s="2">
        <f>-917.34</f>
        <v>-917.34</v>
      </c>
      <c r="I92" s="2"/>
      <c r="J92" s="19"/>
      <c r="K92" s="2"/>
      <c r="L92" s="2">
        <f t="shared" si="0"/>
        <v>885.36</v>
      </c>
      <c r="M92" s="2"/>
      <c r="N92" s="19">
        <f t="shared" si="1"/>
        <v>-0.96513833475047417</v>
      </c>
      <c r="O92" s="11"/>
      <c r="P92" s="2">
        <f>-610.64</f>
        <v>-610.64</v>
      </c>
      <c r="Q92" s="2"/>
      <c r="R92" s="19"/>
      <c r="S92" s="2"/>
      <c r="T92" s="2">
        <f>-5743.82</f>
        <v>-5743.82</v>
      </c>
      <c r="U92" s="2"/>
      <c r="V92" s="19"/>
      <c r="W92" s="2"/>
      <c r="X92" s="2">
        <f t="shared" si="2"/>
        <v>5133.1799999999994</v>
      </c>
      <c r="Y92" s="2"/>
      <c r="Z92" s="19">
        <f t="shared" si="3"/>
        <v>-0.8936874762788527</v>
      </c>
    </row>
    <row r="93" spans="1:26" s="24" customFormat="1" hidden="1" outlineLevel="1" x14ac:dyDescent="0.25">
      <c r="A93" s="44"/>
      <c r="B93" s="11" t="str">
        <f>CONCATENATE("          ", "4228", " - ", "SALES RETURN TAXABLE-ART/TECH")</f>
        <v xml:space="preserve">          4228 - SALES RETURN TAXABLE-ART/TECH</v>
      </c>
      <c r="C93" s="11"/>
      <c r="D93" s="2">
        <f>-32.49</f>
        <v>-32.49</v>
      </c>
      <c r="E93" s="2"/>
      <c r="F93" s="19"/>
      <c r="G93" s="2"/>
      <c r="H93" s="2">
        <f>-441.03</f>
        <v>-441.03</v>
      </c>
      <c r="I93" s="2"/>
      <c r="J93" s="19"/>
      <c r="K93" s="2"/>
      <c r="L93" s="2">
        <f t="shared" si="0"/>
        <v>408.53999999999996</v>
      </c>
      <c r="M93" s="2"/>
      <c r="N93" s="19">
        <f t="shared" si="1"/>
        <v>-0.92633154207196788</v>
      </c>
      <c r="O93" s="11"/>
      <c r="P93" s="2">
        <f>-254.69</f>
        <v>-254.69</v>
      </c>
      <c r="Q93" s="2"/>
      <c r="R93" s="19"/>
      <c r="S93" s="2"/>
      <c r="T93" s="2">
        <f>-2871.29</f>
        <v>-2871.29</v>
      </c>
      <c r="U93" s="2"/>
      <c r="V93" s="19"/>
      <c r="W93" s="2"/>
      <c r="X93" s="2">
        <f t="shared" si="2"/>
        <v>2616.6</v>
      </c>
      <c r="Y93" s="2"/>
      <c r="Z93" s="19">
        <f t="shared" si="3"/>
        <v>-0.91129770939194576</v>
      </c>
    </row>
    <row r="94" spans="1:26" s="24" customFormat="1" hidden="1" outlineLevel="1" x14ac:dyDescent="0.25">
      <c r="A94" s="44"/>
      <c r="B94" s="11" t="str">
        <f>CONCATENATE("          ", "4233", " - ", "SALES RETURN TAXABLE-CANDY")</f>
        <v xml:space="preserve">          4233 - SALES RETURN TAXABLE-CANDY</v>
      </c>
      <c r="C94" s="11"/>
      <c r="D94" s="2">
        <f>0</f>
        <v>0</v>
      </c>
      <c r="E94" s="2"/>
      <c r="F94" s="19"/>
      <c r="G94" s="2"/>
      <c r="H94" s="2">
        <f>-1.29</f>
        <v>-1.29</v>
      </c>
      <c r="I94" s="2"/>
      <c r="J94" s="19"/>
      <c r="K94" s="2"/>
      <c r="L94" s="2">
        <f t="shared" si="0"/>
        <v>1.29</v>
      </c>
      <c r="M94" s="2"/>
      <c r="N94" s="19">
        <f t="shared" si="1"/>
        <v>-1</v>
      </c>
      <c r="O94" s="11"/>
      <c r="P94" s="2">
        <f>0</f>
        <v>0</v>
      </c>
      <c r="Q94" s="2"/>
      <c r="R94" s="19"/>
      <c r="S94" s="2"/>
      <c r="T94" s="2">
        <f>-1.29</f>
        <v>-1.29</v>
      </c>
      <c r="U94" s="2"/>
      <c r="V94" s="19"/>
      <c r="W94" s="2"/>
      <c r="X94" s="2">
        <f t="shared" si="2"/>
        <v>1.29</v>
      </c>
      <c r="Y94" s="2"/>
      <c r="Z94" s="19">
        <f t="shared" si="3"/>
        <v>-1</v>
      </c>
    </row>
    <row r="95" spans="1:26" s="24" customFormat="1" hidden="1" outlineLevel="1" x14ac:dyDescent="0.25">
      <c r="A95" s="44"/>
      <c r="B95" s="11" t="str">
        <f>CONCATENATE("          ", "4240", " - ", "SALES RETURN TAXABLE-LOGO CLOT")</f>
        <v xml:space="preserve">          4240 - SALES RETURN TAXABLE-LOGO CLOT</v>
      </c>
      <c r="C95" s="11"/>
      <c r="D95" s="2">
        <f>-1729.15</f>
        <v>-1729.15</v>
      </c>
      <c r="E95" s="2"/>
      <c r="F95" s="19"/>
      <c r="G95" s="2"/>
      <c r="H95" s="2">
        <f>-10814.23</f>
        <v>-10814.23</v>
      </c>
      <c r="I95" s="2"/>
      <c r="J95" s="19"/>
      <c r="K95" s="2"/>
      <c r="L95" s="2">
        <f t="shared" si="0"/>
        <v>9085.08</v>
      </c>
      <c r="M95" s="2"/>
      <c r="N95" s="19">
        <f t="shared" si="1"/>
        <v>-0.84010419604539577</v>
      </c>
      <c r="O95" s="11"/>
      <c r="P95" s="2">
        <f>-15578.67</f>
        <v>-15578.67</v>
      </c>
      <c r="Q95" s="2"/>
      <c r="R95" s="19"/>
      <c r="S95" s="2"/>
      <c r="T95" s="2">
        <f>-41109.03</f>
        <v>-41109.03</v>
      </c>
      <c r="U95" s="2"/>
      <c r="V95" s="19"/>
      <c r="W95" s="2"/>
      <c r="X95" s="2">
        <f t="shared" si="2"/>
        <v>25530.36</v>
      </c>
      <c r="Y95" s="2"/>
      <c r="Z95" s="19">
        <f t="shared" si="3"/>
        <v>-0.62104019481851069</v>
      </c>
    </row>
    <row r="96" spans="1:26" s="24" customFormat="1" hidden="1" outlineLevel="1" x14ac:dyDescent="0.25">
      <c r="A96" s="44"/>
      <c r="B96" s="11" t="str">
        <f>CONCATENATE("          ", "4241", " - ", "SALES RETURN TAXABLE-LOGO GIFT")</f>
        <v xml:space="preserve">          4241 - SALES RETURN TAXABLE-LOGO GIFT</v>
      </c>
      <c r="C96" s="11"/>
      <c r="D96" s="2">
        <f>-108.29</f>
        <v>-108.29</v>
      </c>
      <c r="E96" s="2"/>
      <c r="F96" s="19"/>
      <c r="G96" s="2"/>
      <c r="H96" s="2">
        <f>-491.64</f>
        <v>-491.64</v>
      </c>
      <c r="I96" s="2"/>
      <c r="J96" s="19"/>
      <c r="K96" s="2"/>
      <c r="L96" s="2">
        <f t="shared" si="0"/>
        <v>383.34999999999997</v>
      </c>
      <c r="M96" s="2"/>
      <c r="N96" s="19">
        <f t="shared" si="1"/>
        <v>-0.77973720608575381</v>
      </c>
      <c r="O96" s="11"/>
      <c r="P96" s="2">
        <f>-2804.85</f>
        <v>-2804.85</v>
      </c>
      <c r="Q96" s="2"/>
      <c r="R96" s="19"/>
      <c r="S96" s="2"/>
      <c r="T96" s="2">
        <f>-3209.59</f>
        <v>-3209.59</v>
      </c>
      <c r="U96" s="2"/>
      <c r="V96" s="19"/>
      <c r="W96" s="2"/>
      <c r="X96" s="2">
        <f t="shared" si="2"/>
        <v>404.74000000000024</v>
      </c>
      <c r="Y96" s="2"/>
      <c r="Z96" s="19">
        <f t="shared" si="3"/>
        <v>-0.12610333407070692</v>
      </c>
    </row>
    <row r="97" spans="1:26" s="24" customFormat="1" hidden="1" outlineLevel="1" x14ac:dyDescent="0.25">
      <c r="A97" s="44"/>
      <c r="B97" s="11" t="str">
        <f>CONCATENATE("          ", "4242", " - ", "SALES RETURN TAXABLE-EVERYDAY")</f>
        <v xml:space="preserve">          4242 - SALES RETURN TAXABLE-EVERYDAY</v>
      </c>
      <c r="C97" s="11"/>
      <c r="D97" s="2">
        <f>-7.48</f>
        <v>-7.48</v>
      </c>
      <c r="E97" s="2"/>
      <c r="F97" s="19"/>
      <c r="G97" s="2"/>
      <c r="H97" s="2">
        <f>-532.3</f>
        <v>-532.29999999999995</v>
      </c>
      <c r="I97" s="2"/>
      <c r="J97" s="19"/>
      <c r="K97" s="2"/>
      <c r="L97" s="2">
        <f t="shared" si="0"/>
        <v>524.81999999999994</v>
      </c>
      <c r="M97" s="2"/>
      <c r="N97" s="19">
        <f t="shared" si="1"/>
        <v>-0.98594777381176024</v>
      </c>
      <c r="O97" s="11"/>
      <c r="P97" s="2">
        <f>-1328.99</f>
        <v>-1328.99</v>
      </c>
      <c r="Q97" s="2"/>
      <c r="R97" s="19"/>
      <c r="S97" s="2"/>
      <c r="T97" s="2">
        <f>-1691.87</f>
        <v>-1691.87</v>
      </c>
      <c r="U97" s="2"/>
      <c r="V97" s="19"/>
      <c r="W97" s="2"/>
      <c r="X97" s="2">
        <f t="shared" si="2"/>
        <v>362.87999999999988</v>
      </c>
      <c r="Y97" s="2"/>
      <c r="Z97" s="19">
        <f t="shared" si="3"/>
        <v>-0.21448456441688776</v>
      </c>
    </row>
    <row r="98" spans="1:26" s="24" customFormat="1" hidden="1" outlineLevel="1" x14ac:dyDescent="0.25">
      <c r="A98" s="44"/>
      <c r="B98" s="11" t="str">
        <f>CONCATENATE("          ", "4243", " - ", "SALES RETURN TAXABLE-CARDS")</f>
        <v xml:space="preserve">          4243 - SALES RETURN TAXABLE-CARDS</v>
      </c>
      <c r="C98" s="11"/>
      <c r="D98" s="2">
        <f>-829.54</f>
        <v>-829.54</v>
      </c>
      <c r="E98" s="2"/>
      <c r="F98" s="19"/>
      <c r="G98" s="2"/>
      <c r="H98" s="2">
        <f>-316.34</f>
        <v>-316.33999999999997</v>
      </c>
      <c r="I98" s="2"/>
      <c r="J98" s="19"/>
      <c r="K98" s="2"/>
      <c r="L98" s="2">
        <f t="shared" si="0"/>
        <v>-513.20000000000005</v>
      </c>
      <c r="M98" s="2"/>
      <c r="N98" s="19">
        <f t="shared" si="1"/>
        <v>1.6223051147499528</v>
      </c>
      <c r="O98" s="11"/>
      <c r="P98" s="2">
        <f>-1812.46</f>
        <v>-1812.46</v>
      </c>
      <c r="Q98" s="2"/>
      <c r="R98" s="19"/>
      <c r="S98" s="2"/>
      <c r="T98" s="2">
        <f>-320.84</f>
        <v>-320.83999999999997</v>
      </c>
      <c r="U98" s="2"/>
      <c r="V98" s="19"/>
      <c r="W98" s="2"/>
      <c r="X98" s="2">
        <f t="shared" si="2"/>
        <v>-1491.6200000000001</v>
      </c>
      <c r="Y98" s="2"/>
      <c r="Z98" s="19">
        <f t="shared" si="3"/>
        <v>4.6491085899513784</v>
      </c>
    </row>
    <row r="99" spans="1:26" s="24" customFormat="1" hidden="1" outlineLevel="1" x14ac:dyDescent="0.25">
      <c r="A99" s="44"/>
      <c r="B99" s="11" t="str">
        <f>CONCATENATE("          ", "4244", " - ", "SALES RETURN TAXABLE-ACCESSORI")</f>
        <v xml:space="preserve">          4244 - SALES RETURN TAXABLE-ACCESSORI</v>
      </c>
      <c r="C99" s="11"/>
      <c r="D99" s="2">
        <f>-179.95</f>
        <v>-179.95</v>
      </c>
      <c r="E99" s="2"/>
      <c r="F99" s="19"/>
      <c r="G99" s="2"/>
      <c r="H99" s="2">
        <f>-96.7</f>
        <v>-96.7</v>
      </c>
      <c r="I99" s="2"/>
      <c r="J99" s="19"/>
      <c r="K99" s="2"/>
      <c r="L99" s="2">
        <f t="shared" si="0"/>
        <v>-83.249999999999986</v>
      </c>
      <c r="M99" s="2"/>
      <c r="N99" s="19">
        <f t="shared" si="1"/>
        <v>0.86091003102378472</v>
      </c>
      <c r="O99" s="11"/>
      <c r="P99" s="2">
        <f>-590.94</f>
        <v>-590.94000000000005</v>
      </c>
      <c r="Q99" s="2"/>
      <c r="R99" s="19"/>
      <c r="S99" s="2"/>
      <c r="T99" s="2">
        <f>-1529.06</f>
        <v>-1529.06</v>
      </c>
      <c r="U99" s="2"/>
      <c r="V99" s="19"/>
      <c r="W99" s="2"/>
      <c r="X99" s="2">
        <f t="shared" si="2"/>
        <v>938.11999999999989</v>
      </c>
      <c r="Y99" s="2"/>
      <c r="Z99" s="19">
        <f t="shared" si="3"/>
        <v>-0.61352726511713074</v>
      </c>
    </row>
    <row r="100" spans="1:26" s="24" customFormat="1" hidden="1" outlineLevel="1" x14ac:dyDescent="0.25">
      <c r="A100" s="44"/>
      <c r="B100" s="11" t="str">
        <f>CONCATENATE("          ", "4245", " - ", "SALES RETURN TAXABLE-SPECIAL O")</f>
        <v xml:space="preserve">          4245 - SALES RETURN TAXABLE-SPECIAL O</v>
      </c>
      <c r="C100" s="11"/>
      <c r="D100" s="2">
        <f>-45.89</f>
        <v>-45.89</v>
      </c>
      <c r="E100" s="2"/>
      <c r="F100" s="19"/>
      <c r="G100" s="2"/>
      <c r="H100" s="2">
        <f>0</f>
        <v>0</v>
      </c>
      <c r="I100" s="2"/>
      <c r="J100" s="19"/>
      <c r="K100" s="2"/>
      <c r="L100" s="2">
        <f t="shared" si="0"/>
        <v>-45.89</v>
      </c>
      <c r="M100" s="2"/>
      <c r="N100" s="19">
        <f t="shared" si="1"/>
        <v>0</v>
      </c>
      <c r="O100" s="11"/>
      <c r="P100" s="2">
        <f>-1592.82</f>
        <v>-1592.82</v>
      </c>
      <c r="Q100" s="2"/>
      <c r="R100" s="19"/>
      <c r="S100" s="2"/>
      <c r="T100" s="2">
        <f>-91.96</f>
        <v>-91.96</v>
      </c>
      <c r="U100" s="2"/>
      <c r="V100" s="19"/>
      <c r="W100" s="2"/>
      <c r="X100" s="2">
        <f t="shared" si="2"/>
        <v>-1500.86</v>
      </c>
      <c r="Y100" s="2"/>
      <c r="Z100" s="19">
        <f t="shared" si="3"/>
        <v>16.320791648542844</v>
      </c>
    </row>
    <row r="101" spans="1:26" s="24" customFormat="1" hidden="1" outlineLevel="1" x14ac:dyDescent="0.25">
      <c r="A101" s="44"/>
      <c r="B101" s="11" t="str">
        <f>CONCATENATE("          ", "4281", " - ", "SALES RETURN TAXABLE-ELECTRONI")</f>
        <v xml:space="preserve">          4281 - SALES RETURN TAXABLE-ELECTRONI</v>
      </c>
      <c r="C101" s="11"/>
      <c r="D101" s="2">
        <f>0</f>
        <v>0</v>
      </c>
      <c r="E101" s="2"/>
      <c r="F101" s="19"/>
      <c r="G101" s="2"/>
      <c r="H101" s="2">
        <f>-445.93</f>
        <v>-445.93</v>
      </c>
      <c r="I101" s="2"/>
      <c r="J101" s="19"/>
      <c r="K101" s="2"/>
      <c r="L101" s="2">
        <f t="shared" si="0"/>
        <v>445.93</v>
      </c>
      <c r="M101" s="2"/>
      <c r="N101" s="19">
        <f t="shared" si="1"/>
        <v>-1</v>
      </c>
      <c r="O101" s="11"/>
      <c r="P101" s="2">
        <f>-14632.15</f>
        <v>-14632.15</v>
      </c>
      <c r="Q101" s="2"/>
      <c r="R101" s="19"/>
      <c r="S101" s="2"/>
      <c r="T101" s="2">
        <f>-5047.06</f>
        <v>-5047.0600000000004</v>
      </c>
      <c r="U101" s="2"/>
      <c r="V101" s="19"/>
      <c r="W101" s="2"/>
      <c r="X101" s="2">
        <f t="shared" si="2"/>
        <v>-9585.09</v>
      </c>
      <c r="Y101" s="2"/>
      <c r="Z101" s="19">
        <f t="shared" si="3"/>
        <v>1.8991432636029688</v>
      </c>
    </row>
    <row r="102" spans="1:26" s="24" customFormat="1" hidden="1" outlineLevel="1" x14ac:dyDescent="0.25">
      <c r="A102" s="44"/>
      <c r="B102" s="11" t="str">
        <f>CONCATENATE("          ", "4282", " - ", "SALES RETURN TAXABLE-COMPUTER")</f>
        <v xml:space="preserve">          4282 - SALES RETURN TAXABLE-COMPUTER</v>
      </c>
      <c r="C102" s="11"/>
      <c r="D102" s="2">
        <f>-15761.01</f>
        <v>-15761.01</v>
      </c>
      <c r="E102" s="2"/>
      <c r="F102" s="19"/>
      <c r="G102" s="2"/>
      <c r="H102" s="2">
        <f>-10339.73</f>
        <v>-10339.73</v>
      </c>
      <c r="I102" s="2"/>
      <c r="J102" s="19"/>
      <c r="K102" s="2"/>
      <c r="L102" s="2">
        <f t="shared" si="0"/>
        <v>-5421.2800000000007</v>
      </c>
      <c r="M102" s="2"/>
      <c r="N102" s="19">
        <f t="shared" si="1"/>
        <v>0.52431543183429363</v>
      </c>
      <c r="O102" s="11"/>
      <c r="P102" s="2">
        <f>-84084.01</f>
        <v>-84084.01</v>
      </c>
      <c r="Q102" s="2"/>
      <c r="R102" s="19"/>
      <c r="S102" s="2"/>
      <c r="T102" s="2">
        <f>-180477.59</f>
        <v>-180477.59</v>
      </c>
      <c r="U102" s="2"/>
      <c r="V102" s="19"/>
      <c r="W102" s="2"/>
      <c r="X102" s="2">
        <f t="shared" si="2"/>
        <v>96393.58</v>
      </c>
      <c r="Y102" s="2"/>
      <c r="Z102" s="19">
        <f t="shared" si="3"/>
        <v>-0.53410276588910566</v>
      </c>
    </row>
    <row r="103" spans="1:26" s="24" customFormat="1" hidden="1" outlineLevel="1" x14ac:dyDescent="0.25">
      <c r="A103" s="44"/>
      <c r="B103" s="11" t="str">
        <f>CONCATENATE("          ", "4283", " - ", "SALES RETURN TAXABLE-COMPUTER")</f>
        <v xml:space="preserve">          4283 - SALES RETURN TAXABLE-COMPUTER</v>
      </c>
      <c r="C103" s="11"/>
      <c r="D103" s="2">
        <f>-678.96</f>
        <v>-678.96</v>
      </c>
      <c r="E103" s="2"/>
      <c r="F103" s="19"/>
      <c r="G103" s="2"/>
      <c r="H103" s="2">
        <f>-423.91</f>
        <v>-423.91</v>
      </c>
      <c r="I103" s="2"/>
      <c r="J103" s="19"/>
      <c r="K103" s="2"/>
      <c r="L103" s="2">
        <f t="shared" si="0"/>
        <v>-255.05</v>
      </c>
      <c r="M103" s="2"/>
      <c r="N103" s="19">
        <f t="shared" si="1"/>
        <v>0.60166072987190677</v>
      </c>
      <c r="O103" s="11"/>
      <c r="P103" s="2">
        <f>-3311.27</f>
        <v>-3311.27</v>
      </c>
      <c r="Q103" s="2"/>
      <c r="R103" s="19"/>
      <c r="S103" s="2"/>
      <c r="T103" s="2">
        <f>-2956.24</f>
        <v>-2956.24</v>
      </c>
      <c r="U103" s="2"/>
      <c r="V103" s="19"/>
      <c r="W103" s="2"/>
      <c r="X103" s="2">
        <f t="shared" si="2"/>
        <v>-355.0300000000002</v>
      </c>
      <c r="Y103" s="2"/>
      <c r="Z103" s="19">
        <f t="shared" si="3"/>
        <v>0.12009512082916145</v>
      </c>
    </row>
    <row r="104" spans="1:26" s="24" customFormat="1" hidden="1" outlineLevel="1" x14ac:dyDescent="0.25">
      <c r="A104" s="44"/>
      <c r="B104" s="11" t="str">
        <f>CONCATENATE("          ", "4284", " - ", "SALES RETURN TAXABLE-SOFTWARE")</f>
        <v xml:space="preserve">          4284 - SALES RETURN TAXABLE-SOFTWARE</v>
      </c>
      <c r="C104" s="11"/>
      <c r="D104" s="2">
        <f>0</f>
        <v>0</v>
      </c>
      <c r="E104" s="2"/>
      <c r="F104" s="19"/>
      <c r="G104" s="2"/>
      <c r="H104" s="2">
        <f t="shared" ref="H104:H105" si="18">0</f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0</f>
        <v>0</v>
      </c>
      <c r="Q104" s="2"/>
      <c r="R104" s="19"/>
      <c r="S104" s="2"/>
      <c r="T104" s="2">
        <f>-129</f>
        <v>-129</v>
      </c>
      <c r="U104" s="2"/>
      <c r="V104" s="19"/>
      <c r="W104" s="2"/>
      <c r="X104" s="2">
        <f t="shared" si="2"/>
        <v>129</v>
      </c>
      <c r="Y104" s="2"/>
      <c r="Z104" s="19">
        <f t="shared" si="3"/>
        <v>-1</v>
      </c>
    </row>
    <row r="105" spans="1:26" s="24" customFormat="1" hidden="1" outlineLevel="1" x14ac:dyDescent="0.25">
      <c r="A105" s="44"/>
      <c r="B105" s="11" t="str">
        <f>CONCATENATE("          ", "4285", " - ", "SALES RETURN TAXABLE-SOFTWARE")</f>
        <v xml:space="preserve">          4285 - SALES RETURN TAXABLE-SOFTWARE</v>
      </c>
      <c r="C105" s="11"/>
      <c r="D105" s="2">
        <f>-139</f>
        <v>-139</v>
      </c>
      <c r="E105" s="2"/>
      <c r="F105" s="19"/>
      <c r="G105" s="2"/>
      <c r="H105" s="2">
        <f t="shared" si="18"/>
        <v>0</v>
      </c>
      <c r="I105" s="2"/>
      <c r="J105" s="19"/>
      <c r="K105" s="2"/>
      <c r="L105" s="2">
        <f t="shared" si="0"/>
        <v>-139</v>
      </c>
      <c r="M105" s="2"/>
      <c r="N105" s="19">
        <f t="shared" si="1"/>
        <v>0</v>
      </c>
      <c r="O105" s="11"/>
      <c r="P105" s="2">
        <f>-691.98</f>
        <v>-691.98</v>
      </c>
      <c r="Q105" s="2"/>
      <c r="R105" s="19"/>
      <c r="S105" s="2"/>
      <c r="T105" s="2">
        <f>-655.98</f>
        <v>-655.98</v>
      </c>
      <c r="U105" s="2"/>
      <c r="V105" s="19"/>
      <c r="W105" s="2"/>
      <c r="X105" s="2">
        <f t="shared" si="2"/>
        <v>-36</v>
      </c>
      <c r="Y105" s="2"/>
      <c r="Z105" s="19">
        <f t="shared" si="3"/>
        <v>5.4879721942742155E-2</v>
      </c>
    </row>
    <row r="106" spans="1:26" s="24" customFormat="1" hidden="1" outlineLevel="1" x14ac:dyDescent="0.25">
      <c r="A106" s="44"/>
      <c r="B106" s="11" t="str">
        <f>CONCATENATE("          ", "4286", " - ", "SALES RETURN TAXABLE-COMPUTER")</f>
        <v xml:space="preserve">          4286 - SALES RETURN TAXABLE-COMPUTER</v>
      </c>
      <c r="C106" s="11"/>
      <c r="D106" s="2">
        <f>-9.99</f>
        <v>-9.99</v>
      </c>
      <c r="E106" s="2"/>
      <c r="F106" s="19"/>
      <c r="G106" s="2"/>
      <c r="H106" s="2">
        <f>-340.39</f>
        <v>-340.39</v>
      </c>
      <c r="I106" s="2"/>
      <c r="J106" s="19"/>
      <c r="K106" s="2"/>
      <c r="L106" s="2">
        <f t="shared" si="0"/>
        <v>330.4</v>
      </c>
      <c r="M106" s="2"/>
      <c r="N106" s="19">
        <f t="shared" si="1"/>
        <v>-0.97065131173066188</v>
      </c>
      <c r="O106" s="11"/>
      <c r="P106" s="2">
        <f>-581.35</f>
        <v>-581.35</v>
      </c>
      <c r="Q106" s="2"/>
      <c r="R106" s="19"/>
      <c r="S106" s="2"/>
      <c r="T106" s="2">
        <f>-2791.99</f>
        <v>-2791.99</v>
      </c>
      <c r="U106" s="2"/>
      <c r="V106" s="19"/>
      <c r="W106" s="2"/>
      <c r="X106" s="2">
        <f t="shared" si="2"/>
        <v>2210.64</v>
      </c>
      <c r="Y106" s="2"/>
      <c r="Z106" s="19">
        <f t="shared" si="3"/>
        <v>-0.79177934018388318</v>
      </c>
    </row>
    <row r="107" spans="1:26" s="24" customFormat="1" hidden="1" outlineLevel="1" x14ac:dyDescent="0.25">
      <c r="A107" s="44"/>
      <c r="B107" s="11" t="str">
        <f>CONCATENATE("          ", "4288", " - ", "TAXABLE SALES RETURN-MUSIC")</f>
        <v xml:space="preserve">          4288 - TAXABLE SALES RETURN-MUSIC</v>
      </c>
      <c r="C107" s="11"/>
      <c r="D107" s="2">
        <f t="shared" ref="D107:D110" si="19">0</f>
        <v>0</v>
      </c>
      <c r="E107" s="2"/>
      <c r="F107" s="19"/>
      <c r="G107" s="2"/>
      <c r="H107" s="2">
        <f>0</f>
        <v>0</v>
      </c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 t="shared" ref="P107:P109" si="20">0</f>
        <v>0</v>
      </c>
      <c r="Q107" s="2"/>
      <c r="R107" s="19"/>
      <c r="S107" s="2"/>
      <c r="T107" s="2">
        <f>-3.99</f>
        <v>-3.99</v>
      </c>
      <c r="U107" s="2"/>
      <c r="V107" s="19"/>
      <c r="W107" s="2"/>
      <c r="X107" s="2">
        <f t="shared" si="2"/>
        <v>3.99</v>
      </c>
      <c r="Y107" s="2"/>
      <c r="Z107" s="19">
        <f t="shared" si="3"/>
        <v>-1</v>
      </c>
    </row>
    <row r="108" spans="1:26" s="24" customFormat="1" hidden="1" outlineLevel="1" x14ac:dyDescent="0.25">
      <c r="A108" s="44"/>
      <c r="B108" s="11" t="str">
        <f>CONCATENATE("          ", "4292", " - ", "SALES RETURN TAXABLE-GRAD MERC")</f>
        <v xml:space="preserve">          4292 - SALES RETURN TAXABLE-GRAD MERC</v>
      </c>
      <c r="C108" s="11"/>
      <c r="D108" s="2">
        <f t="shared" si="19"/>
        <v>0</v>
      </c>
      <c r="E108" s="2"/>
      <c r="F108" s="19"/>
      <c r="G108" s="2"/>
      <c r="H108" s="2">
        <f>-9.95</f>
        <v>-9.9499999999999993</v>
      </c>
      <c r="I108" s="2"/>
      <c r="J108" s="19"/>
      <c r="K108" s="2"/>
      <c r="L108" s="2">
        <f t="shared" si="0"/>
        <v>9.9499999999999993</v>
      </c>
      <c r="M108" s="2"/>
      <c r="N108" s="19">
        <f t="shared" si="1"/>
        <v>-1</v>
      </c>
      <c r="O108" s="11"/>
      <c r="P108" s="2">
        <f t="shared" si="20"/>
        <v>0</v>
      </c>
      <c r="Q108" s="2"/>
      <c r="R108" s="19"/>
      <c r="S108" s="2"/>
      <c r="T108" s="2">
        <f>-419.05</f>
        <v>-419.05</v>
      </c>
      <c r="U108" s="2"/>
      <c r="V108" s="19"/>
      <c r="W108" s="2"/>
      <c r="X108" s="2">
        <f t="shared" si="2"/>
        <v>419.05</v>
      </c>
      <c r="Y108" s="2"/>
      <c r="Z108" s="19">
        <f t="shared" si="3"/>
        <v>-1</v>
      </c>
    </row>
    <row r="109" spans="1:26" s="24" customFormat="1" hidden="1" outlineLevel="1" x14ac:dyDescent="0.25">
      <c r="A109" s="44"/>
      <c r="B109" s="11" t="str">
        <f>CONCATENATE("          ", "4295", " - ", "SALES RETURN TAXABLE-CUSTOMER")</f>
        <v xml:space="preserve">          4295 - SALES RETURN TAXABLE-CUSTOMER</v>
      </c>
      <c r="C109" s="11"/>
      <c r="D109" s="2">
        <f t="shared" si="19"/>
        <v>0</v>
      </c>
      <c r="E109" s="2"/>
      <c r="F109" s="19"/>
      <c r="G109" s="2"/>
      <c r="H109" s="2">
        <f t="shared" ref="H109:H112" si="21">0</f>
        <v>0</v>
      </c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 t="shared" si="20"/>
        <v>0</v>
      </c>
      <c r="Q109" s="2"/>
      <c r="R109" s="19"/>
      <c r="S109" s="2"/>
      <c r="T109" s="2">
        <f>--0.99</f>
        <v>0.99</v>
      </c>
      <c r="U109" s="2"/>
      <c r="V109" s="19"/>
      <c r="W109" s="2"/>
      <c r="X109" s="2">
        <f t="shared" si="2"/>
        <v>-0.99</v>
      </c>
      <c r="Y109" s="2"/>
      <c r="Z109" s="19">
        <f t="shared" si="3"/>
        <v>-1</v>
      </c>
    </row>
    <row r="110" spans="1:26" s="24" customFormat="1" hidden="1" outlineLevel="1" x14ac:dyDescent="0.25">
      <c r="A110" s="44"/>
      <c r="B110" s="11" t="str">
        <f>CONCATENATE("          ", "4301", " - ", "SALES RETURN NON TAXABLE-NEW T")</f>
        <v xml:space="preserve">          4301 - SALES RETURN NON TAXABLE-NEW T</v>
      </c>
      <c r="C110" s="11"/>
      <c r="D110" s="2">
        <f t="shared" si="19"/>
        <v>0</v>
      </c>
      <c r="E110" s="2"/>
      <c r="F110" s="19"/>
      <c r="G110" s="2"/>
      <c r="H110" s="2">
        <f t="shared" si="21"/>
        <v>0</v>
      </c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-2376.17</f>
        <v>-2376.17</v>
      </c>
      <c r="Q110" s="2"/>
      <c r="R110" s="19"/>
      <c r="S110" s="2"/>
      <c r="T110" s="2">
        <f>-12310.98</f>
        <v>-12310.98</v>
      </c>
      <c r="U110" s="2"/>
      <c r="V110" s="19"/>
      <c r="W110" s="2"/>
      <c r="X110" s="2">
        <f t="shared" si="2"/>
        <v>9934.81</v>
      </c>
      <c r="Y110" s="2"/>
      <c r="Z110" s="19">
        <f t="shared" si="3"/>
        <v>-0.80698774589837685</v>
      </c>
    </row>
    <row r="111" spans="1:26" s="24" customFormat="1" hidden="1" outlineLevel="1" x14ac:dyDescent="0.25">
      <c r="A111" s="44"/>
      <c r="B111" s="11" t="str">
        <f>CONCATENATE("          ", "4302", " - ", "SALES RETURN NON TAXABLE-TEXT")</f>
        <v xml:space="preserve">          4302 - SALES RETURN NON TAXABLE-TEXT</v>
      </c>
      <c r="C111" s="11"/>
      <c r="D111" s="2">
        <f>-76.05</f>
        <v>-76.05</v>
      </c>
      <c r="E111" s="2"/>
      <c r="F111" s="19"/>
      <c r="G111" s="2"/>
      <c r="H111" s="2">
        <f t="shared" si="21"/>
        <v>0</v>
      </c>
      <c r="I111" s="2"/>
      <c r="J111" s="19"/>
      <c r="K111" s="2"/>
      <c r="L111" s="2">
        <f t="shared" si="0"/>
        <v>-76.05</v>
      </c>
      <c r="M111" s="2"/>
      <c r="N111" s="19">
        <f t="shared" si="1"/>
        <v>0</v>
      </c>
      <c r="O111" s="11"/>
      <c r="P111" s="2">
        <f>-1392.85</f>
        <v>-1392.85</v>
      </c>
      <c r="Q111" s="2"/>
      <c r="R111" s="19"/>
      <c r="S111" s="2"/>
      <c r="T111" s="2">
        <f>-683.8</f>
        <v>-683.8</v>
      </c>
      <c r="U111" s="2"/>
      <c r="V111" s="19"/>
      <c r="W111" s="2"/>
      <c r="X111" s="2">
        <f t="shared" si="2"/>
        <v>-709.05</v>
      </c>
      <c r="Y111" s="2"/>
      <c r="Z111" s="19">
        <f t="shared" si="3"/>
        <v>1.0369260017548991</v>
      </c>
    </row>
    <row r="112" spans="1:26" s="24" customFormat="1" hidden="1" outlineLevel="1" x14ac:dyDescent="0.25">
      <c r="A112" s="44"/>
      <c r="B112" s="11" t="str">
        <f>CONCATENATE("          ", "4303", " - ", "SALES RETURN NON-TAXABLE-RENTA")</f>
        <v xml:space="preserve">          4303 - SALES RETURN NON-TAXABLE-RENTA</v>
      </c>
      <c r="C112" s="11"/>
      <c r="D112" s="2">
        <f>0</f>
        <v>0</v>
      </c>
      <c r="E112" s="2"/>
      <c r="F112" s="19"/>
      <c r="G112" s="2"/>
      <c r="H112" s="2">
        <f t="shared" si="21"/>
        <v>0</v>
      </c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0</f>
        <v>0</v>
      </c>
      <c r="Q112" s="2"/>
      <c r="R112" s="19"/>
      <c r="S112" s="2"/>
      <c r="T112" s="2">
        <f>-184.99</f>
        <v>-184.99</v>
      </c>
      <c r="U112" s="2"/>
      <c r="V112" s="19"/>
      <c r="W112" s="2"/>
      <c r="X112" s="2">
        <f t="shared" si="2"/>
        <v>184.99</v>
      </c>
      <c r="Y112" s="2"/>
      <c r="Z112" s="19">
        <f t="shared" si="3"/>
        <v>-1</v>
      </c>
    </row>
    <row r="113" spans="1:26" s="24" customFormat="1" hidden="1" outlineLevel="1" x14ac:dyDescent="0.25">
      <c r="A113" s="44"/>
      <c r="B113" s="11" t="str">
        <f>CONCATENATE("          ", "4304", " - ", "SALES RETURN NON TAXABLE-DIGIT")</f>
        <v xml:space="preserve">          4304 - SALES RETURN NON TAXABLE-DIGIT</v>
      </c>
      <c r="C113" s="11"/>
      <c r="D113" s="2">
        <f>-176.43</f>
        <v>-176.43</v>
      </c>
      <c r="E113" s="2"/>
      <c r="F113" s="19"/>
      <c r="G113" s="2"/>
      <c r="H113" s="2">
        <f>-70.58</f>
        <v>-70.58</v>
      </c>
      <c r="I113" s="2"/>
      <c r="J113" s="19"/>
      <c r="K113" s="2"/>
      <c r="L113" s="2">
        <f t="shared" si="0"/>
        <v>-105.85000000000001</v>
      </c>
      <c r="M113" s="2"/>
      <c r="N113" s="19">
        <f t="shared" si="1"/>
        <v>1.4997166336072543</v>
      </c>
      <c r="O113" s="11"/>
      <c r="P113" s="2">
        <f>-14278.54</f>
        <v>-14278.54</v>
      </c>
      <c r="Q113" s="2"/>
      <c r="R113" s="19"/>
      <c r="S113" s="2"/>
      <c r="T113" s="2">
        <f>-13203.87</f>
        <v>-13203.87</v>
      </c>
      <c r="U113" s="2"/>
      <c r="V113" s="19"/>
      <c r="W113" s="2"/>
      <c r="X113" s="2">
        <f t="shared" si="2"/>
        <v>-1074.67</v>
      </c>
      <c r="Y113" s="2"/>
      <c r="Z113" s="19">
        <f t="shared" si="3"/>
        <v>8.1390531715322859E-2</v>
      </c>
    </row>
    <row r="114" spans="1:26" s="24" customFormat="1" hidden="1" outlineLevel="1" x14ac:dyDescent="0.25">
      <c r="A114" s="44"/>
      <c r="B114" s="11" t="str">
        <f>CONCATENATE("          ", "4311", " - ", "SALES RETURN NON TAXABLE-NO VA")</f>
        <v xml:space="preserve">          4311 - SALES RETURN NON TAXABLE-NO VA</v>
      </c>
      <c r="C114" s="11"/>
      <c r="D114" s="2">
        <f t="shared" ref="D114:D115" si="22">0</f>
        <v>0</v>
      </c>
      <c r="E114" s="2"/>
      <c r="F114" s="19"/>
      <c r="G114" s="2"/>
      <c r="H114" s="2">
        <f t="shared" ref="H114:H115" si="23">0</f>
        <v>0</v>
      </c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 t="shared" ref="P114:P115" si="24">0</f>
        <v>0</v>
      </c>
      <c r="Q114" s="2"/>
      <c r="R114" s="19"/>
      <c r="S114" s="2"/>
      <c r="T114" s="2">
        <f>-387.96</f>
        <v>-387.96</v>
      </c>
      <c r="U114" s="2"/>
      <c r="V114" s="19"/>
      <c r="W114" s="2"/>
      <c r="X114" s="2">
        <f t="shared" si="2"/>
        <v>387.96</v>
      </c>
      <c r="Y114" s="2"/>
      <c r="Z114" s="19">
        <f t="shared" si="3"/>
        <v>-1</v>
      </c>
    </row>
    <row r="115" spans="1:26" s="24" customFormat="1" hidden="1" outlineLevel="1" x14ac:dyDescent="0.25">
      <c r="A115" s="44"/>
      <c r="B115" s="11" t="str">
        <f>CONCATENATE("          ", "4327", " - ", "SALES RETURN NON TAXABLE-SCHOO")</f>
        <v xml:space="preserve">          4327 - SALES RETURN NON TAXABLE-SCHOO</v>
      </c>
      <c r="C115" s="11"/>
      <c r="D115" s="2">
        <f t="shared" si="22"/>
        <v>0</v>
      </c>
      <c r="E115" s="2"/>
      <c r="F115" s="19"/>
      <c r="G115" s="2"/>
      <c r="H115" s="2">
        <f t="shared" si="23"/>
        <v>0</v>
      </c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 t="shared" si="24"/>
        <v>0</v>
      </c>
      <c r="Q115" s="2"/>
      <c r="R115" s="19"/>
      <c r="S115" s="2"/>
      <c r="T115" s="2">
        <f>-21.87</f>
        <v>-21.87</v>
      </c>
      <c r="U115" s="2"/>
      <c r="V115" s="19"/>
      <c r="W115" s="2"/>
      <c r="X115" s="2">
        <f t="shared" si="2"/>
        <v>21.87</v>
      </c>
      <c r="Y115" s="2"/>
      <c r="Z115" s="19">
        <f t="shared" si="3"/>
        <v>-1</v>
      </c>
    </row>
    <row r="116" spans="1:26" s="24" customFormat="1" hidden="1" outlineLevel="1" x14ac:dyDescent="0.25">
      <c r="A116" s="44"/>
      <c r="B116" s="11" t="str">
        <f>CONCATENATE("          ", "4340", " - ", "SALES RETURN NON TAXABLE-LOGO")</f>
        <v xml:space="preserve">          4340 - SALES RETURN NON TAXABLE-LOGO</v>
      </c>
      <c r="C116" s="11"/>
      <c r="D116" s="2">
        <f>-203.75</f>
        <v>-203.75</v>
      </c>
      <c r="E116" s="2"/>
      <c r="F116" s="19"/>
      <c r="G116" s="2"/>
      <c r="H116" s="2">
        <f>-29.95</f>
        <v>-29.95</v>
      </c>
      <c r="I116" s="2"/>
      <c r="J116" s="19"/>
      <c r="K116" s="2"/>
      <c r="L116" s="2">
        <f t="shared" si="0"/>
        <v>-173.8</v>
      </c>
      <c r="M116" s="2"/>
      <c r="N116" s="19">
        <f t="shared" si="1"/>
        <v>5.8030050083472462</v>
      </c>
      <c r="O116" s="11"/>
      <c r="P116" s="2">
        <f>-940.48</f>
        <v>-940.48</v>
      </c>
      <c r="Q116" s="2"/>
      <c r="R116" s="19"/>
      <c r="S116" s="2"/>
      <c r="T116" s="2">
        <f>-323.4</f>
        <v>-323.39999999999998</v>
      </c>
      <c r="U116" s="2"/>
      <c r="V116" s="19"/>
      <c r="W116" s="2"/>
      <c r="X116" s="2">
        <f t="shared" si="2"/>
        <v>-617.08000000000004</v>
      </c>
      <c r="Y116" s="2"/>
      <c r="Z116" s="19">
        <f t="shared" si="3"/>
        <v>1.9081014223871369</v>
      </c>
    </row>
    <row r="117" spans="1:26" s="24" customFormat="1" hidden="1" outlineLevel="1" x14ac:dyDescent="0.25">
      <c r="A117" s="44"/>
      <c r="B117" s="11" t="str">
        <f>CONCATENATE("          ", "4341", " - ", "SALES RETURN NON TAXABLE-LOGO")</f>
        <v xml:space="preserve">          4341 - SALES RETURN NON TAXABLE-LOGO</v>
      </c>
      <c r="C117" s="11"/>
      <c r="D117" s="2">
        <f>-154.89</f>
        <v>-154.88999999999999</v>
      </c>
      <c r="E117" s="2"/>
      <c r="F117" s="19"/>
      <c r="G117" s="2"/>
      <c r="H117" s="2">
        <f>0</f>
        <v>0</v>
      </c>
      <c r="I117" s="2"/>
      <c r="J117" s="19"/>
      <c r="K117" s="2"/>
      <c r="L117" s="2">
        <f t="shared" si="0"/>
        <v>-154.88999999999999</v>
      </c>
      <c r="M117" s="2"/>
      <c r="N117" s="19">
        <f t="shared" si="1"/>
        <v>0</v>
      </c>
      <c r="O117" s="11"/>
      <c r="P117" s="2">
        <f>-301.79</f>
        <v>-301.79000000000002</v>
      </c>
      <c r="Q117" s="2"/>
      <c r="R117" s="19"/>
      <c r="S117" s="2"/>
      <c r="T117" s="2">
        <f>-10.9</f>
        <v>-10.9</v>
      </c>
      <c r="U117" s="2"/>
      <c r="V117" s="19"/>
      <c r="W117" s="2"/>
      <c r="X117" s="2">
        <f t="shared" si="2"/>
        <v>-290.89000000000004</v>
      </c>
      <c r="Y117" s="2"/>
      <c r="Z117" s="19">
        <f t="shared" si="3"/>
        <v>26.687155963302754</v>
      </c>
    </row>
    <row r="118" spans="1:26" s="24" customFormat="1" hidden="1" outlineLevel="1" x14ac:dyDescent="0.25">
      <c r="A118" s="44"/>
      <c r="B118" s="11" t="str">
        <f>CONCATENATE("          ", "4342", " - ", "SALES RETURN NON TAXABLE-EVERY")</f>
        <v xml:space="preserve">          4342 - SALES RETURN NON TAXABLE-EVERY</v>
      </c>
      <c r="C118" s="11"/>
      <c r="D118" s="2">
        <f t="shared" ref="D118:D122" si="25">0</f>
        <v>0</v>
      </c>
      <c r="E118" s="2"/>
      <c r="F118" s="19"/>
      <c r="G118" s="2"/>
      <c r="H118" s="2">
        <f>-6.95</f>
        <v>-6.95</v>
      </c>
      <c r="I118" s="2"/>
      <c r="J118" s="19"/>
      <c r="K118" s="2"/>
      <c r="L118" s="2">
        <f t="shared" si="0"/>
        <v>6.95</v>
      </c>
      <c r="M118" s="2"/>
      <c r="N118" s="19">
        <f t="shared" si="1"/>
        <v>-1</v>
      </c>
      <c r="O118" s="11"/>
      <c r="P118" s="2">
        <f>-118.7</f>
        <v>-118.7</v>
      </c>
      <c r="Q118" s="2"/>
      <c r="R118" s="19"/>
      <c r="S118" s="2"/>
      <c r="T118" s="2">
        <f>-109.8</f>
        <v>-109.8</v>
      </c>
      <c r="U118" s="2"/>
      <c r="V118" s="19"/>
      <c r="W118" s="2"/>
      <c r="X118" s="2">
        <f t="shared" si="2"/>
        <v>-8.9000000000000057</v>
      </c>
      <c r="Y118" s="2"/>
      <c r="Z118" s="19">
        <f t="shared" si="3"/>
        <v>8.1056466302367999E-2</v>
      </c>
    </row>
    <row r="119" spans="1:26" s="24" customFormat="1" hidden="1" outlineLevel="1" x14ac:dyDescent="0.25">
      <c r="A119" s="44"/>
      <c r="B119" s="11" t="str">
        <f>CONCATENATE("          ", "4346", " - ", "SALES RETURN NON TAXABLE-COIN-")</f>
        <v xml:space="preserve">          4346 - SALES RETURN NON TAXABLE-COIN-</v>
      </c>
      <c r="C119" s="11"/>
      <c r="D119" s="2">
        <f t="shared" si="25"/>
        <v>0</v>
      </c>
      <c r="E119" s="2"/>
      <c r="F119" s="19"/>
      <c r="G119" s="2"/>
      <c r="H119" s="2">
        <f t="shared" ref="H119:H122" si="26">0</f>
        <v>0</v>
      </c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>0</f>
        <v>0</v>
      </c>
      <c r="Q119" s="2"/>
      <c r="R119" s="19"/>
      <c r="S119" s="2"/>
      <c r="T119" s="2">
        <f>-8.15</f>
        <v>-8.15</v>
      </c>
      <c r="U119" s="2"/>
      <c r="V119" s="19"/>
      <c r="W119" s="2"/>
      <c r="X119" s="2">
        <f t="shared" si="2"/>
        <v>8.15</v>
      </c>
      <c r="Y119" s="2"/>
      <c r="Z119" s="19">
        <f t="shared" si="3"/>
        <v>-1</v>
      </c>
    </row>
    <row r="120" spans="1:26" s="24" customFormat="1" hidden="1" outlineLevel="1" x14ac:dyDescent="0.25">
      <c r="A120" s="44"/>
      <c r="B120" s="11" t="str">
        <f>CONCATENATE("          ", "4381", " - ", "SALES RETURN NON TAXABLE-ELECT")</f>
        <v xml:space="preserve">          4381 - SALES RETURN NON TAXABLE-ELECT</v>
      </c>
      <c r="C120" s="11"/>
      <c r="D120" s="2">
        <f t="shared" si="25"/>
        <v>0</v>
      </c>
      <c r="E120" s="2"/>
      <c r="F120" s="19"/>
      <c r="G120" s="2"/>
      <c r="H120" s="2">
        <f t="shared" si="26"/>
        <v>0</v>
      </c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-5624.15</f>
        <v>-5624.15</v>
      </c>
      <c r="Q120" s="2"/>
      <c r="R120" s="19"/>
      <c r="S120" s="2"/>
      <c r="T120" s="2">
        <f>-1279.84</f>
        <v>-1279.8399999999999</v>
      </c>
      <c r="U120" s="2"/>
      <c r="V120" s="19"/>
      <c r="W120" s="2"/>
      <c r="X120" s="2">
        <f t="shared" si="2"/>
        <v>-4344.3099999999995</v>
      </c>
      <c r="Y120" s="2"/>
      <c r="Z120" s="19">
        <f t="shared" si="3"/>
        <v>3.3944164895611948</v>
      </c>
    </row>
    <row r="121" spans="1:26" s="24" customFormat="1" hidden="1" outlineLevel="1" x14ac:dyDescent="0.25">
      <c r="A121" s="44"/>
      <c r="B121" s="11" t="str">
        <f>CONCATENATE("          ", "4383", " - ", "SALES RETURN NON TAXABLE-COMPU")</f>
        <v xml:space="preserve">          4383 - SALES RETURN NON TAXABLE-COMPU</v>
      </c>
      <c r="C121" s="11"/>
      <c r="D121" s="2">
        <f t="shared" si="25"/>
        <v>0</v>
      </c>
      <c r="E121" s="2"/>
      <c r="F121" s="19"/>
      <c r="G121" s="2"/>
      <c r="H121" s="2">
        <f t="shared" si="26"/>
        <v>0</v>
      </c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1"/>
      <c r="P121" s="2">
        <f t="shared" ref="P121:P122" si="27">0</f>
        <v>0</v>
      </c>
      <c r="Q121" s="2"/>
      <c r="R121" s="19"/>
      <c r="S121" s="2"/>
      <c r="T121" s="2">
        <f>-49.98</f>
        <v>-49.98</v>
      </c>
      <c r="U121" s="2"/>
      <c r="V121" s="19"/>
      <c r="W121" s="2"/>
      <c r="X121" s="2">
        <f t="shared" si="2"/>
        <v>49.98</v>
      </c>
      <c r="Y121" s="2"/>
      <c r="Z121" s="19">
        <f t="shared" si="3"/>
        <v>-1</v>
      </c>
    </row>
    <row r="122" spans="1:26" s="24" customFormat="1" hidden="1" outlineLevel="1" x14ac:dyDescent="0.25">
      <c r="A122" s="44"/>
      <c r="B122" s="11" t="str">
        <f>CONCATENATE("          ", "4386", " - ", "SALES RETURN NON TAXABLE-COMPU")</f>
        <v xml:space="preserve">          4386 - SALES RETURN NON TAXABLE-COMPU</v>
      </c>
      <c r="C122" s="11"/>
      <c r="D122" s="2">
        <f t="shared" si="25"/>
        <v>0</v>
      </c>
      <c r="E122" s="2"/>
      <c r="F122" s="19"/>
      <c r="G122" s="2"/>
      <c r="H122" s="2">
        <f t="shared" si="26"/>
        <v>0</v>
      </c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1"/>
      <c r="P122" s="2">
        <f t="shared" si="27"/>
        <v>0</v>
      </c>
      <c r="Q122" s="2"/>
      <c r="R122" s="19"/>
      <c r="S122" s="2"/>
      <c r="T122" s="2">
        <f>-54.97</f>
        <v>-54.97</v>
      </c>
      <c r="U122" s="2"/>
      <c r="V122" s="19"/>
      <c r="W122" s="2"/>
      <c r="X122" s="2">
        <f t="shared" si="2"/>
        <v>54.97</v>
      </c>
      <c r="Y122" s="2"/>
      <c r="Z122" s="19">
        <f t="shared" si="3"/>
        <v>-1</v>
      </c>
    </row>
    <row r="123" spans="1:26" x14ac:dyDescent="0.25">
      <c r="A123" s="9"/>
      <c r="B123" s="10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collapsed="1" x14ac:dyDescent="0.25">
      <c r="A124" s="10"/>
      <c r="B124" s="29" t="s">
        <v>8</v>
      </c>
      <c r="C124" s="10"/>
      <c r="D124" s="4">
        <f>SUM(OSRRefD16x_0)</f>
        <v>121707.93999999999</v>
      </c>
      <c r="E124" s="4"/>
      <c r="F124" s="12">
        <f t="shared" ref="F124:F181" si="28">IF(D$12=0,0,D124/D$12)</f>
        <v>0.71276759910146781</v>
      </c>
      <c r="G124" s="4"/>
      <c r="H124" s="4">
        <f>SUM(OSRRefH16x_0)</f>
        <v>347490.74000000022</v>
      </c>
      <c r="I124" s="4"/>
      <c r="J124" s="12">
        <f t="shared" ref="J124:J181" si="29">IF(H$12=0,0,H124/H$12)</f>
        <v>0.56887061309466402</v>
      </c>
      <c r="K124" s="4"/>
      <c r="L124" s="4">
        <f t="shared" ref="L124:L181" si="30">+D124-H124</f>
        <v>-225782.80000000022</v>
      </c>
      <c r="M124" s="4"/>
      <c r="N124" s="12">
        <f t="shared" ref="N124:N181" si="31">IF(H124=0,0,L124/H124)</f>
        <v>-0.6497519905134741</v>
      </c>
      <c r="O124" s="10"/>
      <c r="P124" s="4">
        <f>SUM(OSRRefP16x_0)</f>
        <v>2743412.87</v>
      </c>
      <c r="Q124" s="4"/>
      <c r="R124" s="12">
        <f t="shared" ref="R124:R181" si="32">IF(P$12=0,0,P124/P$12)</f>
        <v>0.74938498628181727</v>
      </c>
      <c r="S124" s="4"/>
      <c r="T124" s="4">
        <f>SUM(OSRRefT16x_0)</f>
        <v>4362764.9600000009</v>
      </c>
      <c r="U124" s="4"/>
      <c r="V124" s="12">
        <f t="shared" ref="V124:V181" si="33">IF(T$12=0,0,T124/T$12)</f>
        <v>0.66403689829471801</v>
      </c>
      <c r="W124" s="4"/>
      <c r="X124" s="4">
        <f t="shared" ref="X124:X181" si="34">+P124-T124</f>
        <v>-1619352.0900000008</v>
      </c>
      <c r="Y124" s="4"/>
      <c r="Z124" s="12">
        <f t="shared" ref="Z124:Z181" si="35">IF(T124=0,0,X124/T124)</f>
        <v>-0.37117564316368773</v>
      </c>
    </row>
    <row r="125" spans="1:26" s="24" customFormat="1" hidden="1" outlineLevel="1" x14ac:dyDescent="0.25">
      <c r="A125" s="44"/>
      <c r="B125" s="11" t="str">
        <f>CONCATENATE("          ", "5001", " - ", "PURCHASES @ COST-NEW TEXT")</f>
        <v xml:space="preserve">          5001 - PURCHASES @ COST-NEW TEXT</v>
      </c>
      <c r="C125" s="11"/>
      <c r="D125" s="2">
        <v>-108601.35</v>
      </c>
      <c r="E125" s="2"/>
      <c r="F125" s="19">
        <f t="shared" si="28"/>
        <v>-0.6360104648774616</v>
      </c>
      <c r="G125" s="2"/>
      <c r="H125" s="2">
        <v>-175297.72999999998</v>
      </c>
      <c r="I125" s="2"/>
      <c r="J125" s="19">
        <f t="shared" si="29"/>
        <v>-0.28697664616675195</v>
      </c>
      <c r="K125" s="2"/>
      <c r="L125" s="2">
        <f t="shared" si="30"/>
        <v>66696.379999999976</v>
      </c>
      <c r="M125" s="2"/>
      <c r="N125" s="19">
        <f t="shared" si="31"/>
        <v>-0.38047486410691106</v>
      </c>
      <c r="O125" s="11"/>
      <c r="P125" s="2">
        <v>1240595.48</v>
      </c>
      <c r="Q125" s="2"/>
      <c r="R125" s="19">
        <f t="shared" si="32"/>
        <v>0.33887849580624169</v>
      </c>
      <c r="S125" s="2"/>
      <c r="T125" s="2">
        <v>1581850.69</v>
      </c>
      <c r="U125" s="2"/>
      <c r="V125" s="19">
        <f t="shared" si="33"/>
        <v>0.2407664028164743</v>
      </c>
      <c r="W125" s="2"/>
      <c r="X125" s="2">
        <f t="shared" si="34"/>
        <v>-341255.20999999996</v>
      </c>
      <c r="Y125" s="2"/>
      <c r="Z125" s="19">
        <f t="shared" si="35"/>
        <v>-0.21573161876611754</v>
      </c>
    </row>
    <row r="126" spans="1:26" s="24" customFormat="1" hidden="1" outlineLevel="1" x14ac:dyDescent="0.25">
      <c r="A126" s="44"/>
      <c r="B126" s="11" t="str">
        <f>CONCATENATE("          ", "5002", " - ", "PURCHASES @ COST-USED TEXT")</f>
        <v xml:space="preserve">          5002 - PURCHASES @ COST-USED TEXT</v>
      </c>
      <c r="C126" s="11"/>
      <c r="D126" s="2">
        <v>-208829.28</v>
      </c>
      <c r="E126" s="2"/>
      <c r="F126" s="19">
        <f t="shared" si="28"/>
        <v>-1.2229830241781119</v>
      </c>
      <c r="G126" s="2"/>
      <c r="H126" s="2">
        <v>-155785.26999999999</v>
      </c>
      <c r="I126" s="2"/>
      <c r="J126" s="19">
        <f t="shared" si="29"/>
        <v>-0.25503316162041528</v>
      </c>
      <c r="K126" s="2"/>
      <c r="L126" s="2">
        <f t="shared" si="30"/>
        <v>-53044.010000000009</v>
      </c>
      <c r="M126" s="2"/>
      <c r="N126" s="19">
        <f t="shared" si="31"/>
        <v>0.34049438692117689</v>
      </c>
      <c r="O126" s="11"/>
      <c r="P126" s="2">
        <v>94234.05</v>
      </c>
      <c r="Q126" s="2"/>
      <c r="R126" s="19">
        <f t="shared" si="32"/>
        <v>2.5740778225090882E-2</v>
      </c>
      <c r="S126" s="2"/>
      <c r="T126" s="2">
        <v>212247.9</v>
      </c>
      <c r="U126" s="2"/>
      <c r="V126" s="19">
        <f t="shared" si="33"/>
        <v>3.230530144937431E-2</v>
      </c>
      <c r="W126" s="2"/>
      <c r="X126" s="2">
        <f t="shared" si="34"/>
        <v>-118013.84999999999</v>
      </c>
      <c r="Y126" s="2"/>
      <c r="Z126" s="19">
        <f t="shared" si="35"/>
        <v>-0.55601892880918957</v>
      </c>
    </row>
    <row r="127" spans="1:26" s="24" customFormat="1" hidden="1" outlineLevel="1" x14ac:dyDescent="0.25">
      <c r="A127" s="44"/>
      <c r="B127" s="11" t="str">
        <f>CONCATENATE("          ", "5003", " - ", "PURCHASES @ COST-RENTAL TEXT")</f>
        <v xml:space="preserve">          5003 - PURCHASES @ COST-RENTAL TEXT</v>
      </c>
      <c r="C127" s="11"/>
      <c r="D127" s="2">
        <v>517.92999999999995</v>
      </c>
      <c r="E127" s="2"/>
      <c r="F127" s="19">
        <f t="shared" si="28"/>
        <v>3.0331934186267817E-3</v>
      </c>
      <c r="G127" s="2"/>
      <c r="H127" s="2"/>
      <c r="I127" s="2"/>
      <c r="J127" s="19">
        <f t="shared" si="29"/>
        <v>0</v>
      </c>
      <c r="K127" s="2"/>
      <c r="L127" s="2">
        <f t="shared" si="30"/>
        <v>517.92999999999995</v>
      </c>
      <c r="M127" s="2"/>
      <c r="N127" s="19">
        <f t="shared" si="31"/>
        <v>0</v>
      </c>
      <c r="O127" s="11"/>
      <c r="P127" s="2">
        <v>32.520000000000003</v>
      </c>
      <c r="Q127" s="2"/>
      <c r="R127" s="19">
        <f t="shared" si="32"/>
        <v>8.8830959497119728E-6</v>
      </c>
      <c r="S127" s="2"/>
      <c r="T127" s="2">
        <v>-78.400000000000006</v>
      </c>
      <c r="U127" s="2"/>
      <c r="V127" s="19">
        <f t="shared" si="33"/>
        <v>-1.1932912568892066E-5</v>
      </c>
      <c r="W127" s="2"/>
      <c r="X127" s="2">
        <f t="shared" si="34"/>
        <v>110.92000000000002</v>
      </c>
      <c r="Y127" s="2"/>
      <c r="Z127" s="19">
        <f t="shared" si="35"/>
        <v>-1.4147959183673471</v>
      </c>
    </row>
    <row r="128" spans="1:26" s="24" customFormat="1" hidden="1" outlineLevel="1" x14ac:dyDescent="0.25">
      <c r="A128" s="44"/>
      <c r="B128" s="11" t="str">
        <f>CONCATENATE("          ", "5004", " - ", "PURCHASES @ COST-DIGITAL TEXT")</f>
        <v xml:space="preserve">          5004 - PURCHASES @ COST-DIGITAL TEXT</v>
      </c>
      <c r="C128" s="11"/>
      <c r="D128" s="2">
        <v>1418.58</v>
      </c>
      <c r="E128" s="2"/>
      <c r="F128" s="19">
        <f t="shared" si="28"/>
        <v>8.3077395010823472E-3</v>
      </c>
      <c r="G128" s="2"/>
      <c r="H128" s="2">
        <v>0.94</v>
      </c>
      <c r="I128" s="2"/>
      <c r="J128" s="19">
        <f t="shared" si="29"/>
        <v>1.5388564780430804E-6</v>
      </c>
      <c r="K128" s="2"/>
      <c r="L128" s="2">
        <f t="shared" si="30"/>
        <v>1417.6399999999999</v>
      </c>
      <c r="M128" s="2"/>
      <c r="N128" s="19">
        <f t="shared" si="31"/>
        <v>1508.127659574468</v>
      </c>
      <c r="O128" s="11"/>
      <c r="P128" s="2">
        <v>196938.11000000002</v>
      </c>
      <c r="Q128" s="2"/>
      <c r="R128" s="19">
        <f t="shared" si="32"/>
        <v>5.3795206866080289E-2</v>
      </c>
      <c r="S128" s="2"/>
      <c r="T128" s="2">
        <v>322779.97000000003</v>
      </c>
      <c r="U128" s="2"/>
      <c r="V128" s="19">
        <f t="shared" si="33"/>
        <v>4.9128892359688828E-2</v>
      </c>
      <c r="W128" s="2"/>
      <c r="X128" s="2">
        <f t="shared" si="34"/>
        <v>-125841.86000000002</v>
      </c>
      <c r="Y128" s="2"/>
      <c r="Z128" s="19">
        <f t="shared" si="35"/>
        <v>-0.3898688633002847</v>
      </c>
    </row>
    <row r="129" spans="1:26" s="24" customFormat="1" hidden="1" outlineLevel="1" x14ac:dyDescent="0.25">
      <c r="A129" s="44"/>
      <c r="B129" s="11" t="str">
        <f>CONCATENATE("          ", "5011", " - ", "PURCHASES @ COST-NO VALUE TEXT")</f>
        <v xml:space="preserve">          5011 - PURCHASES @ COST-NO VALUE TEXT</v>
      </c>
      <c r="C129" s="11"/>
      <c r="D129" s="2"/>
      <c r="E129" s="2"/>
      <c r="F129" s="19">
        <f t="shared" si="28"/>
        <v>0</v>
      </c>
      <c r="G129" s="2"/>
      <c r="H129" s="2">
        <v>66</v>
      </c>
      <c r="I129" s="2"/>
      <c r="J129" s="19">
        <f t="shared" si="29"/>
        <v>1.0804736973493969E-4</v>
      </c>
      <c r="K129" s="2"/>
      <c r="L129" s="2">
        <f t="shared" si="30"/>
        <v>-66</v>
      </c>
      <c r="M129" s="2"/>
      <c r="N129" s="19">
        <f t="shared" si="31"/>
        <v>-1</v>
      </c>
      <c r="O129" s="11"/>
      <c r="P129" s="2">
        <v>67.17</v>
      </c>
      <c r="Q129" s="2"/>
      <c r="R129" s="19">
        <f t="shared" si="32"/>
        <v>1.8348018294654157E-5</v>
      </c>
      <c r="S129" s="2"/>
      <c r="T129" s="2">
        <v>3741</v>
      </c>
      <c r="U129" s="2"/>
      <c r="V129" s="19">
        <f t="shared" si="33"/>
        <v>5.6940084081919917E-4</v>
      </c>
      <c r="W129" s="2"/>
      <c r="X129" s="2">
        <f t="shared" si="34"/>
        <v>-3673.83</v>
      </c>
      <c r="Y129" s="2"/>
      <c r="Z129" s="19">
        <f t="shared" si="35"/>
        <v>-0.98204490777866882</v>
      </c>
    </row>
    <row r="130" spans="1:26" s="24" customFormat="1" hidden="1" outlineLevel="1" x14ac:dyDescent="0.25">
      <c r="A130" s="44"/>
      <c r="B130" s="11" t="str">
        <f>CONCATENATE("          ", "5013", " - ", "PURCHASES @ COST-TRADE BOOKS")</f>
        <v xml:space="preserve">          5013 - PURCHASES @ COST-TRADE BOOKS</v>
      </c>
      <c r="C130" s="11"/>
      <c r="D130" s="2">
        <v>611.1</v>
      </c>
      <c r="E130" s="2"/>
      <c r="F130" s="19">
        <f t="shared" si="28"/>
        <v>3.5788320779310458E-3</v>
      </c>
      <c r="G130" s="2"/>
      <c r="H130" s="2">
        <v>10.79</v>
      </c>
      <c r="I130" s="2"/>
      <c r="J130" s="19">
        <f t="shared" si="29"/>
        <v>1.7664107870303018E-5</v>
      </c>
      <c r="K130" s="2"/>
      <c r="L130" s="2">
        <f t="shared" si="30"/>
        <v>600.31000000000006</v>
      </c>
      <c r="M130" s="2"/>
      <c r="N130" s="19">
        <f t="shared" si="31"/>
        <v>55.63577386468954</v>
      </c>
      <c r="O130" s="11"/>
      <c r="P130" s="2">
        <v>2094.7399999999998</v>
      </c>
      <c r="Q130" s="2"/>
      <c r="R130" s="19">
        <f t="shared" si="32"/>
        <v>5.721948465467299E-4</v>
      </c>
      <c r="S130" s="2"/>
      <c r="T130" s="2">
        <v>698.14</v>
      </c>
      <c r="U130" s="2"/>
      <c r="V130" s="19">
        <f t="shared" si="33"/>
        <v>1.0626075995977431E-4</v>
      </c>
      <c r="W130" s="2"/>
      <c r="X130" s="2">
        <f t="shared" si="34"/>
        <v>1396.6</v>
      </c>
      <c r="Y130" s="2"/>
      <c r="Z130" s="19">
        <f t="shared" si="35"/>
        <v>2.0004583607872344</v>
      </c>
    </row>
    <row r="131" spans="1:26" s="24" customFormat="1" hidden="1" outlineLevel="1" x14ac:dyDescent="0.25">
      <c r="A131" s="44"/>
      <c r="B131" s="11" t="str">
        <f>CONCATENATE("          ", "5014", " - ", "PURCHASES @ COST-REMAINDERS")</f>
        <v xml:space="preserve">          5014 - PURCHASES @ COST-REMAINDERS</v>
      </c>
      <c r="C131" s="11"/>
      <c r="D131" s="2"/>
      <c r="E131" s="2"/>
      <c r="F131" s="19">
        <f t="shared" si="28"/>
        <v>0</v>
      </c>
      <c r="G131" s="2"/>
      <c r="H131" s="2">
        <v>114.84</v>
      </c>
      <c r="I131" s="2"/>
      <c r="J131" s="19">
        <f t="shared" si="29"/>
        <v>1.8800242333879508E-4</v>
      </c>
      <c r="K131" s="2"/>
      <c r="L131" s="2">
        <f t="shared" si="30"/>
        <v>-114.84</v>
      </c>
      <c r="M131" s="2"/>
      <c r="N131" s="19">
        <f t="shared" si="31"/>
        <v>-1</v>
      </c>
      <c r="O131" s="11"/>
      <c r="P131" s="2">
        <v>90.41</v>
      </c>
      <c r="Q131" s="2"/>
      <c r="R131" s="19">
        <f t="shared" si="32"/>
        <v>2.4696208635100226E-5</v>
      </c>
      <c r="S131" s="2"/>
      <c r="T131" s="2">
        <v>456.81</v>
      </c>
      <c r="U131" s="2"/>
      <c r="V131" s="19">
        <f t="shared" si="33"/>
        <v>6.9529002431066122E-5</v>
      </c>
      <c r="W131" s="2"/>
      <c r="X131" s="2">
        <f t="shared" si="34"/>
        <v>-366.4</v>
      </c>
      <c r="Y131" s="2"/>
      <c r="Z131" s="19">
        <f t="shared" si="35"/>
        <v>-0.80208401742518765</v>
      </c>
    </row>
    <row r="132" spans="1:26" s="24" customFormat="1" hidden="1" outlineLevel="1" x14ac:dyDescent="0.25">
      <c r="A132" s="44"/>
      <c r="B132" s="11" t="str">
        <f>CONCATENATE("          ", "5017", " - ", "PURCHASES @ COST-DORM/HOUSEWAR")</f>
        <v xml:space="preserve">          5017 - PURCHASES @ COST-DORM/HOUSEWAR</v>
      </c>
      <c r="C132" s="11"/>
      <c r="D132" s="2"/>
      <c r="E132" s="2"/>
      <c r="F132" s="19">
        <f t="shared" si="28"/>
        <v>0</v>
      </c>
      <c r="G132" s="2"/>
      <c r="H132" s="2"/>
      <c r="I132" s="2"/>
      <c r="J132" s="19">
        <f t="shared" si="29"/>
        <v>0</v>
      </c>
      <c r="K132" s="2"/>
      <c r="L132" s="2">
        <f t="shared" si="30"/>
        <v>0</v>
      </c>
      <c r="M132" s="2"/>
      <c r="N132" s="19">
        <f t="shared" si="31"/>
        <v>0</v>
      </c>
      <c r="O132" s="11"/>
      <c r="P132" s="2"/>
      <c r="Q132" s="2"/>
      <c r="R132" s="19">
        <f t="shared" si="32"/>
        <v>0</v>
      </c>
      <c r="S132" s="2"/>
      <c r="T132" s="2">
        <v>0</v>
      </c>
      <c r="U132" s="2"/>
      <c r="V132" s="19">
        <f t="shared" si="33"/>
        <v>0</v>
      </c>
      <c r="W132" s="2"/>
      <c r="X132" s="2">
        <f t="shared" si="34"/>
        <v>0</v>
      </c>
      <c r="Y132" s="2"/>
      <c r="Z132" s="19">
        <f t="shared" si="35"/>
        <v>0</v>
      </c>
    </row>
    <row r="133" spans="1:26" s="24" customFormat="1" hidden="1" outlineLevel="1" x14ac:dyDescent="0.25">
      <c r="A133" s="44"/>
      <c r="B133" s="11" t="str">
        <f>CONCATENATE("          ", "5018", " - ", "PURCHASES @ COST-STUDY GUIDES")</f>
        <v xml:space="preserve">          5018 - PURCHASES @ COST-STUDY GUIDES</v>
      </c>
      <c r="C133" s="11"/>
      <c r="D133" s="2">
        <v>106.34</v>
      </c>
      <c r="E133" s="2"/>
      <c r="F133" s="19">
        <f t="shared" si="28"/>
        <v>6.2276714640351397E-4</v>
      </c>
      <c r="G133" s="2"/>
      <c r="H133" s="2"/>
      <c r="I133" s="2"/>
      <c r="J133" s="19">
        <f t="shared" si="29"/>
        <v>0</v>
      </c>
      <c r="K133" s="2"/>
      <c r="L133" s="2">
        <f t="shared" si="30"/>
        <v>106.34</v>
      </c>
      <c r="M133" s="2"/>
      <c r="N133" s="19">
        <f t="shared" si="31"/>
        <v>0</v>
      </c>
      <c r="O133" s="11"/>
      <c r="P133" s="2">
        <v>106.34</v>
      </c>
      <c r="Q133" s="2"/>
      <c r="R133" s="19">
        <f t="shared" si="32"/>
        <v>2.9047614492385339E-5</v>
      </c>
      <c r="S133" s="2"/>
      <c r="T133" s="2">
        <v>802.09</v>
      </c>
      <c r="U133" s="2"/>
      <c r="V133" s="19">
        <f t="shared" si="33"/>
        <v>1.2208252349977852E-4</v>
      </c>
      <c r="W133" s="2"/>
      <c r="X133" s="2">
        <f t="shared" si="34"/>
        <v>-695.75</v>
      </c>
      <c r="Y133" s="2"/>
      <c r="Z133" s="19">
        <f t="shared" si="35"/>
        <v>-0.86742136169257811</v>
      </c>
    </row>
    <row r="134" spans="1:26" s="24" customFormat="1" hidden="1" outlineLevel="1" x14ac:dyDescent="0.25">
      <c r="A134" s="44"/>
      <c r="B134" s="11" t="str">
        <f>CONCATENATE("          ", "5025", " - ", "PURCHASES @ COST-TEST FORMS")</f>
        <v xml:space="preserve">          5025 - PURCHASES @ COST-TEST FORMS</v>
      </c>
      <c r="C134" s="11"/>
      <c r="D134" s="2"/>
      <c r="E134" s="2"/>
      <c r="F134" s="19">
        <f t="shared" si="28"/>
        <v>0</v>
      </c>
      <c r="G134" s="2"/>
      <c r="H134" s="2">
        <v>18846</v>
      </c>
      <c r="I134" s="2"/>
      <c r="J134" s="19">
        <f t="shared" si="29"/>
        <v>3.0852435303404143E-2</v>
      </c>
      <c r="K134" s="2"/>
      <c r="L134" s="2">
        <f t="shared" si="30"/>
        <v>-18846</v>
      </c>
      <c r="M134" s="2"/>
      <c r="N134" s="19">
        <f t="shared" si="31"/>
        <v>-1</v>
      </c>
      <c r="O134" s="11"/>
      <c r="P134" s="2">
        <v>599.29</v>
      </c>
      <c r="Q134" s="2"/>
      <c r="R134" s="19">
        <f t="shared" si="32"/>
        <v>1.6370081708803468E-4</v>
      </c>
      <c r="S134" s="2"/>
      <c r="T134" s="2">
        <v>22098.390000000003</v>
      </c>
      <c r="U134" s="2"/>
      <c r="V134" s="19">
        <f t="shared" si="33"/>
        <v>3.3634968849908004E-3</v>
      </c>
      <c r="W134" s="2"/>
      <c r="X134" s="2">
        <f t="shared" si="34"/>
        <v>-21499.100000000002</v>
      </c>
      <c r="Y134" s="2"/>
      <c r="Z134" s="19">
        <f t="shared" si="35"/>
        <v>-0.97288082977990697</v>
      </c>
    </row>
    <row r="135" spans="1:26" s="24" customFormat="1" hidden="1" outlineLevel="1" x14ac:dyDescent="0.25">
      <c r="A135" s="44"/>
      <c r="B135" s="11" t="str">
        <f>CONCATENATE("          ", "5026", " - ", "PURCHASES @ COST-WRITING INSTR")</f>
        <v xml:space="preserve">          5026 - PURCHASES @ COST-WRITING INSTR</v>
      </c>
      <c r="C135" s="11"/>
      <c r="D135" s="2"/>
      <c r="E135" s="2"/>
      <c r="F135" s="19">
        <f t="shared" si="28"/>
        <v>0</v>
      </c>
      <c r="G135" s="2"/>
      <c r="H135" s="2">
        <v>4633</v>
      </c>
      <c r="I135" s="2"/>
      <c r="J135" s="19">
        <f t="shared" si="29"/>
        <v>7.5845979391208429E-3</v>
      </c>
      <c r="K135" s="2"/>
      <c r="L135" s="2">
        <f t="shared" si="30"/>
        <v>-4633</v>
      </c>
      <c r="M135" s="2"/>
      <c r="N135" s="19">
        <f t="shared" si="31"/>
        <v>-1</v>
      </c>
      <c r="O135" s="11"/>
      <c r="P135" s="2">
        <v>380.02</v>
      </c>
      <c r="Q135" s="2"/>
      <c r="R135" s="19">
        <f t="shared" si="32"/>
        <v>1.0380547733116678E-4</v>
      </c>
      <c r="S135" s="2"/>
      <c r="T135" s="2">
        <v>29950.57</v>
      </c>
      <c r="U135" s="2"/>
      <c r="V135" s="19">
        <f t="shared" si="33"/>
        <v>4.5586420050826738E-3</v>
      </c>
      <c r="W135" s="2"/>
      <c r="X135" s="2">
        <f t="shared" si="34"/>
        <v>-29570.55</v>
      </c>
      <c r="Y135" s="2"/>
      <c r="Z135" s="19">
        <f t="shared" si="35"/>
        <v>-0.98731176067767656</v>
      </c>
    </row>
    <row r="136" spans="1:26" s="24" customFormat="1" hidden="1" outlineLevel="1" x14ac:dyDescent="0.25">
      <c r="A136" s="44"/>
      <c r="B136" s="11" t="str">
        <f>CONCATENATE("          ", "5027", " - ", "PURCHASES @ COST-SCHOOL SUPPLI")</f>
        <v xml:space="preserve">          5027 - PURCHASES @ COST-SCHOOL SUPPLI</v>
      </c>
      <c r="C136" s="11"/>
      <c r="D136" s="2"/>
      <c r="E136" s="2"/>
      <c r="F136" s="19">
        <f t="shared" si="28"/>
        <v>0</v>
      </c>
      <c r="G136" s="2"/>
      <c r="H136" s="2">
        <v>3483.98</v>
      </c>
      <c r="I136" s="2"/>
      <c r="J136" s="19">
        <f t="shared" si="29"/>
        <v>5.7035587152899272E-3</v>
      </c>
      <c r="K136" s="2"/>
      <c r="L136" s="2">
        <f t="shared" si="30"/>
        <v>-3483.98</v>
      </c>
      <c r="M136" s="2"/>
      <c r="N136" s="19">
        <f t="shared" si="31"/>
        <v>-1</v>
      </c>
      <c r="O136" s="11"/>
      <c r="P136" s="2">
        <v>19071.350000000002</v>
      </c>
      <c r="Q136" s="2"/>
      <c r="R136" s="19">
        <f t="shared" si="32"/>
        <v>5.2094905270768585E-3</v>
      </c>
      <c r="S136" s="2"/>
      <c r="T136" s="2">
        <v>75506.36</v>
      </c>
      <c r="U136" s="2"/>
      <c r="V136" s="19">
        <f t="shared" si="33"/>
        <v>1.1492484595348074E-2</v>
      </c>
      <c r="W136" s="2"/>
      <c r="X136" s="2">
        <f t="shared" si="34"/>
        <v>-56435.009999999995</v>
      </c>
      <c r="Y136" s="2"/>
      <c r="Z136" s="19">
        <f t="shared" si="35"/>
        <v>-0.74742061463431686</v>
      </c>
    </row>
    <row r="137" spans="1:26" s="24" customFormat="1" hidden="1" outlineLevel="1" x14ac:dyDescent="0.25">
      <c r="A137" s="44"/>
      <c r="B137" s="11" t="str">
        <f>CONCATENATE("          ", "5028", " - ", "PURCHASES @ COST-ART/TECH")</f>
        <v xml:space="preserve">          5028 - PURCHASES @ COST-ART/TECH</v>
      </c>
      <c r="C137" s="11"/>
      <c r="D137" s="2">
        <v>15.89</v>
      </c>
      <c r="E137" s="2"/>
      <c r="F137" s="19">
        <f t="shared" si="28"/>
        <v>9.3057832954220775E-5</v>
      </c>
      <c r="G137" s="2"/>
      <c r="H137" s="2">
        <v>4931.4399999999996</v>
      </c>
      <c r="I137" s="2"/>
      <c r="J137" s="19">
        <f t="shared" si="29"/>
        <v>8.0731685000859244E-3</v>
      </c>
      <c r="K137" s="2"/>
      <c r="L137" s="2">
        <f t="shared" si="30"/>
        <v>-4915.5499999999993</v>
      </c>
      <c r="M137" s="2"/>
      <c r="N137" s="19">
        <f t="shared" si="31"/>
        <v>-0.99677781743263627</v>
      </c>
      <c r="O137" s="11"/>
      <c r="P137" s="2">
        <v>41358.449999999997</v>
      </c>
      <c r="Q137" s="2"/>
      <c r="R137" s="19">
        <f t="shared" si="32"/>
        <v>1.1297388674088717E-2</v>
      </c>
      <c r="S137" s="2"/>
      <c r="T137" s="2">
        <v>95270.51</v>
      </c>
      <c r="U137" s="2"/>
      <c r="V137" s="19">
        <f t="shared" si="33"/>
        <v>1.4500697273262208E-2</v>
      </c>
      <c r="W137" s="2"/>
      <c r="X137" s="2">
        <f t="shared" si="34"/>
        <v>-53912.06</v>
      </c>
      <c r="Y137" s="2"/>
      <c r="Z137" s="19">
        <f t="shared" si="35"/>
        <v>-0.5658840285414658</v>
      </c>
    </row>
    <row r="138" spans="1:26" s="24" customFormat="1" hidden="1" outlineLevel="1" x14ac:dyDescent="0.25">
      <c r="A138" s="44"/>
      <c r="B138" s="11" t="str">
        <f>CONCATENATE("          ", "5031", " - ", "PURCHASES @ COST-FOOD")</f>
        <v xml:space="preserve">          5031 - PURCHASES @ COST-FOOD</v>
      </c>
      <c r="C138" s="11"/>
      <c r="D138" s="2"/>
      <c r="E138" s="2"/>
      <c r="F138" s="19">
        <f t="shared" si="28"/>
        <v>0</v>
      </c>
      <c r="G138" s="2"/>
      <c r="H138" s="2">
        <v>4825.3999999999996</v>
      </c>
      <c r="I138" s="2"/>
      <c r="J138" s="19">
        <f t="shared" si="29"/>
        <v>7.8995723927117872E-3</v>
      </c>
      <c r="K138" s="2"/>
      <c r="L138" s="2">
        <f t="shared" si="30"/>
        <v>-4825.3999999999996</v>
      </c>
      <c r="M138" s="2"/>
      <c r="N138" s="19">
        <f t="shared" si="31"/>
        <v>-1</v>
      </c>
      <c r="O138" s="11"/>
      <c r="P138" s="2">
        <v>8535.1</v>
      </c>
      <c r="Q138" s="2"/>
      <c r="R138" s="19">
        <f t="shared" si="32"/>
        <v>2.3314302656945469E-3</v>
      </c>
      <c r="S138" s="2"/>
      <c r="T138" s="2">
        <v>20814.489999999998</v>
      </c>
      <c r="U138" s="2"/>
      <c r="V138" s="19">
        <f t="shared" si="33"/>
        <v>3.1680802211234461E-3</v>
      </c>
      <c r="W138" s="2"/>
      <c r="X138" s="2">
        <f t="shared" si="34"/>
        <v>-12279.389999999998</v>
      </c>
      <c r="Y138" s="2"/>
      <c r="Z138" s="19">
        <f t="shared" si="35"/>
        <v>-0.58994431283207027</v>
      </c>
    </row>
    <row r="139" spans="1:26" s="24" customFormat="1" hidden="1" outlineLevel="1" x14ac:dyDescent="0.25">
      <c r="A139" s="44"/>
      <c r="B139" s="11" t="str">
        <f>CONCATENATE("          ", "5032", " - ", "PURCHASES @ COST-JUICE")</f>
        <v xml:space="preserve">          5032 - PURCHASES @ COST-JUICE</v>
      </c>
      <c r="C139" s="11"/>
      <c r="D139" s="2"/>
      <c r="E139" s="2"/>
      <c r="F139" s="19">
        <f t="shared" si="28"/>
        <v>0</v>
      </c>
      <c r="G139" s="2"/>
      <c r="H139" s="2">
        <v>1278.21</v>
      </c>
      <c r="I139" s="2"/>
      <c r="J139" s="19">
        <f t="shared" si="29"/>
        <v>2.0925337646802615E-3</v>
      </c>
      <c r="K139" s="2"/>
      <c r="L139" s="2">
        <f t="shared" si="30"/>
        <v>-1278.21</v>
      </c>
      <c r="M139" s="2"/>
      <c r="N139" s="19">
        <f t="shared" si="31"/>
        <v>-1</v>
      </c>
      <c r="O139" s="11"/>
      <c r="P139" s="2"/>
      <c r="Q139" s="2"/>
      <c r="R139" s="19">
        <f t="shared" si="32"/>
        <v>0</v>
      </c>
      <c r="S139" s="2"/>
      <c r="T139" s="2">
        <v>4662.49</v>
      </c>
      <c r="U139" s="2"/>
      <c r="V139" s="19">
        <f t="shared" si="33"/>
        <v>7.0965670310374441E-4</v>
      </c>
      <c r="W139" s="2"/>
      <c r="X139" s="2">
        <f t="shared" si="34"/>
        <v>-4662.49</v>
      </c>
      <c r="Y139" s="2"/>
      <c r="Z139" s="19">
        <f t="shared" si="35"/>
        <v>-1</v>
      </c>
    </row>
    <row r="140" spans="1:26" s="24" customFormat="1" hidden="1" outlineLevel="1" x14ac:dyDescent="0.25">
      <c r="A140" s="44"/>
      <c r="B140" s="11" t="str">
        <f>CONCATENATE("          ", "5033", " - ", "PURCHASES @ COST-CANDY")</f>
        <v xml:space="preserve">          5033 - PURCHASES @ COST-CANDY</v>
      </c>
      <c r="C140" s="11"/>
      <c r="D140" s="2"/>
      <c r="E140" s="2"/>
      <c r="F140" s="19">
        <f t="shared" si="28"/>
        <v>0</v>
      </c>
      <c r="G140" s="2"/>
      <c r="H140" s="2">
        <v>1482.54</v>
      </c>
      <c r="I140" s="2"/>
      <c r="J140" s="19">
        <f t="shared" si="29"/>
        <v>2.4270385988914771E-3</v>
      </c>
      <c r="K140" s="2"/>
      <c r="L140" s="2">
        <f t="shared" si="30"/>
        <v>-1482.54</v>
      </c>
      <c r="M140" s="2"/>
      <c r="N140" s="19">
        <f t="shared" si="31"/>
        <v>-1</v>
      </c>
      <c r="O140" s="11"/>
      <c r="P140" s="2"/>
      <c r="Q140" s="2"/>
      <c r="R140" s="19">
        <f t="shared" si="32"/>
        <v>0</v>
      </c>
      <c r="S140" s="2"/>
      <c r="T140" s="2">
        <v>5937.74</v>
      </c>
      <c r="U140" s="2"/>
      <c r="V140" s="19">
        <f t="shared" si="33"/>
        <v>9.0375678924506592E-4</v>
      </c>
      <c r="W140" s="2"/>
      <c r="X140" s="2">
        <f t="shared" si="34"/>
        <v>-5937.74</v>
      </c>
      <c r="Y140" s="2"/>
      <c r="Z140" s="19">
        <f t="shared" si="35"/>
        <v>-1</v>
      </c>
    </row>
    <row r="141" spans="1:26" s="24" customFormat="1" hidden="1" outlineLevel="1" x14ac:dyDescent="0.25">
      <c r="A141" s="44"/>
      <c r="B141" s="11" t="str">
        <f>CONCATENATE("          ", "5034", " - ", "PURCHASES @ COST-SODA")</f>
        <v xml:space="preserve">          5034 - PURCHASES @ COST-SODA</v>
      </c>
      <c r="C141" s="11"/>
      <c r="D141" s="2"/>
      <c r="E141" s="2"/>
      <c r="F141" s="19">
        <f t="shared" si="28"/>
        <v>0</v>
      </c>
      <c r="G141" s="2"/>
      <c r="H141" s="2">
        <v>587.38</v>
      </c>
      <c r="I141" s="2"/>
      <c r="J141" s="19">
        <f t="shared" si="29"/>
        <v>9.6158884901377084E-4</v>
      </c>
      <c r="K141" s="2"/>
      <c r="L141" s="2">
        <f t="shared" si="30"/>
        <v>-587.38</v>
      </c>
      <c r="M141" s="2"/>
      <c r="N141" s="19">
        <f t="shared" si="31"/>
        <v>-1</v>
      </c>
      <c r="O141" s="11"/>
      <c r="P141" s="2"/>
      <c r="Q141" s="2"/>
      <c r="R141" s="19">
        <f t="shared" si="32"/>
        <v>0</v>
      </c>
      <c r="S141" s="2"/>
      <c r="T141" s="2">
        <v>2081.92</v>
      </c>
      <c r="U141" s="2"/>
      <c r="V141" s="19">
        <f t="shared" si="33"/>
        <v>3.1687971091106846E-4</v>
      </c>
      <c r="W141" s="2"/>
      <c r="X141" s="2">
        <f t="shared" si="34"/>
        <v>-2081.92</v>
      </c>
      <c r="Y141" s="2"/>
      <c r="Z141" s="19">
        <f t="shared" si="35"/>
        <v>-1</v>
      </c>
    </row>
    <row r="142" spans="1:26" s="24" customFormat="1" hidden="1" outlineLevel="1" x14ac:dyDescent="0.25">
      <c r="A142" s="44"/>
      <c r="B142" s="11" t="str">
        <f>CONCATENATE("          ", "5035", " - ", "PURCHASES @ COST-HEALTH &amp; BEAU")</f>
        <v xml:space="preserve">          5035 - PURCHASES @ COST-HEALTH &amp; BEAU</v>
      </c>
      <c r="C142" s="11"/>
      <c r="D142" s="2"/>
      <c r="E142" s="2"/>
      <c r="F142" s="19">
        <f t="shared" si="28"/>
        <v>0</v>
      </c>
      <c r="G142" s="2"/>
      <c r="H142" s="2">
        <v>222.52</v>
      </c>
      <c r="I142" s="2"/>
      <c r="J142" s="19">
        <f t="shared" si="29"/>
        <v>3.6428334414270882E-4</v>
      </c>
      <c r="K142" s="2"/>
      <c r="L142" s="2">
        <f t="shared" si="30"/>
        <v>-222.52</v>
      </c>
      <c r="M142" s="2"/>
      <c r="N142" s="19">
        <f t="shared" si="31"/>
        <v>-1</v>
      </c>
      <c r="O142" s="11"/>
      <c r="P142" s="2"/>
      <c r="Q142" s="2"/>
      <c r="R142" s="19">
        <f t="shared" si="32"/>
        <v>0</v>
      </c>
      <c r="S142" s="2"/>
      <c r="T142" s="2">
        <v>801.21</v>
      </c>
      <c r="U142" s="2"/>
      <c r="V142" s="19">
        <f t="shared" si="33"/>
        <v>1.2194858264441341E-4</v>
      </c>
      <c r="W142" s="2"/>
      <c r="X142" s="2">
        <f t="shared" si="34"/>
        <v>-801.21</v>
      </c>
      <c r="Y142" s="2"/>
      <c r="Z142" s="19">
        <f t="shared" si="35"/>
        <v>-1</v>
      </c>
    </row>
    <row r="143" spans="1:26" s="24" customFormat="1" hidden="1" outlineLevel="1" x14ac:dyDescent="0.25">
      <c r="A143" s="44"/>
      <c r="B143" s="11" t="str">
        <f>CONCATENATE("          ", "5037", " - ", "PURCHASES @ COST-WATER")</f>
        <v xml:space="preserve">          5037 - PURCHASES @ COST-WATER</v>
      </c>
      <c r="C143" s="11"/>
      <c r="D143" s="2"/>
      <c r="E143" s="2"/>
      <c r="F143" s="19">
        <f t="shared" si="28"/>
        <v>0</v>
      </c>
      <c r="G143" s="2"/>
      <c r="H143" s="2">
        <v>667.52</v>
      </c>
      <c r="I143" s="2"/>
      <c r="J143" s="19">
        <f t="shared" si="29"/>
        <v>1.0927845491737415E-3</v>
      </c>
      <c r="K143" s="2"/>
      <c r="L143" s="2">
        <f t="shared" si="30"/>
        <v>-667.52</v>
      </c>
      <c r="M143" s="2"/>
      <c r="N143" s="19">
        <f t="shared" si="31"/>
        <v>-1</v>
      </c>
      <c r="O143" s="11"/>
      <c r="P143" s="2"/>
      <c r="Q143" s="2"/>
      <c r="R143" s="19">
        <f t="shared" si="32"/>
        <v>0</v>
      </c>
      <c r="S143" s="2"/>
      <c r="T143" s="2">
        <v>3523.37</v>
      </c>
      <c r="U143" s="2"/>
      <c r="V143" s="19">
        <f t="shared" si="33"/>
        <v>5.3627635405430142E-4</v>
      </c>
      <c r="W143" s="2"/>
      <c r="X143" s="2">
        <f t="shared" si="34"/>
        <v>-3523.37</v>
      </c>
      <c r="Y143" s="2"/>
      <c r="Z143" s="19">
        <f t="shared" si="35"/>
        <v>-1</v>
      </c>
    </row>
    <row r="144" spans="1:26" s="24" customFormat="1" hidden="1" outlineLevel="1" x14ac:dyDescent="0.25">
      <c r="A144" s="44"/>
      <c r="B144" s="11" t="str">
        <f>CONCATENATE("          ", "5040", " - ", "PURCHASES @ COST-LOGO CLOTHING")</f>
        <v xml:space="preserve">          5040 - PURCHASES @ COST-LOGO CLOTHING</v>
      </c>
      <c r="C144" s="11"/>
      <c r="D144" s="2">
        <v>55124.33</v>
      </c>
      <c r="E144" s="2"/>
      <c r="F144" s="19">
        <f t="shared" si="28"/>
        <v>0.32282886676232481</v>
      </c>
      <c r="G144" s="2"/>
      <c r="H144" s="2">
        <v>105691.4</v>
      </c>
      <c r="I144" s="2"/>
      <c r="J144" s="19">
        <f t="shared" si="29"/>
        <v>0.17302542081217279</v>
      </c>
      <c r="K144" s="2"/>
      <c r="L144" s="2">
        <f t="shared" si="30"/>
        <v>-50567.069999999992</v>
      </c>
      <c r="M144" s="2"/>
      <c r="N144" s="19">
        <f t="shared" si="31"/>
        <v>-0.47844072460010934</v>
      </c>
      <c r="O144" s="11"/>
      <c r="P144" s="2">
        <v>94295.28</v>
      </c>
      <c r="Q144" s="2"/>
      <c r="R144" s="19">
        <f t="shared" si="32"/>
        <v>2.5757503685269259E-2</v>
      </c>
      <c r="S144" s="2"/>
      <c r="T144" s="2">
        <v>618292.30999999994</v>
      </c>
      <c r="U144" s="2"/>
      <c r="V144" s="19">
        <f t="shared" si="33"/>
        <v>9.4107500985310052E-2</v>
      </c>
      <c r="W144" s="2"/>
      <c r="X144" s="2">
        <f t="shared" si="34"/>
        <v>-523997.02999999991</v>
      </c>
      <c r="Y144" s="2"/>
      <c r="Z144" s="19">
        <f t="shared" si="35"/>
        <v>-0.84749077665222772</v>
      </c>
    </row>
    <row r="145" spans="1:26" s="24" customFormat="1" hidden="1" outlineLevel="1" x14ac:dyDescent="0.25">
      <c r="A145" s="44"/>
      <c r="B145" s="11" t="str">
        <f>CONCATENATE("          ", "5041", " - ", "PURCHASES @ COST-LOGO GIFTS")</f>
        <v xml:space="preserve">          5041 - PURCHASES @ COST-LOGO GIFTS</v>
      </c>
      <c r="C145" s="11"/>
      <c r="D145" s="2">
        <v>9354.43</v>
      </c>
      <c r="E145" s="2"/>
      <c r="F145" s="19">
        <f t="shared" si="28"/>
        <v>5.4783070127246786E-2</v>
      </c>
      <c r="G145" s="2"/>
      <c r="H145" s="2">
        <v>18340.09</v>
      </c>
      <c r="I145" s="2"/>
      <c r="J145" s="19">
        <f t="shared" si="29"/>
        <v>3.0024219472758639E-2</v>
      </c>
      <c r="K145" s="2"/>
      <c r="L145" s="2">
        <f t="shared" si="30"/>
        <v>-8985.66</v>
      </c>
      <c r="M145" s="2"/>
      <c r="N145" s="19">
        <f t="shared" si="31"/>
        <v>-0.48994634159374351</v>
      </c>
      <c r="O145" s="11"/>
      <c r="P145" s="2">
        <v>26641.769999999997</v>
      </c>
      <c r="Q145" s="2"/>
      <c r="R145" s="19">
        <f t="shared" si="32"/>
        <v>7.2774107988978444E-3</v>
      </c>
      <c r="S145" s="2"/>
      <c r="T145" s="2">
        <v>88796.55</v>
      </c>
      <c r="U145" s="2"/>
      <c r="V145" s="19">
        <f t="shared" si="33"/>
        <v>1.351532484144455E-2</v>
      </c>
      <c r="W145" s="2"/>
      <c r="X145" s="2">
        <f t="shared" si="34"/>
        <v>-62154.780000000006</v>
      </c>
      <c r="Y145" s="2"/>
      <c r="Z145" s="19">
        <f t="shared" si="35"/>
        <v>-0.69996841093488438</v>
      </c>
    </row>
    <row r="146" spans="1:26" s="24" customFormat="1" hidden="1" outlineLevel="1" x14ac:dyDescent="0.25">
      <c r="A146" s="44"/>
      <c r="B146" s="11" t="str">
        <f>CONCATENATE("          ", "5042", " - ", "PURCHASES @ COST-EVERYDAY GIFT")</f>
        <v xml:space="preserve">          5042 - PURCHASES @ COST-EVERYDAY GIFT</v>
      </c>
      <c r="C146" s="11"/>
      <c r="D146" s="2"/>
      <c r="E146" s="2"/>
      <c r="F146" s="19">
        <f t="shared" si="28"/>
        <v>0</v>
      </c>
      <c r="G146" s="2"/>
      <c r="H146" s="2">
        <v>31316.85</v>
      </c>
      <c r="I146" s="2"/>
      <c r="J146" s="19">
        <f t="shared" si="29"/>
        <v>5.1268231377024943E-2</v>
      </c>
      <c r="K146" s="2"/>
      <c r="L146" s="2">
        <f t="shared" si="30"/>
        <v>-31316.85</v>
      </c>
      <c r="M146" s="2"/>
      <c r="N146" s="19">
        <f t="shared" si="31"/>
        <v>-1</v>
      </c>
      <c r="O146" s="11"/>
      <c r="P146" s="2">
        <v>10912.68</v>
      </c>
      <c r="Q146" s="2"/>
      <c r="R146" s="19">
        <f t="shared" si="32"/>
        <v>2.9808851017374799E-3</v>
      </c>
      <c r="S146" s="2"/>
      <c r="T146" s="2">
        <v>80565.319999999992</v>
      </c>
      <c r="U146" s="2"/>
      <c r="V146" s="19">
        <f t="shared" si="33"/>
        <v>1.2262486219959326E-2</v>
      </c>
      <c r="W146" s="2"/>
      <c r="X146" s="2">
        <f t="shared" si="34"/>
        <v>-69652.639999999985</v>
      </c>
      <c r="Y146" s="2"/>
      <c r="Z146" s="19">
        <f t="shared" si="35"/>
        <v>-0.8645486668457345</v>
      </c>
    </row>
    <row r="147" spans="1:26" s="24" customFormat="1" hidden="1" outlineLevel="1" x14ac:dyDescent="0.25">
      <c r="A147" s="44"/>
      <c r="B147" s="11" t="str">
        <f>CONCATENATE("          ", "5043", " - ", "PURCHASES @ COST-CARDS")</f>
        <v xml:space="preserve">          5043 - PURCHASES @ COST-CARDS</v>
      </c>
      <c r="C147" s="11"/>
      <c r="D147" s="2">
        <v>38530.230000000003</v>
      </c>
      <c r="E147" s="2"/>
      <c r="F147" s="19">
        <f t="shared" si="28"/>
        <v>0.22564755865498465</v>
      </c>
      <c r="G147" s="2"/>
      <c r="H147" s="2">
        <v>2188.66</v>
      </c>
      <c r="I147" s="2"/>
      <c r="J147" s="19">
        <f t="shared" si="29"/>
        <v>3.583014488546562E-3</v>
      </c>
      <c r="K147" s="2"/>
      <c r="L147" s="2">
        <f t="shared" si="30"/>
        <v>36341.570000000007</v>
      </c>
      <c r="M147" s="2"/>
      <c r="N147" s="19">
        <f t="shared" si="31"/>
        <v>16.604484022187094</v>
      </c>
      <c r="O147" s="11"/>
      <c r="P147" s="2">
        <v>44173.23</v>
      </c>
      <c r="Q147" s="2"/>
      <c r="R147" s="19">
        <f t="shared" si="32"/>
        <v>1.2066268158016464E-2</v>
      </c>
      <c r="S147" s="2"/>
      <c r="T147" s="2">
        <v>3528.74</v>
      </c>
      <c r="U147" s="2"/>
      <c r="V147" s="19">
        <f t="shared" si="33"/>
        <v>5.3709369768306355E-4</v>
      </c>
      <c r="W147" s="2"/>
      <c r="X147" s="2">
        <f t="shared" si="34"/>
        <v>40644.490000000005</v>
      </c>
      <c r="Y147" s="2"/>
      <c r="Z147" s="19">
        <f t="shared" si="35"/>
        <v>11.518131117622723</v>
      </c>
    </row>
    <row r="148" spans="1:26" s="24" customFormat="1" hidden="1" outlineLevel="1" x14ac:dyDescent="0.25">
      <c r="A148" s="44"/>
      <c r="B148" s="11" t="str">
        <f>CONCATENATE("          ", "5044", " - ", "PURCHASES @ COST-ACCESSORIES")</f>
        <v xml:space="preserve">          5044 - PURCHASES @ COST-ACCESSORIES</v>
      </c>
      <c r="C148" s="11"/>
      <c r="D148" s="2">
        <v>282.33</v>
      </c>
      <c r="E148" s="2"/>
      <c r="F148" s="19">
        <f t="shared" si="28"/>
        <v>1.6534309614830176E-3</v>
      </c>
      <c r="G148" s="2"/>
      <c r="H148" s="2">
        <v>-6895.55</v>
      </c>
      <c r="I148" s="2"/>
      <c r="J148" s="19">
        <f t="shared" si="29"/>
        <v>-1.1288576369329749E-2</v>
      </c>
      <c r="K148" s="2"/>
      <c r="L148" s="2">
        <f t="shared" si="30"/>
        <v>7177.88</v>
      </c>
      <c r="M148" s="2"/>
      <c r="N148" s="19">
        <f t="shared" si="31"/>
        <v>-1.0409437970865267</v>
      </c>
      <c r="O148" s="11"/>
      <c r="P148" s="2">
        <v>282.33</v>
      </c>
      <c r="Q148" s="2"/>
      <c r="R148" s="19">
        <f t="shared" si="32"/>
        <v>7.7120678950866578E-5</v>
      </c>
      <c r="S148" s="2"/>
      <c r="T148" s="2">
        <v>17255.580000000002</v>
      </c>
      <c r="U148" s="2"/>
      <c r="V148" s="19">
        <f t="shared" si="33"/>
        <v>2.6263944829786039E-3</v>
      </c>
      <c r="W148" s="2"/>
      <c r="X148" s="2">
        <f t="shared" si="34"/>
        <v>-16973.25</v>
      </c>
      <c r="Y148" s="2"/>
      <c r="Z148" s="19">
        <f t="shared" si="35"/>
        <v>-0.98363833612083729</v>
      </c>
    </row>
    <row r="149" spans="1:26" s="24" customFormat="1" hidden="1" outlineLevel="1" x14ac:dyDescent="0.25">
      <c r="A149" s="44"/>
      <c r="B149" s="11" t="str">
        <f>CONCATENATE("          ", "5045", " - ", "PURCHASES @ COST-SPECIAL ORDER")</f>
        <v xml:space="preserve">          5045 - PURCHASES @ COST-SPECIAL ORDER</v>
      </c>
      <c r="C149" s="11"/>
      <c r="D149" s="2">
        <v>5678</v>
      </c>
      <c r="E149" s="2"/>
      <c r="F149" s="19">
        <f t="shared" si="28"/>
        <v>3.3252509472250821E-2</v>
      </c>
      <c r="G149" s="2"/>
      <c r="H149" s="2">
        <v>14163.29</v>
      </c>
      <c r="I149" s="2"/>
      <c r="J149" s="19">
        <f t="shared" si="29"/>
        <v>2.3186458049896577E-2</v>
      </c>
      <c r="K149" s="2"/>
      <c r="L149" s="2">
        <f t="shared" si="30"/>
        <v>-8485.2900000000009</v>
      </c>
      <c r="M149" s="2"/>
      <c r="N149" s="19">
        <f t="shared" si="31"/>
        <v>-0.59910444536544827</v>
      </c>
      <c r="O149" s="11"/>
      <c r="P149" s="2">
        <v>76932.51999999999</v>
      </c>
      <c r="Q149" s="2"/>
      <c r="R149" s="19">
        <f t="shared" si="32"/>
        <v>2.1014728069284602E-2</v>
      </c>
      <c r="S149" s="2"/>
      <c r="T149" s="2">
        <v>42226.49</v>
      </c>
      <c r="U149" s="2"/>
      <c r="V149" s="19">
        <f t="shared" si="33"/>
        <v>6.4271047609846307E-3</v>
      </c>
      <c r="W149" s="2"/>
      <c r="X149" s="2">
        <f t="shared" si="34"/>
        <v>34706.029999999992</v>
      </c>
      <c r="Y149" s="2"/>
      <c r="Z149" s="19">
        <f t="shared" si="35"/>
        <v>0.82190184407939171</v>
      </c>
    </row>
    <row r="150" spans="1:26" s="24" customFormat="1" hidden="1" outlineLevel="1" x14ac:dyDescent="0.25">
      <c r="A150" s="44"/>
      <c r="B150" s="11" t="str">
        <f>CONCATENATE("          ", "5081", " - ", "PURCHASES @ COST-ELECTRONICS")</f>
        <v xml:space="preserve">          5081 - PURCHASES @ COST-ELECTRONICS</v>
      </c>
      <c r="C150" s="11"/>
      <c r="D150" s="2">
        <v>2367.86</v>
      </c>
      <c r="E150" s="2"/>
      <c r="F150" s="19">
        <f t="shared" si="28"/>
        <v>1.3867081204467037E-2</v>
      </c>
      <c r="G150" s="2"/>
      <c r="H150" s="2">
        <v>16915.849999999999</v>
      </c>
      <c r="I150" s="2"/>
      <c r="J150" s="19">
        <f t="shared" si="29"/>
        <v>2.7692622717133023E-2</v>
      </c>
      <c r="K150" s="2"/>
      <c r="L150" s="2">
        <f t="shared" si="30"/>
        <v>-14547.989999999998</v>
      </c>
      <c r="M150" s="2"/>
      <c r="N150" s="19">
        <f t="shared" si="31"/>
        <v>-0.86002122269942094</v>
      </c>
      <c r="O150" s="11"/>
      <c r="P150" s="2">
        <v>24315.070000000003</v>
      </c>
      <c r="Q150" s="2"/>
      <c r="R150" s="19">
        <f t="shared" si="32"/>
        <v>6.6418542384367504E-3</v>
      </c>
      <c r="S150" s="2"/>
      <c r="T150" s="2">
        <v>186052.53999999998</v>
      </c>
      <c r="U150" s="2"/>
      <c r="V150" s="19">
        <f t="shared" si="33"/>
        <v>2.8318223125513946E-2</v>
      </c>
      <c r="W150" s="2"/>
      <c r="X150" s="2">
        <f t="shared" si="34"/>
        <v>-161737.46999999997</v>
      </c>
      <c r="Y150" s="2"/>
      <c r="Z150" s="19">
        <f t="shared" si="35"/>
        <v>-0.8693107334089607</v>
      </c>
    </row>
    <row r="151" spans="1:26" s="24" customFormat="1" hidden="1" outlineLevel="1" x14ac:dyDescent="0.25">
      <c r="A151" s="44"/>
      <c r="B151" s="11" t="str">
        <f>CONCATENATE("          ", "5082", " - ", "PURCHASES @ COST-COMPUTER HARD")</f>
        <v xml:space="preserve">          5082 - PURCHASES @ COST-COMPUTER HARD</v>
      </c>
      <c r="C151" s="11"/>
      <c r="D151" s="2">
        <v>71242.03</v>
      </c>
      <c r="E151" s="2"/>
      <c r="F151" s="19">
        <f t="shared" si="28"/>
        <v>0.41722019679418409</v>
      </c>
      <c r="G151" s="2"/>
      <c r="H151" s="2">
        <v>62807.55999999999</v>
      </c>
      <c r="I151" s="2"/>
      <c r="J151" s="19">
        <f t="shared" si="29"/>
        <v>0.10282108571923346</v>
      </c>
      <c r="K151" s="2"/>
      <c r="L151" s="2">
        <f t="shared" si="30"/>
        <v>8434.4700000000084</v>
      </c>
      <c r="M151" s="2"/>
      <c r="N151" s="19">
        <f t="shared" si="31"/>
        <v>0.1342906809307671</v>
      </c>
      <c r="O151" s="11"/>
      <c r="P151" s="2">
        <v>960020.1100000001</v>
      </c>
      <c r="Q151" s="2"/>
      <c r="R151" s="19">
        <f t="shared" si="32"/>
        <v>0.26223710795765814</v>
      </c>
      <c r="S151" s="2"/>
      <c r="T151" s="2">
        <v>958594.8600000001</v>
      </c>
      <c r="U151" s="2"/>
      <c r="V151" s="19">
        <f t="shared" si="33"/>
        <v>0.14590342670113943</v>
      </c>
      <c r="W151" s="2"/>
      <c r="X151" s="2">
        <f t="shared" si="34"/>
        <v>1425.25</v>
      </c>
      <c r="Y151" s="2"/>
      <c r="Z151" s="19">
        <f t="shared" si="35"/>
        <v>1.4868116442852612E-3</v>
      </c>
    </row>
    <row r="152" spans="1:26" s="24" customFormat="1" hidden="1" outlineLevel="1" x14ac:dyDescent="0.25">
      <c r="A152" s="44"/>
      <c r="B152" s="11" t="str">
        <f>CONCATENATE("          ", "5083", " - ", "PURCHASES @ COST-COMPUTER EQUI")</f>
        <v xml:space="preserve">          5083 - PURCHASES @ COST-COMPUTER EQUI</v>
      </c>
      <c r="C152" s="11"/>
      <c r="D152" s="2">
        <v>2620.17</v>
      </c>
      <c r="E152" s="2"/>
      <c r="F152" s="19">
        <f t="shared" si="28"/>
        <v>1.5344703723830124E-2</v>
      </c>
      <c r="G152" s="2"/>
      <c r="H152" s="2">
        <v>7127.48</v>
      </c>
      <c r="I152" s="2"/>
      <c r="J152" s="19">
        <f t="shared" si="29"/>
        <v>1.1668264649066484E-2</v>
      </c>
      <c r="K152" s="2"/>
      <c r="L152" s="2">
        <f t="shared" si="30"/>
        <v>-4507.3099999999995</v>
      </c>
      <c r="M152" s="2"/>
      <c r="N152" s="19">
        <f t="shared" si="31"/>
        <v>-0.63238479799311953</v>
      </c>
      <c r="O152" s="11"/>
      <c r="P152" s="2">
        <v>75893.119999999995</v>
      </c>
      <c r="Q152" s="2"/>
      <c r="R152" s="19">
        <f t="shared" si="32"/>
        <v>2.073080771472954E-2</v>
      </c>
      <c r="S152" s="2"/>
      <c r="T152" s="2">
        <v>49168.32</v>
      </c>
      <c r="U152" s="2"/>
      <c r="V152" s="19">
        <f t="shared" si="33"/>
        <v>7.4836895882564678E-3</v>
      </c>
      <c r="W152" s="2"/>
      <c r="X152" s="2">
        <f t="shared" si="34"/>
        <v>26724.799999999996</v>
      </c>
      <c r="Y152" s="2"/>
      <c r="Z152" s="19">
        <f t="shared" si="35"/>
        <v>0.54353697665488665</v>
      </c>
    </row>
    <row r="153" spans="1:26" s="24" customFormat="1" hidden="1" outlineLevel="1" x14ac:dyDescent="0.25">
      <c r="A153" s="44"/>
      <c r="B153" s="11" t="str">
        <f>CONCATENATE("          ", "5084", " - ", "PURCHASES @ COST-SOFTWARE LICE")</f>
        <v xml:space="preserve">          5084 - PURCHASES @ COST-SOFTWARE LICE</v>
      </c>
      <c r="C153" s="11"/>
      <c r="D153" s="2"/>
      <c r="E153" s="2"/>
      <c r="F153" s="19">
        <f t="shared" si="28"/>
        <v>0</v>
      </c>
      <c r="G153" s="2"/>
      <c r="H153" s="2"/>
      <c r="I153" s="2"/>
      <c r="J153" s="19">
        <f t="shared" si="29"/>
        <v>0</v>
      </c>
      <c r="K153" s="2"/>
      <c r="L153" s="2">
        <f t="shared" si="30"/>
        <v>0</v>
      </c>
      <c r="M153" s="2"/>
      <c r="N153" s="19">
        <f t="shared" si="31"/>
        <v>0</v>
      </c>
      <c r="O153" s="11"/>
      <c r="P153" s="2"/>
      <c r="Q153" s="2"/>
      <c r="R153" s="19">
        <f t="shared" si="32"/>
        <v>0</v>
      </c>
      <c r="S153" s="2"/>
      <c r="T153" s="2">
        <v>2728</v>
      </c>
      <c r="U153" s="2"/>
      <c r="V153" s="19">
        <f t="shared" si="33"/>
        <v>4.1521665163185654E-4</v>
      </c>
      <c r="W153" s="2"/>
      <c r="X153" s="2">
        <f t="shared" si="34"/>
        <v>-2728</v>
      </c>
      <c r="Y153" s="2"/>
      <c r="Z153" s="19">
        <f t="shared" si="35"/>
        <v>-1</v>
      </c>
    </row>
    <row r="154" spans="1:26" s="24" customFormat="1" hidden="1" outlineLevel="1" x14ac:dyDescent="0.25">
      <c r="A154" s="44"/>
      <c r="B154" s="11" t="str">
        <f>CONCATENATE("          ", "5085", " - ", "PURCHASES @ COST-SOFTWARE")</f>
        <v xml:space="preserve">          5085 - PURCHASES @ COST-SOFTWARE</v>
      </c>
      <c r="C154" s="11"/>
      <c r="D154" s="2">
        <v>3394.72</v>
      </c>
      <c r="E154" s="2"/>
      <c r="F154" s="19">
        <f t="shared" si="28"/>
        <v>1.9880760647347534E-2</v>
      </c>
      <c r="G154" s="2"/>
      <c r="H154" s="2">
        <v>148.36000000000001</v>
      </c>
      <c r="I154" s="2"/>
      <c r="J154" s="19">
        <f t="shared" si="29"/>
        <v>2.4287739051326749E-4</v>
      </c>
      <c r="K154" s="2"/>
      <c r="L154" s="2">
        <f t="shared" si="30"/>
        <v>3246.3599999999997</v>
      </c>
      <c r="M154" s="2"/>
      <c r="N154" s="19">
        <f t="shared" si="31"/>
        <v>21.881639255864108</v>
      </c>
      <c r="O154" s="11"/>
      <c r="P154" s="2">
        <v>24075.919999999998</v>
      </c>
      <c r="Q154" s="2"/>
      <c r="R154" s="19">
        <f t="shared" si="32"/>
        <v>6.5765285189910662E-3</v>
      </c>
      <c r="S154" s="2"/>
      <c r="T154" s="2">
        <v>7080.4</v>
      </c>
      <c r="U154" s="2"/>
      <c r="V154" s="19">
        <f t="shared" si="33"/>
        <v>1.0776759458263185E-3</v>
      </c>
      <c r="W154" s="2"/>
      <c r="X154" s="2">
        <f t="shared" si="34"/>
        <v>16995.519999999997</v>
      </c>
      <c r="Y154" s="2"/>
      <c r="Z154" s="19">
        <f t="shared" si="35"/>
        <v>2.4003615614937006</v>
      </c>
    </row>
    <row r="155" spans="1:26" s="24" customFormat="1" hidden="1" outlineLevel="1" x14ac:dyDescent="0.25">
      <c r="A155" s="44"/>
      <c r="B155" s="11" t="str">
        <f>CONCATENATE("          ", "5086", " - ", "PURCHASES @ COST-COMPUTER SUPP")</f>
        <v xml:space="preserve">          5086 - PURCHASES @ COST-COMPUTER SUPP</v>
      </c>
      <c r="C155" s="11"/>
      <c r="D155" s="2">
        <v>189.17</v>
      </c>
      <c r="E155" s="2"/>
      <c r="F155" s="19">
        <f t="shared" si="28"/>
        <v>1.1078508659502796E-3</v>
      </c>
      <c r="G155" s="2"/>
      <c r="H155" s="2">
        <v>913.55</v>
      </c>
      <c r="I155" s="2"/>
      <c r="J155" s="19">
        <f t="shared" si="29"/>
        <v>1.4955556760811236E-3</v>
      </c>
      <c r="K155" s="2"/>
      <c r="L155" s="2">
        <f t="shared" si="30"/>
        <v>-724.38</v>
      </c>
      <c r="M155" s="2"/>
      <c r="N155" s="19">
        <f t="shared" si="31"/>
        <v>-0.79292868480105083</v>
      </c>
      <c r="O155" s="11"/>
      <c r="P155" s="2">
        <v>22718.609999999997</v>
      </c>
      <c r="Q155" s="2"/>
      <c r="R155" s="19">
        <f t="shared" si="32"/>
        <v>6.2057685262634039E-3</v>
      </c>
      <c r="S155" s="2"/>
      <c r="T155" s="2">
        <v>19422.649999999998</v>
      </c>
      <c r="U155" s="2"/>
      <c r="V155" s="19">
        <f t="shared" si="33"/>
        <v>2.9562344937014212E-3</v>
      </c>
      <c r="W155" s="2"/>
      <c r="X155" s="2">
        <f t="shared" si="34"/>
        <v>3295.9599999999991</v>
      </c>
      <c r="Y155" s="2"/>
      <c r="Z155" s="19">
        <f t="shared" si="35"/>
        <v>0.16969672006652026</v>
      </c>
    </row>
    <row r="156" spans="1:26" s="24" customFormat="1" hidden="1" outlineLevel="1" x14ac:dyDescent="0.25">
      <c r="A156" s="44"/>
      <c r="B156" s="11" t="str">
        <f>CONCATENATE("          ", "5088", " - ", "PURCHASES @ COST-MUSIC")</f>
        <v xml:space="preserve">          5088 - PURCHASES @ COST-MUSIC</v>
      </c>
      <c r="C156" s="11"/>
      <c r="D156" s="2"/>
      <c r="E156" s="2"/>
      <c r="F156" s="19">
        <f t="shared" si="28"/>
        <v>0</v>
      </c>
      <c r="G156" s="2"/>
      <c r="H156" s="2"/>
      <c r="I156" s="2"/>
      <c r="J156" s="19">
        <f t="shared" si="29"/>
        <v>0</v>
      </c>
      <c r="K156" s="2"/>
      <c r="L156" s="2">
        <f t="shared" si="30"/>
        <v>0</v>
      </c>
      <c r="M156" s="2"/>
      <c r="N156" s="19">
        <f t="shared" si="31"/>
        <v>0</v>
      </c>
      <c r="O156" s="11"/>
      <c r="P156" s="2"/>
      <c r="Q156" s="2"/>
      <c r="R156" s="19">
        <f t="shared" si="32"/>
        <v>0</v>
      </c>
      <c r="S156" s="2"/>
      <c r="T156" s="2">
        <v>88.75</v>
      </c>
      <c r="U156" s="2"/>
      <c r="V156" s="19">
        <f t="shared" si="33"/>
        <v>1.3508239674606769E-5</v>
      </c>
      <c r="W156" s="2"/>
      <c r="X156" s="2">
        <f t="shared" si="34"/>
        <v>-88.75</v>
      </c>
      <c r="Y156" s="2"/>
      <c r="Z156" s="19">
        <f t="shared" si="35"/>
        <v>-1</v>
      </c>
    </row>
    <row r="157" spans="1:26" s="24" customFormat="1" hidden="1" outlineLevel="1" x14ac:dyDescent="0.25">
      <c r="A157" s="44"/>
      <c r="B157" s="11" t="str">
        <f>CONCATENATE("          ", "5092", " - ", "PURCHASES @ COST-GRAD MERCH")</f>
        <v xml:space="preserve">          5092 - PURCHASES @ COST-GRAD MERCH</v>
      </c>
      <c r="C157" s="11"/>
      <c r="D157" s="2"/>
      <c r="E157" s="2"/>
      <c r="F157" s="19">
        <f t="shared" si="28"/>
        <v>0</v>
      </c>
      <c r="G157" s="2"/>
      <c r="H157" s="2">
        <v>628</v>
      </c>
      <c r="I157" s="2"/>
      <c r="J157" s="19">
        <f t="shared" si="29"/>
        <v>1.0280870938415474E-3</v>
      </c>
      <c r="K157" s="2"/>
      <c r="L157" s="2">
        <f t="shared" si="30"/>
        <v>-628</v>
      </c>
      <c r="M157" s="2"/>
      <c r="N157" s="19">
        <f t="shared" si="31"/>
        <v>-1</v>
      </c>
      <c r="O157" s="11"/>
      <c r="P157" s="2"/>
      <c r="Q157" s="2"/>
      <c r="R157" s="19">
        <f t="shared" si="32"/>
        <v>0</v>
      </c>
      <c r="S157" s="2"/>
      <c r="T157" s="2">
        <v>1924.14</v>
      </c>
      <c r="U157" s="2"/>
      <c r="V157" s="19">
        <f t="shared" si="33"/>
        <v>2.9286472436617321E-4</v>
      </c>
      <c r="W157" s="2"/>
      <c r="X157" s="2">
        <f t="shared" si="34"/>
        <v>-1924.14</v>
      </c>
      <c r="Y157" s="2"/>
      <c r="Z157" s="19">
        <f t="shared" si="35"/>
        <v>-1</v>
      </c>
    </row>
    <row r="158" spans="1:26" s="24" customFormat="1" hidden="1" outlineLevel="1" x14ac:dyDescent="0.25">
      <c r="A158" s="44"/>
      <c r="B158" s="11" t="str">
        <f>CONCATENATE("          ", "5095", " - ", "PURCHASES @ COST-CUSTOMER SERV")</f>
        <v xml:space="preserve">          5095 - PURCHASES @ COST-CUSTOMER SERV</v>
      </c>
      <c r="C158" s="11"/>
      <c r="D158" s="2"/>
      <c r="E158" s="2"/>
      <c r="F158" s="19">
        <f t="shared" si="28"/>
        <v>0</v>
      </c>
      <c r="G158" s="2"/>
      <c r="H158" s="2"/>
      <c r="I158" s="2"/>
      <c r="J158" s="19">
        <f t="shared" si="29"/>
        <v>0</v>
      </c>
      <c r="K158" s="2"/>
      <c r="L158" s="2">
        <f t="shared" si="30"/>
        <v>0</v>
      </c>
      <c r="M158" s="2"/>
      <c r="N158" s="19">
        <f t="shared" si="31"/>
        <v>0</v>
      </c>
      <c r="O158" s="11"/>
      <c r="P158" s="2"/>
      <c r="Q158" s="2"/>
      <c r="R158" s="19">
        <f t="shared" si="32"/>
        <v>0</v>
      </c>
      <c r="S158" s="2"/>
      <c r="T158" s="2">
        <v>0</v>
      </c>
      <c r="U158" s="2"/>
      <c r="V158" s="19">
        <f t="shared" si="33"/>
        <v>0</v>
      </c>
      <c r="W158" s="2"/>
      <c r="X158" s="2">
        <f t="shared" si="34"/>
        <v>0</v>
      </c>
      <c r="Y158" s="2"/>
      <c r="Z158" s="19">
        <f t="shared" si="35"/>
        <v>0</v>
      </c>
    </row>
    <row r="159" spans="1:26" s="24" customFormat="1" hidden="1" outlineLevel="1" x14ac:dyDescent="0.25">
      <c r="A159" s="44"/>
      <c r="B159" s="11" t="str">
        <f>CONCATENATE("          ", "5200", " - ", "PURCHASES OFFSET")</f>
        <v xml:space="preserve">          5200 - PURCHASES OFFSET</v>
      </c>
      <c r="C159" s="11"/>
      <c r="D159" s="2">
        <v>120893.79999999999</v>
      </c>
      <c r="E159" s="2"/>
      <c r="F159" s="19">
        <f t="shared" si="28"/>
        <v>0.7079996882064804</v>
      </c>
      <c r="G159" s="2"/>
      <c r="H159" s="2">
        <v>27177</v>
      </c>
      <c r="I159" s="2"/>
      <c r="J159" s="19">
        <f t="shared" si="29"/>
        <v>4.4490960110400851E-2</v>
      </c>
      <c r="K159" s="2"/>
      <c r="L159" s="2">
        <f t="shared" si="30"/>
        <v>93716.799999999988</v>
      </c>
      <c r="M159" s="2"/>
      <c r="N159" s="19">
        <f t="shared" si="31"/>
        <v>3.4483865032932255</v>
      </c>
      <c r="O159" s="11"/>
      <c r="P159" s="2">
        <v>-2675815.56</v>
      </c>
      <c r="Q159" s="2"/>
      <c r="R159" s="19">
        <f t="shared" si="32"/>
        <v>-0.73092024487122609</v>
      </c>
      <c r="S159" s="2"/>
      <c r="T159" s="2">
        <v>-3845644</v>
      </c>
      <c r="U159" s="2"/>
      <c r="V159" s="19">
        <f t="shared" si="33"/>
        <v>-0.58532823498832087</v>
      </c>
      <c r="W159" s="2"/>
      <c r="X159" s="2">
        <f t="shared" si="34"/>
        <v>1169828.44</v>
      </c>
      <c r="Y159" s="2"/>
      <c r="Z159" s="19">
        <f t="shared" si="35"/>
        <v>-0.30419571858445554</v>
      </c>
    </row>
    <row r="160" spans="1:26" s="24" customFormat="1" hidden="1" outlineLevel="1" x14ac:dyDescent="0.25">
      <c r="A160" s="44"/>
      <c r="B160" s="11" t="str">
        <f>CONCATENATE("          ", "5300", " - ", "COG$ OFFSET")</f>
        <v xml:space="preserve">          5300 - COG$ OFFSET</v>
      </c>
      <c r="C160" s="11"/>
      <c r="D160" s="2">
        <v>117369</v>
      </c>
      <c r="E160" s="2"/>
      <c r="F160" s="19">
        <f t="shared" si="28"/>
        <v>0.68735713001912768</v>
      </c>
      <c r="G160" s="2"/>
      <c r="H160" s="2">
        <v>346925</v>
      </c>
      <c r="I160" s="2"/>
      <c r="J160" s="19">
        <f t="shared" si="29"/>
        <v>0.56794445068627208</v>
      </c>
      <c r="K160" s="2"/>
      <c r="L160" s="2">
        <f t="shared" si="30"/>
        <v>-229556</v>
      </c>
      <c r="M160" s="2"/>
      <c r="N160" s="19">
        <f t="shared" si="31"/>
        <v>-0.66168768465806727</v>
      </c>
      <c r="O160" s="11"/>
      <c r="P160" s="2">
        <v>2394333</v>
      </c>
      <c r="Q160" s="2"/>
      <c r="R160" s="19">
        <f t="shared" si="32"/>
        <v>0.65403105087828151</v>
      </c>
      <c r="S160" s="2"/>
      <c r="T160" s="2">
        <v>3679397</v>
      </c>
      <c r="U160" s="2"/>
      <c r="V160" s="19">
        <f t="shared" si="33"/>
        <v>0.56002452432708871</v>
      </c>
      <c r="W160" s="2"/>
      <c r="X160" s="2">
        <f t="shared" si="34"/>
        <v>-1285064</v>
      </c>
      <c r="Y160" s="2"/>
      <c r="Z160" s="19">
        <f t="shared" si="35"/>
        <v>-0.34925940310328024</v>
      </c>
    </row>
    <row r="161" spans="1:26" s="24" customFormat="1" hidden="1" outlineLevel="1" x14ac:dyDescent="0.25">
      <c r="A161" s="44"/>
      <c r="B161" s="11" t="str">
        <f>CONCATENATE("          ", "5500", " - ", "FREIGHT-IN")</f>
        <v xml:space="preserve">          5500 - FREIGHT-IN</v>
      </c>
      <c r="C161" s="11"/>
      <c r="D161" s="2"/>
      <c r="E161" s="2"/>
      <c r="F161" s="19">
        <f t="shared" si="28"/>
        <v>0</v>
      </c>
      <c r="G161" s="2"/>
      <c r="H161" s="2"/>
      <c r="I161" s="2"/>
      <c r="J161" s="19">
        <f t="shared" si="29"/>
        <v>0</v>
      </c>
      <c r="K161" s="2"/>
      <c r="L161" s="2">
        <f t="shared" si="30"/>
        <v>0</v>
      </c>
      <c r="M161" s="2"/>
      <c r="N161" s="19">
        <f t="shared" si="31"/>
        <v>0</v>
      </c>
      <c r="O161" s="11"/>
      <c r="P161" s="2"/>
      <c r="Q161" s="2"/>
      <c r="R161" s="19">
        <f t="shared" si="32"/>
        <v>0</v>
      </c>
      <c r="S161" s="2"/>
      <c r="T161" s="2">
        <v>35.229999999999997</v>
      </c>
      <c r="U161" s="2"/>
      <c r="V161" s="19">
        <f t="shared" si="33"/>
        <v>5.3622003801284104E-6</v>
      </c>
      <c r="W161" s="2"/>
      <c r="X161" s="2">
        <f t="shared" si="34"/>
        <v>-35.229999999999997</v>
      </c>
      <c r="Y161" s="2"/>
      <c r="Z161" s="19">
        <f t="shared" si="35"/>
        <v>-1</v>
      </c>
    </row>
    <row r="162" spans="1:26" s="24" customFormat="1" hidden="1" outlineLevel="1" x14ac:dyDescent="0.25">
      <c r="A162" s="44"/>
      <c r="B162" s="11" t="str">
        <f>CONCATENATE("          ", "5501", " - ", "FREIGHT-IN-NEW TEXT")</f>
        <v xml:space="preserve">          5501 - FREIGHT-IN-NEW TEXT</v>
      </c>
      <c r="C162" s="11"/>
      <c r="D162" s="2">
        <v>990.19</v>
      </c>
      <c r="E162" s="2"/>
      <c r="F162" s="19">
        <f t="shared" si="28"/>
        <v>5.7989260926960273E-3</v>
      </c>
      <c r="G162" s="2"/>
      <c r="H162" s="2">
        <v>490.07</v>
      </c>
      <c r="I162" s="2"/>
      <c r="J162" s="19">
        <f t="shared" si="29"/>
        <v>8.0228446190911968E-4</v>
      </c>
      <c r="K162" s="2"/>
      <c r="L162" s="2">
        <f t="shared" si="30"/>
        <v>500.12000000000006</v>
      </c>
      <c r="M162" s="2"/>
      <c r="N162" s="19">
        <f t="shared" si="31"/>
        <v>1.020507274470994</v>
      </c>
      <c r="O162" s="11"/>
      <c r="P162" s="2">
        <v>35048.81</v>
      </c>
      <c r="Q162" s="2"/>
      <c r="R162" s="19">
        <f t="shared" si="32"/>
        <v>9.5738604598162511E-3</v>
      </c>
      <c r="S162" s="2"/>
      <c r="T162" s="2">
        <v>34507.550000000003</v>
      </c>
      <c r="U162" s="2"/>
      <c r="V162" s="19">
        <f t="shared" si="33"/>
        <v>5.2522395040391755E-3</v>
      </c>
      <c r="W162" s="2"/>
      <c r="X162" s="2">
        <f t="shared" si="34"/>
        <v>541.25999999999476</v>
      </c>
      <c r="Y162" s="2"/>
      <c r="Z162" s="19">
        <f t="shared" si="35"/>
        <v>1.5685263080108404E-2</v>
      </c>
    </row>
    <row r="163" spans="1:26" s="24" customFormat="1" hidden="1" outlineLevel="1" x14ac:dyDescent="0.25">
      <c r="A163" s="44"/>
      <c r="B163" s="11" t="str">
        <f>CONCATENATE("          ", "5502", " - ", "FREIGHT-IN-USED TEXT")</f>
        <v xml:space="preserve">          5502 - FREIGHT-IN-USED TEXT</v>
      </c>
      <c r="C163" s="11"/>
      <c r="D163" s="2">
        <v>388.37</v>
      </c>
      <c r="E163" s="2"/>
      <c r="F163" s="19">
        <f t="shared" si="28"/>
        <v>2.2744411947407629E-3</v>
      </c>
      <c r="G163" s="2"/>
      <c r="H163" s="2">
        <v>237.65</v>
      </c>
      <c r="I163" s="2"/>
      <c r="J163" s="19">
        <f t="shared" si="29"/>
        <v>3.8905238511376393E-4</v>
      </c>
      <c r="K163" s="2"/>
      <c r="L163" s="2">
        <f t="shared" si="30"/>
        <v>150.72</v>
      </c>
      <c r="M163" s="2"/>
      <c r="N163" s="19">
        <f t="shared" si="31"/>
        <v>0.63420997264885337</v>
      </c>
      <c r="O163" s="11"/>
      <c r="P163" s="2">
        <v>11133.09</v>
      </c>
      <c r="Q163" s="2"/>
      <c r="R163" s="19">
        <f t="shared" si="32"/>
        <v>3.0410918415368655E-3</v>
      </c>
      <c r="S163" s="2"/>
      <c r="T163" s="2">
        <v>7090.12</v>
      </c>
      <c r="U163" s="2"/>
      <c r="V163" s="19">
        <f t="shared" si="33"/>
        <v>1.0791553834560332E-3</v>
      </c>
      <c r="W163" s="2"/>
      <c r="X163" s="2">
        <f t="shared" si="34"/>
        <v>4042.9700000000003</v>
      </c>
      <c r="Y163" s="2"/>
      <c r="Z163" s="19">
        <f t="shared" si="35"/>
        <v>0.57022589180437011</v>
      </c>
    </row>
    <row r="164" spans="1:26" s="24" customFormat="1" hidden="1" outlineLevel="1" x14ac:dyDescent="0.25">
      <c r="A164" s="44"/>
      <c r="B164" s="11" t="str">
        <f>CONCATENATE("          ", "5504", " - ", "FREIGHT-IN-DIGITAL TEXT")</f>
        <v xml:space="preserve">          5504 - FREIGHT-IN-DIGITAL TEXT</v>
      </c>
      <c r="C164" s="11"/>
      <c r="D164" s="2"/>
      <c r="E164" s="2"/>
      <c r="F164" s="19">
        <f t="shared" si="28"/>
        <v>0</v>
      </c>
      <c r="G164" s="2"/>
      <c r="H164" s="2">
        <v>5</v>
      </c>
      <c r="I164" s="2"/>
      <c r="J164" s="19">
        <f t="shared" si="29"/>
        <v>8.1854067981014914E-6</v>
      </c>
      <c r="K164" s="2"/>
      <c r="L164" s="2">
        <f t="shared" si="30"/>
        <v>-5</v>
      </c>
      <c r="M164" s="2"/>
      <c r="N164" s="19">
        <f t="shared" si="31"/>
        <v>-1</v>
      </c>
      <c r="O164" s="11"/>
      <c r="P164" s="2">
        <v>21.98</v>
      </c>
      <c r="Q164" s="2"/>
      <c r="R164" s="19">
        <f t="shared" si="32"/>
        <v>6.0040113460845372E-6</v>
      </c>
      <c r="S164" s="2"/>
      <c r="T164" s="2">
        <v>105.97</v>
      </c>
      <c r="U164" s="2"/>
      <c r="V164" s="19">
        <f t="shared" si="33"/>
        <v>1.6129218685274134E-5</v>
      </c>
      <c r="W164" s="2"/>
      <c r="X164" s="2">
        <f t="shared" si="34"/>
        <v>-83.99</v>
      </c>
      <c r="Y164" s="2"/>
      <c r="Z164" s="19">
        <f t="shared" si="35"/>
        <v>-0.79258280645465695</v>
      </c>
    </row>
    <row r="165" spans="1:26" s="24" customFormat="1" hidden="1" outlineLevel="1" x14ac:dyDescent="0.25">
      <c r="A165" s="44"/>
      <c r="B165" s="11" t="str">
        <f>CONCATENATE("          ", "5513", " - ", "FREIGHT-IN-TRADE BOOKS")</f>
        <v xml:space="preserve">          5513 - FREIGHT-IN-TRADE BOOKS</v>
      </c>
      <c r="C165" s="11"/>
      <c r="D165" s="2">
        <v>26.46</v>
      </c>
      <c r="E165" s="2"/>
      <c r="F165" s="19">
        <f t="shared" si="28"/>
        <v>1.5495973945680815E-4</v>
      </c>
      <c r="G165" s="2"/>
      <c r="H165" s="2">
        <v>12.33</v>
      </c>
      <c r="I165" s="2"/>
      <c r="J165" s="19">
        <f t="shared" si="29"/>
        <v>2.0185213164118278E-5</v>
      </c>
      <c r="K165" s="2"/>
      <c r="L165" s="2">
        <f t="shared" si="30"/>
        <v>14.13</v>
      </c>
      <c r="M165" s="2"/>
      <c r="N165" s="19">
        <f t="shared" si="31"/>
        <v>1.1459854014598541</v>
      </c>
      <c r="O165" s="11"/>
      <c r="P165" s="2">
        <v>26.46</v>
      </c>
      <c r="Q165" s="2"/>
      <c r="R165" s="19">
        <f t="shared" si="32"/>
        <v>7.227758881592214E-6</v>
      </c>
      <c r="S165" s="2"/>
      <c r="T165" s="2">
        <v>12.33</v>
      </c>
      <c r="U165" s="2"/>
      <c r="V165" s="19">
        <f t="shared" si="33"/>
        <v>1.8766940302862138E-6</v>
      </c>
      <c r="W165" s="2"/>
      <c r="X165" s="2">
        <f t="shared" si="34"/>
        <v>14.13</v>
      </c>
      <c r="Y165" s="2"/>
      <c r="Z165" s="19">
        <f t="shared" si="35"/>
        <v>1.1459854014598541</v>
      </c>
    </row>
    <row r="166" spans="1:26" s="24" customFormat="1" hidden="1" outlineLevel="1" x14ac:dyDescent="0.25">
      <c r="A166" s="44"/>
      <c r="B166" s="11" t="str">
        <f>CONCATENATE("          ", "5518", " - ", "FREIGHT-IN-STUDY GUIDES")</f>
        <v xml:space="preserve">          5518 - FREIGHT-IN-STUDY GUIDES</v>
      </c>
      <c r="C166" s="11"/>
      <c r="D166" s="2"/>
      <c r="E166" s="2"/>
      <c r="F166" s="19">
        <f t="shared" si="28"/>
        <v>0</v>
      </c>
      <c r="G166" s="2"/>
      <c r="H166" s="2">
        <v>12.26</v>
      </c>
      <c r="I166" s="2"/>
      <c r="J166" s="19">
        <f t="shared" si="29"/>
        <v>2.0070617468944857E-5</v>
      </c>
      <c r="K166" s="2"/>
      <c r="L166" s="2">
        <f t="shared" si="30"/>
        <v>-12.26</v>
      </c>
      <c r="M166" s="2"/>
      <c r="N166" s="19">
        <f t="shared" si="31"/>
        <v>-1</v>
      </c>
      <c r="O166" s="11"/>
      <c r="P166" s="2"/>
      <c r="Q166" s="2"/>
      <c r="R166" s="19">
        <f t="shared" si="32"/>
        <v>0</v>
      </c>
      <c r="S166" s="2"/>
      <c r="T166" s="2">
        <v>12.26</v>
      </c>
      <c r="U166" s="2"/>
      <c r="V166" s="19">
        <f t="shared" si="33"/>
        <v>1.8660396440639887E-6</v>
      </c>
      <c r="W166" s="2"/>
      <c r="X166" s="2">
        <f t="shared" si="34"/>
        <v>-12.26</v>
      </c>
      <c r="Y166" s="2"/>
      <c r="Z166" s="19">
        <f t="shared" si="35"/>
        <v>-1</v>
      </c>
    </row>
    <row r="167" spans="1:26" s="24" customFormat="1" hidden="1" outlineLevel="1" x14ac:dyDescent="0.25">
      <c r="A167" s="44"/>
      <c r="B167" s="11" t="str">
        <f>CONCATENATE("          ", "5525", " - ", "FREIGHT-IN-TEST FORMS")</f>
        <v xml:space="preserve">          5525 - FREIGHT-IN-TEST FORMS</v>
      </c>
      <c r="C167" s="11"/>
      <c r="D167" s="2"/>
      <c r="E167" s="2"/>
      <c r="F167" s="19">
        <f t="shared" si="28"/>
        <v>0</v>
      </c>
      <c r="G167" s="2"/>
      <c r="H167" s="2">
        <v>335.7</v>
      </c>
      <c r="I167" s="2"/>
      <c r="J167" s="19">
        <f t="shared" si="29"/>
        <v>5.4956821242453419E-4</v>
      </c>
      <c r="K167" s="2"/>
      <c r="L167" s="2">
        <f t="shared" si="30"/>
        <v>-335.7</v>
      </c>
      <c r="M167" s="2"/>
      <c r="N167" s="19">
        <f t="shared" si="31"/>
        <v>-1</v>
      </c>
      <c r="O167" s="11"/>
      <c r="P167" s="2">
        <v>48.14</v>
      </c>
      <c r="Q167" s="2"/>
      <c r="R167" s="19">
        <f t="shared" si="32"/>
        <v>1.3149822848066862E-5</v>
      </c>
      <c r="S167" s="2"/>
      <c r="T167" s="2">
        <v>374.92</v>
      </c>
      <c r="U167" s="2"/>
      <c r="V167" s="19">
        <f t="shared" si="33"/>
        <v>5.7064892606237413E-5</v>
      </c>
      <c r="W167" s="2"/>
      <c r="X167" s="2">
        <f t="shared" si="34"/>
        <v>-326.78000000000003</v>
      </c>
      <c r="Y167" s="2"/>
      <c r="Z167" s="19">
        <f t="shared" si="35"/>
        <v>-0.87159927451189589</v>
      </c>
    </row>
    <row r="168" spans="1:26" s="24" customFormat="1" hidden="1" outlineLevel="1" x14ac:dyDescent="0.25">
      <c r="A168" s="44"/>
      <c r="B168" s="11" t="str">
        <f>CONCATENATE("          ", "5526", " - ", "FREIGHT-IN-WRITING INSTRUMENTS")</f>
        <v xml:space="preserve">          5526 - FREIGHT-IN-WRITING INSTRUMENTS</v>
      </c>
      <c r="C168" s="11"/>
      <c r="D168" s="2"/>
      <c r="E168" s="2"/>
      <c r="F168" s="19">
        <f t="shared" si="28"/>
        <v>0</v>
      </c>
      <c r="G168" s="2"/>
      <c r="H168" s="2">
        <v>160.91999999999999</v>
      </c>
      <c r="I168" s="2"/>
      <c r="J168" s="19">
        <f t="shared" si="29"/>
        <v>2.6343913239009842E-4</v>
      </c>
      <c r="K168" s="2"/>
      <c r="L168" s="2">
        <f t="shared" si="30"/>
        <v>-160.91999999999999</v>
      </c>
      <c r="M168" s="2"/>
      <c r="N168" s="19">
        <f t="shared" si="31"/>
        <v>-1</v>
      </c>
      <c r="O168" s="11"/>
      <c r="P168" s="2"/>
      <c r="Q168" s="2"/>
      <c r="R168" s="19">
        <f t="shared" si="32"/>
        <v>0</v>
      </c>
      <c r="S168" s="2"/>
      <c r="T168" s="2">
        <v>217.49</v>
      </c>
      <c r="U168" s="2"/>
      <c r="V168" s="19">
        <f t="shared" si="33"/>
        <v>3.3103177992453253E-5</v>
      </c>
      <c r="W168" s="2"/>
      <c r="X168" s="2">
        <f t="shared" si="34"/>
        <v>-217.49</v>
      </c>
      <c r="Y168" s="2"/>
      <c r="Z168" s="19">
        <f t="shared" si="35"/>
        <v>-1</v>
      </c>
    </row>
    <row r="169" spans="1:26" s="24" customFormat="1" hidden="1" outlineLevel="1" x14ac:dyDescent="0.25">
      <c r="A169" s="44"/>
      <c r="B169" s="11" t="str">
        <f>CONCATENATE("          ", "5527", " - ", "FREIGHT-IN-SCHOOL SUPPLIES")</f>
        <v xml:space="preserve">          5527 - FREIGHT-IN-SCHOOL SUPPLIES</v>
      </c>
      <c r="C169" s="11"/>
      <c r="D169" s="2"/>
      <c r="E169" s="2"/>
      <c r="F169" s="19">
        <f t="shared" si="28"/>
        <v>0</v>
      </c>
      <c r="G169" s="2"/>
      <c r="H169" s="2">
        <v>134.09</v>
      </c>
      <c r="I169" s="2"/>
      <c r="J169" s="19">
        <f t="shared" si="29"/>
        <v>2.1951623951148582E-4</v>
      </c>
      <c r="K169" s="2"/>
      <c r="L169" s="2">
        <f t="shared" si="30"/>
        <v>-134.09</v>
      </c>
      <c r="M169" s="2"/>
      <c r="N169" s="19">
        <f t="shared" si="31"/>
        <v>-1</v>
      </c>
      <c r="O169" s="11"/>
      <c r="P169" s="2">
        <v>56</v>
      </c>
      <c r="Q169" s="2"/>
      <c r="R169" s="19">
        <f t="shared" si="32"/>
        <v>1.5296844193845956E-5</v>
      </c>
      <c r="S169" s="2"/>
      <c r="T169" s="2">
        <v>872.58</v>
      </c>
      <c r="U169" s="2"/>
      <c r="V169" s="19">
        <f t="shared" si="33"/>
        <v>1.3281149042555917E-4</v>
      </c>
      <c r="W169" s="2"/>
      <c r="X169" s="2">
        <f t="shared" si="34"/>
        <v>-816.58</v>
      </c>
      <c r="Y169" s="2"/>
      <c r="Z169" s="19">
        <f t="shared" si="35"/>
        <v>-0.93582250338077888</v>
      </c>
    </row>
    <row r="170" spans="1:26" s="24" customFormat="1" hidden="1" outlineLevel="1" x14ac:dyDescent="0.25">
      <c r="A170" s="44"/>
      <c r="B170" s="11" t="str">
        <f>CONCATENATE("          ", "5528", " - ", "FREIGHT-IN-ART/TECH")</f>
        <v xml:space="preserve">          5528 - FREIGHT-IN-ART/TECH</v>
      </c>
      <c r="C170" s="11"/>
      <c r="D170" s="2">
        <v>1.72</v>
      </c>
      <c r="E170" s="2"/>
      <c r="F170" s="19">
        <f t="shared" si="28"/>
        <v>1.0072968702407786E-5</v>
      </c>
      <c r="G170" s="2"/>
      <c r="H170" s="2">
        <v>105.06</v>
      </c>
      <c r="I170" s="2"/>
      <c r="J170" s="19">
        <f t="shared" si="29"/>
        <v>1.7199176764170855E-4</v>
      </c>
      <c r="K170" s="2"/>
      <c r="L170" s="2">
        <f t="shared" si="30"/>
        <v>-103.34</v>
      </c>
      <c r="M170" s="2"/>
      <c r="N170" s="19">
        <f t="shared" si="31"/>
        <v>-0.98362840281743769</v>
      </c>
      <c r="O170" s="11"/>
      <c r="P170" s="2">
        <v>285.92</v>
      </c>
      <c r="Q170" s="2"/>
      <c r="R170" s="19">
        <f t="shared" si="32"/>
        <v>7.8101315926864927E-5</v>
      </c>
      <c r="S170" s="2"/>
      <c r="T170" s="2">
        <v>923.5</v>
      </c>
      <c r="U170" s="2"/>
      <c r="V170" s="19">
        <f t="shared" si="33"/>
        <v>1.4056179537464059E-4</v>
      </c>
      <c r="W170" s="2"/>
      <c r="X170" s="2">
        <f t="shared" si="34"/>
        <v>-637.57999999999993</v>
      </c>
      <c r="Y170" s="2"/>
      <c r="Z170" s="19">
        <f t="shared" si="35"/>
        <v>-0.69039523551705462</v>
      </c>
    </row>
    <row r="171" spans="1:26" s="24" customFormat="1" hidden="1" outlineLevel="1" x14ac:dyDescent="0.25">
      <c r="A171" s="44"/>
      <c r="B171" s="11" t="str">
        <f>CONCATENATE("          ", "5540", " - ", "FREIGHT-IN-LOGO CLOTHING")</f>
        <v xml:space="preserve">          5540 - FREIGHT-IN-LOGO CLOTHING</v>
      </c>
      <c r="C171" s="11"/>
      <c r="D171" s="2">
        <v>1333.15</v>
      </c>
      <c r="E171" s="2"/>
      <c r="F171" s="19">
        <f t="shared" si="28"/>
        <v>7.8074292009389194E-3</v>
      </c>
      <c r="G171" s="2"/>
      <c r="H171" s="2">
        <v>6133.89</v>
      </c>
      <c r="I171" s="2"/>
      <c r="J171" s="19">
        <f t="shared" si="29"/>
        <v>1.0041676980961353E-2</v>
      </c>
      <c r="K171" s="2"/>
      <c r="L171" s="2">
        <f t="shared" si="30"/>
        <v>-4800.74</v>
      </c>
      <c r="M171" s="2"/>
      <c r="N171" s="19">
        <f t="shared" si="31"/>
        <v>-0.78265831307701961</v>
      </c>
      <c r="O171" s="11"/>
      <c r="P171" s="2">
        <v>4535.4799999999996</v>
      </c>
      <c r="Q171" s="2"/>
      <c r="R171" s="19">
        <f t="shared" si="32"/>
        <v>1.2389023375768652E-3</v>
      </c>
      <c r="S171" s="2"/>
      <c r="T171" s="2">
        <v>20241.329999999998</v>
      </c>
      <c r="U171" s="2"/>
      <c r="V171" s="19">
        <f t="shared" si="33"/>
        <v>3.0808421067358674E-3</v>
      </c>
      <c r="W171" s="2"/>
      <c r="X171" s="2">
        <f t="shared" si="34"/>
        <v>-15705.849999999999</v>
      </c>
      <c r="Y171" s="2"/>
      <c r="Z171" s="19">
        <f t="shared" si="35"/>
        <v>-0.77592974374707591</v>
      </c>
    </row>
    <row r="172" spans="1:26" s="24" customFormat="1" hidden="1" outlineLevel="1" x14ac:dyDescent="0.25">
      <c r="A172" s="44"/>
      <c r="B172" s="11" t="str">
        <f>CONCATENATE("          ", "5541", " - ", "FREIGHT-IN-LOGO GIFTS")</f>
        <v xml:space="preserve">          5541 - FREIGHT-IN-LOGO GIFTS</v>
      </c>
      <c r="C172" s="11"/>
      <c r="D172" s="2">
        <v>301.06</v>
      </c>
      <c r="E172" s="2"/>
      <c r="F172" s="19">
        <f t="shared" si="28"/>
        <v>1.7631209055505165E-3</v>
      </c>
      <c r="G172" s="2"/>
      <c r="H172" s="2">
        <v>1315.98</v>
      </c>
      <c r="I172" s="2"/>
      <c r="J172" s="19">
        <f t="shared" si="29"/>
        <v>2.1543663276331203E-3</v>
      </c>
      <c r="K172" s="2"/>
      <c r="L172" s="2">
        <f t="shared" si="30"/>
        <v>-1014.9200000000001</v>
      </c>
      <c r="M172" s="2"/>
      <c r="N172" s="19">
        <f t="shared" si="31"/>
        <v>-0.77122752625419844</v>
      </c>
      <c r="O172" s="11"/>
      <c r="P172" s="2">
        <v>1435.87</v>
      </c>
      <c r="Q172" s="2"/>
      <c r="R172" s="19">
        <f t="shared" si="32"/>
        <v>3.9221927986817125E-4</v>
      </c>
      <c r="S172" s="2"/>
      <c r="T172" s="2">
        <v>2852.83</v>
      </c>
      <c r="U172" s="2"/>
      <c r="V172" s="19">
        <f t="shared" si="33"/>
        <v>4.3421646637643299E-4</v>
      </c>
      <c r="W172" s="2"/>
      <c r="X172" s="2">
        <f t="shared" si="34"/>
        <v>-1416.96</v>
      </c>
      <c r="Y172" s="2"/>
      <c r="Z172" s="19">
        <f t="shared" si="35"/>
        <v>-0.49668574713530078</v>
      </c>
    </row>
    <row r="173" spans="1:26" s="24" customFormat="1" hidden="1" outlineLevel="1" x14ac:dyDescent="0.25">
      <c r="A173" s="44"/>
      <c r="B173" s="11" t="str">
        <f>CONCATENATE("          ", "5542", " - ", "FREIGHT-IN-EVERYDAY GIFTS")</f>
        <v xml:space="preserve">          5542 - FREIGHT-IN-EVERYDAY GIFTS</v>
      </c>
      <c r="C173" s="11"/>
      <c r="D173" s="2">
        <v>21</v>
      </c>
      <c r="E173" s="2"/>
      <c r="F173" s="19">
        <f t="shared" si="28"/>
        <v>1.2298392020381599E-4</v>
      </c>
      <c r="G173" s="2"/>
      <c r="H173" s="2">
        <v>745.78</v>
      </c>
      <c r="I173" s="2"/>
      <c r="J173" s="19">
        <f t="shared" si="29"/>
        <v>1.2209025363776262E-3</v>
      </c>
      <c r="K173" s="2"/>
      <c r="L173" s="2">
        <f t="shared" si="30"/>
        <v>-724.78</v>
      </c>
      <c r="M173" s="2"/>
      <c r="N173" s="19">
        <f t="shared" si="31"/>
        <v>-0.9718415618547025</v>
      </c>
      <c r="O173" s="11"/>
      <c r="P173" s="2">
        <v>196.55</v>
      </c>
      <c r="Q173" s="2"/>
      <c r="R173" s="19">
        <f t="shared" si="32"/>
        <v>5.3689191541078978E-5</v>
      </c>
      <c r="S173" s="2"/>
      <c r="T173" s="2">
        <v>1513.51</v>
      </c>
      <c r="U173" s="2"/>
      <c r="V173" s="19">
        <f t="shared" si="33"/>
        <v>2.3036457273142638E-4</v>
      </c>
      <c r="W173" s="2"/>
      <c r="X173" s="2">
        <f t="shared" si="34"/>
        <v>-1316.96</v>
      </c>
      <c r="Y173" s="2"/>
      <c r="Z173" s="19">
        <f t="shared" si="35"/>
        <v>-0.87013630567356681</v>
      </c>
    </row>
    <row r="174" spans="1:26" s="24" customFormat="1" hidden="1" outlineLevel="1" x14ac:dyDescent="0.25">
      <c r="A174" s="44"/>
      <c r="B174" s="11" t="str">
        <f>CONCATENATE("          ", "5543", " - ", "FREIGHT-IN-CARDS")</f>
        <v xml:space="preserve">          5543 - FREIGHT-IN-CARDS</v>
      </c>
      <c r="C174" s="11"/>
      <c r="D174" s="2">
        <v>6323.12</v>
      </c>
      <c r="E174" s="2"/>
      <c r="F174" s="19">
        <f t="shared" si="28"/>
        <v>3.7030575500912051E-2</v>
      </c>
      <c r="G174" s="2"/>
      <c r="H174" s="2">
        <v>39.01</v>
      </c>
      <c r="I174" s="2"/>
      <c r="J174" s="19">
        <f t="shared" si="29"/>
        <v>6.3862543838787839E-5</v>
      </c>
      <c r="K174" s="2"/>
      <c r="L174" s="2">
        <f t="shared" si="30"/>
        <v>6284.11</v>
      </c>
      <c r="M174" s="2"/>
      <c r="N174" s="19">
        <f t="shared" si="31"/>
        <v>161.08972058446551</v>
      </c>
      <c r="O174" s="11"/>
      <c r="P174" s="2">
        <v>6512.31</v>
      </c>
      <c r="Q174" s="2"/>
      <c r="R174" s="19">
        <f t="shared" si="32"/>
        <v>1.7788891323575885E-3</v>
      </c>
      <c r="S174" s="2"/>
      <c r="T174" s="2">
        <v>43.59</v>
      </c>
      <c r="U174" s="2"/>
      <c r="V174" s="19">
        <f t="shared" si="33"/>
        <v>6.6346385060970044E-6</v>
      </c>
      <c r="W174" s="2"/>
      <c r="X174" s="2">
        <f t="shared" si="34"/>
        <v>6468.72</v>
      </c>
      <c r="Y174" s="2"/>
      <c r="Z174" s="19">
        <f t="shared" si="35"/>
        <v>148.39917412250514</v>
      </c>
    </row>
    <row r="175" spans="1:26" s="24" customFormat="1" hidden="1" outlineLevel="1" x14ac:dyDescent="0.25">
      <c r="A175" s="44"/>
      <c r="B175" s="11" t="str">
        <f>CONCATENATE("          ", "5544", " - ", "FREIGHT-IN-ACCESSORIES")</f>
        <v xml:space="preserve">          5544 - FREIGHT-IN-ACCESSORIES</v>
      </c>
      <c r="C175" s="11"/>
      <c r="D175" s="2"/>
      <c r="E175" s="2"/>
      <c r="F175" s="19">
        <f t="shared" si="28"/>
        <v>0</v>
      </c>
      <c r="G175" s="2"/>
      <c r="H175" s="2">
        <v>54.82</v>
      </c>
      <c r="I175" s="2"/>
      <c r="J175" s="19">
        <f t="shared" si="29"/>
        <v>8.974480013438476E-5</v>
      </c>
      <c r="K175" s="2"/>
      <c r="L175" s="2">
        <f t="shared" si="30"/>
        <v>-54.82</v>
      </c>
      <c r="M175" s="2"/>
      <c r="N175" s="19">
        <f t="shared" si="31"/>
        <v>-1</v>
      </c>
      <c r="O175" s="11"/>
      <c r="P175" s="2"/>
      <c r="Q175" s="2"/>
      <c r="R175" s="19">
        <f t="shared" si="32"/>
        <v>0</v>
      </c>
      <c r="S175" s="2"/>
      <c r="T175" s="2">
        <v>413.91</v>
      </c>
      <c r="U175" s="2"/>
      <c r="V175" s="19">
        <f t="shared" si="33"/>
        <v>6.2999385732016774E-5</v>
      </c>
      <c r="W175" s="2"/>
      <c r="X175" s="2">
        <f t="shared" si="34"/>
        <v>-413.91</v>
      </c>
      <c r="Y175" s="2"/>
      <c r="Z175" s="19">
        <f t="shared" si="35"/>
        <v>-1</v>
      </c>
    </row>
    <row r="176" spans="1:26" s="24" customFormat="1" hidden="1" outlineLevel="1" x14ac:dyDescent="0.25">
      <c r="A176" s="44"/>
      <c r="B176" s="11" t="str">
        <f>CONCATENATE("          ", "5545", " - ", "FREIGHT-IN-SPECIAL ORDERS")</f>
        <v xml:space="preserve">          5545 - FREIGHT-IN-SPECIAL ORDERS</v>
      </c>
      <c r="C176" s="11"/>
      <c r="D176" s="2">
        <v>37.590000000000003</v>
      </c>
      <c r="E176" s="2"/>
      <c r="F176" s="19">
        <f t="shared" si="28"/>
        <v>2.2014121716483067E-4</v>
      </c>
      <c r="G176" s="2"/>
      <c r="H176" s="2">
        <v>158.08000000000001</v>
      </c>
      <c r="I176" s="2"/>
      <c r="J176" s="19">
        <f t="shared" si="29"/>
        <v>2.5878982132877679E-4</v>
      </c>
      <c r="K176" s="2"/>
      <c r="L176" s="2">
        <f t="shared" si="30"/>
        <v>-120.49000000000001</v>
      </c>
      <c r="M176" s="2"/>
      <c r="N176" s="19">
        <f t="shared" si="31"/>
        <v>-0.76220900809716596</v>
      </c>
      <c r="O176" s="11"/>
      <c r="P176" s="2">
        <v>887.86</v>
      </c>
      <c r="Q176" s="2"/>
      <c r="R176" s="19">
        <f t="shared" si="32"/>
        <v>2.4252600153478696E-4</v>
      </c>
      <c r="S176" s="2"/>
      <c r="T176" s="2">
        <v>505.06</v>
      </c>
      <c r="U176" s="2"/>
      <c r="V176" s="19">
        <f t="shared" si="33"/>
        <v>7.6872918648528401E-5</v>
      </c>
      <c r="W176" s="2"/>
      <c r="X176" s="2">
        <f t="shared" si="34"/>
        <v>382.8</v>
      </c>
      <c r="Y176" s="2"/>
      <c r="Z176" s="19">
        <f t="shared" si="35"/>
        <v>0.75792975092068271</v>
      </c>
    </row>
    <row r="177" spans="1:26" s="24" customFormat="1" hidden="1" outlineLevel="1" x14ac:dyDescent="0.25">
      <c r="A177" s="44"/>
      <c r="B177" s="11" t="str">
        <f>CONCATENATE("          ", "5581", " - ", "FREIGHT-IN-ELECTRONICS")</f>
        <v xml:space="preserve">          5581 - FREIGHT-IN-ELECTRONICS</v>
      </c>
      <c r="C177" s="11"/>
      <c r="D177" s="2"/>
      <c r="E177" s="2"/>
      <c r="F177" s="19">
        <f t="shared" si="28"/>
        <v>0</v>
      </c>
      <c r="G177" s="2"/>
      <c r="H177" s="2"/>
      <c r="I177" s="2"/>
      <c r="J177" s="19">
        <f t="shared" si="29"/>
        <v>0</v>
      </c>
      <c r="K177" s="2"/>
      <c r="L177" s="2">
        <f t="shared" si="30"/>
        <v>0</v>
      </c>
      <c r="M177" s="2"/>
      <c r="N177" s="19">
        <f t="shared" si="31"/>
        <v>0</v>
      </c>
      <c r="O177" s="11"/>
      <c r="P177" s="2"/>
      <c r="Q177" s="2"/>
      <c r="R177" s="19">
        <f t="shared" si="32"/>
        <v>0</v>
      </c>
      <c r="S177" s="2"/>
      <c r="T177" s="2">
        <v>105.75</v>
      </c>
      <c r="U177" s="2"/>
      <c r="V177" s="19">
        <f t="shared" si="33"/>
        <v>1.6095733471432856E-5</v>
      </c>
      <c r="W177" s="2"/>
      <c r="X177" s="2">
        <f t="shared" si="34"/>
        <v>-105.75</v>
      </c>
      <c r="Y177" s="2"/>
      <c r="Z177" s="19">
        <f t="shared" si="35"/>
        <v>-1</v>
      </c>
    </row>
    <row r="178" spans="1:26" s="24" customFormat="1" hidden="1" outlineLevel="1" x14ac:dyDescent="0.25">
      <c r="A178" s="44"/>
      <c r="B178" s="11" t="str">
        <f>CONCATENATE("          ", "5582", " - ", "FREIGHT-IN-COMPUTER HARDWARE")</f>
        <v xml:space="preserve">          5582 - FREIGHT-IN-COMPUTER HARDWARE</v>
      </c>
      <c r="C178" s="11"/>
      <c r="D178" s="2"/>
      <c r="E178" s="2"/>
      <c r="F178" s="19">
        <f t="shared" si="28"/>
        <v>0</v>
      </c>
      <c r="G178" s="2"/>
      <c r="H178" s="2"/>
      <c r="I178" s="2"/>
      <c r="J178" s="19">
        <f t="shared" si="29"/>
        <v>0</v>
      </c>
      <c r="K178" s="2"/>
      <c r="L178" s="2">
        <f t="shared" si="30"/>
        <v>0</v>
      </c>
      <c r="M178" s="2"/>
      <c r="N178" s="19">
        <f t="shared" si="31"/>
        <v>0</v>
      </c>
      <c r="O178" s="11"/>
      <c r="P178" s="2">
        <v>94</v>
      </c>
      <c r="Q178" s="2"/>
      <c r="R178" s="19">
        <f t="shared" si="32"/>
        <v>2.5676845611098568E-5</v>
      </c>
      <c r="S178" s="2"/>
      <c r="T178" s="2">
        <v>4.84</v>
      </c>
      <c r="U178" s="2"/>
      <c r="V178" s="19">
        <f t="shared" si="33"/>
        <v>7.3667470450813253E-7</v>
      </c>
      <c r="W178" s="2"/>
      <c r="X178" s="2">
        <f t="shared" si="34"/>
        <v>89.16</v>
      </c>
      <c r="Y178" s="2"/>
      <c r="Z178" s="19">
        <f t="shared" si="35"/>
        <v>18.421487603305785</v>
      </c>
    </row>
    <row r="179" spans="1:26" s="24" customFormat="1" hidden="1" outlineLevel="1" x14ac:dyDescent="0.25">
      <c r="A179" s="44"/>
      <c r="B179" s="11" t="str">
        <f>CONCATENATE("          ", "5583", " - ", "FREIGHT-IN-COMPUTER EQUIPMENT")</f>
        <v xml:space="preserve">          5583 - FREIGHT-IN-COMPUTER EQUIPMENT</v>
      </c>
      <c r="C179" s="11"/>
      <c r="D179" s="2"/>
      <c r="E179" s="2"/>
      <c r="F179" s="19">
        <f t="shared" si="28"/>
        <v>0</v>
      </c>
      <c r="G179" s="2"/>
      <c r="H179" s="2"/>
      <c r="I179" s="2"/>
      <c r="J179" s="19">
        <f t="shared" si="29"/>
        <v>0</v>
      </c>
      <c r="K179" s="2"/>
      <c r="L179" s="2">
        <f t="shared" si="30"/>
        <v>0</v>
      </c>
      <c r="M179" s="2"/>
      <c r="N179" s="19">
        <f t="shared" si="31"/>
        <v>0</v>
      </c>
      <c r="O179" s="11"/>
      <c r="P179" s="2">
        <v>225.17</v>
      </c>
      <c r="Q179" s="2"/>
      <c r="R179" s="19">
        <f t="shared" si="32"/>
        <v>6.150697155586239E-5</v>
      </c>
      <c r="S179" s="2"/>
      <c r="T179" s="2">
        <v>41</v>
      </c>
      <c r="U179" s="2"/>
      <c r="V179" s="19">
        <f t="shared" si="33"/>
        <v>6.2404262158746762E-6</v>
      </c>
      <c r="W179" s="2"/>
      <c r="X179" s="2">
        <f t="shared" si="34"/>
        <v>184.17</v>
      </c>
      <c r="Y179" s="2"/>
      <c r="Z179" s="19">
        <f t="shared" si="35"/>
        <v>4.4919512195121944</v>
      </c>
    </row>
    <row r="180" spans="1:26" s="24" customFormat="1" hidden="1" outlineLevel="1" x14ac:dyDescent="0.25">
      <c r="A180" s="44"/>
      <c r="B180" s="11" t="str">
        <f>CONCATENATE("          ", "5586", " - ", "FREIGHT-IN-COMPUTER SUPPLIES")</f>
        <v xml:space="preserve">          5586 - FREIGHT-IN-COMPUTER SUPPLIES</v>
      </c>
      <c r="C180" s="11"/>
      <c r="D180" s="2"/>
      <c r="E180" s="2"/>
      <c r="F180" s="19">
        <f t="shared" si="28"/>
        <v>0</v>
      </c>
      <c r="G180" s="2"/>
      <c r="H180" s="2"/>
      <c r="I180" s="2"/>
      <c r="J180" s="19">
        <f t="shared" si="29"/>
        <v>0</v>
      </c>
      <c r="K180" s="2"/>
      <c r="L180" s="2">
        <f t="shared" si="30"/>
        <v>0</v>
      </c>
      <c r="M180" s="2"/>
      <c r="N180" s="19">
        <f t="shared" si="31"/>
        <v>0</v>
      </c>
      <c r="O180" s="11"/>
      <c r="P180" s="2">
        <v>24.12</v>
      </c>
      <c r="Q180" s="2"/>
      <c r="R180" s="19">
        <f t="shared" si="32"/>
        <v>6.5885693206350795E-6</v>
      </c>
      <c r="S180" s="2"/>
      <c r="T180" s="2">
        <v>162.51</v>
      </c>
      <c r="U180" s="2"/>
      <c r="V180" s="19">
        <f t="shared" si="33"/>
        <v>2.4734918642482773E-5</v>
      </c>
      <c r="W180" s="2"/>
      <c r="X180" s="2">
        <f t="shared" si="34"/>
        <v>-138.38999999999999</v>
      </c>
      <c r="Y180" s="2"/>
      <c r="Z180" s="19">
        <f t="shared" si="35"/>
        <v>-0.85157836440834411</v>
      </c>
    </row>
    <row r="181" spans="1:26" s="24" customFormat="1" hidden="1" outlineLevel="1" x14ac:dyDescent="0.25">
      <c r="A181" s="44"/>
      <c r="B181" s="11" t="str">
        <f>CONCATENATE("          ", "5592", " - ", "FREIGHT-IN-GRAD MERCH")</f>
        <v xml:space="preserve">          5592 - FREIGHT-IN-GRAD MERCH</v>
      </c>
      <c r="C181" s="11"/>
      <c r="D181" s="2"/>
      <c r="E181" s="2"/>
      <c r="F181" s="19">
        <f t="shared" si="28"/>
        <v>0</v>
      </c>
      <c r="G181" s="2"/>
      <c r="H181" s="2">
        <v>35</v>
      </c>
      <c r="I181" s="2"/>
      <c r="J181" s="19">
        <f t="shared" si="29"/>
        <v>5.7297847586710443E-5</v>
      </c>
      <c r="K181" s="2"/>
      <c r="L181" s="2">
        <f t="shared" si="30"/>
        <v>-35</v>
      </c>
      <c r="M181" s="2"/>
      <c r="N181" s="19">
        <f t="shared" si="31"/>
        <v>-1</v>
      </c>
      <c r="O181" s="11"/>
      <c r="P181" s="2"/>
      <c r="Q181" s="2"/>
      <c r="R181" s="19">
        <f t="shared" si="32"/>
        <v>0</v>
      </c>
      <c r="S181" s="2"/>
      <c r="T181" s="2">
        <v>105.78</v>
      </c>
      <c r="U181" s="2"/>
      <c r="V181" s="19">
        <f t="shared" si="33"/>
        <v>1.6100299636956667E-5</v>
      </c>
      <c r="W181" s="2"/>
      <c r="X181" s="2">
        <f t="shared" si="34"/>
        <v>-105.78</v>
      </c>
      <c r="Y181" s="2"/>
      <c r="Z181" s="19">
        <f t="shared" si="35"/>
        <v>-1</v>
      </c>
    </row>
    <row r="182" spans="1:26" x14ac:dyDescent="0.25">
      <c r="A182" s="9"/>
      <c r="B182" s="10"/>
      <c r="C182" s="10"/>
      <c r="D182" s="3"/>
      <c r="E182" s="3"/>
      <c r="F182" s="8"/>
      <c r="G182" s="3"/>
      <c r="H182" s="3"/>
      <c r="I182" s="3"/>
      <c r="J182" s="8"/>
      <c r="K182" s="3"/>
      <c r="L182" s="3"/>
      <c r="M182" s="3"/>
      <c r="N182" s="8"/>
      <c r="O182" s="10"/>
      <c r="P182" s="3"/>
      <c r="Q182" s="3"/>
      <c r="R182" s="8"/>
      <c r="S182" s="3"/>
      <c r="T182" s="3"/>
      <c r="U182" s="3"/>
      <c r="V182" s="8"/>
      <c r="W182" s="3"/>
      <c r="X182" s="3"/>
      <c r="Y182" s="3"/>
      <c r="Z182" s="8"/>
    </row>
    <row r="183" spans="1:26" s="23" customFormat="1" x14ac:dyDescent="0.25">
      <c r="A183" s="10"/>
      <c r="B183" s="28" t="s">
        <v>6</v>
      </c>
      <c r="C183" s="28"/>
      <c r="D183" s="20">
        <f>D12-D124</f>
        <v>49046.089999999982</v>
      </c>
      <c r="E183" s="14"/>
      <c r="F183" s="22">
        <f>IF(D$12=0,0,D183/D$12)</f>
        <v>0.28723240089853219</v>
      </c>
      <c r="G183" s="14"/>
      <c r="H183" s="20">
        <f>H12-H124</f>
        <v>263352.4499999996</v>
      </c>
      <c r="I183" s="14"/>
      <c r="J183" s="22">
        <f>IF(H$12=0,0,H183/H$12)</f>
        <v>0.43112938690533603</v>
      </c>
      <c r="K183" s="15"/>
      <c r="L183" s="20">
        <f>+D183-H183</f>
        <v>-214306.35999999964</v>
      </c>
      <c r="M183" s="15"/>
      <c r="N183" s="22">
        <f>IF(H183=0,0,L183/H183)</f>
        <v>-0.81376254521269864</v>
      </c>
      <c r="O183" s="29"/>
      <c r="P183" s="20">
        <f>P12-P124</f>
        <v>917472.95000000065</v>
      </c>
      <c r="Q183" s="14"/>
      <c r="R183" s="22">
        <f>IF(P$12=0,0,P183/P$12)</f>
        <v>0.25061501371818268</v>
      </c>
      <c r="S183" s="14"/>
      <c r="T183" s="20">
        <f>T12-T124</f>
        <v>2207299.0999999968</v>
      </c>
      <c r="U183" s="14"/>
      <c r="V183" s="22">
        <f>IF(T$12=0,0,T183/T$12)</f>
        <v>0.33596310170528193</v>
      </c>
      <c r="W183" s="15"/>
      <c r="X183" s="20">
        <f>+P183-T183</f>
        <v>-1289826.1499999962</v>
      </c>
      <c r="Y183" s="15"/>
      <c r="Z183" s="22">
        <f>IF(T183=0,0,X183/T183)</f>
        <v>-0.58434588678987731</v>
      </c>
    </row>
    <row r="184" spans="1:26" x14ac:dyDescent="0.25">
      <c r="A184" s="9"/>
      <c r="B184" s="10"/>
      <c r="C184" s="9"/>
      <c r="D184" s="1"/>
      <c r="E184" s="1"/>
      <c r="F184" s="5"/>
      <c r="G184" s="1"/>
      <c r="H184" s="1"/>
      <c r="I184" s="1"/>
      <c r="J184" s="5"/>
      <c r="K184" s="1"/>
      <c r="L184" s="1"/>
      <c r="M184" s="1"/>
      <c r="N184" s="5"/>
      <c r="O184" s="37"/>
      <c r="P184" s="1"/>
      <c r="Q184" s="1"/>
      <c r="R184" s="5"/>
      <c r="S184" s="1"/>
      <c r="T184" s="1"/>
      <c r="U184" s="1"/>
      <c r="V184" s="5"/>
      <c r="W184" s="1"/>
      <c r="X184" s="1"/>
      <c r="Y184" s="1"/>
      <c r="Z184" s="5"/>
    </row>
    <row r="185" spans="1:26" s="23" customFormat="1" x14ac:dyDescent="0.25">
      <c r="A185" s="10"/>
      <c r="B185" s="29" t="s">
        <v>9</v>
      </c>
      <c r="C185" s="10"/>
      <c r="D185" s="21">
        <f>SUM(OSRRefD22x_0)</f>
        <v>248037.63</v>
      </c>
      <c r="E185" s="21"/>
      <c r="F185" s="35">
        <f t="shared" ref="F185:F196" si="36">IF(D$12=0,0,D185/D$12)</f>
        <v>1.4526019093077924</v>
      </c>
      <c r="G185" s="21"/>
      <c r="H185" s="21">
        <f>SUM(OSRRefH22x_0)</f>
        <v>368386.76000000007</v>
      </c>
      <c r="I185" s="21"/>
      <c r="J185" s="35">
        <f t="shared" ref="J185:J196" si="37">IF(H$12=0,0,H185/H$12)</f>
        <v>0.60307909792691672</v>
      </c>
      <c r="K185" s="4"/>
      <c r="L185" s="21">
        <f t="shared" ref="L185:L196" si="38">+D185-H185</f>
        <v>-120349.13000000006</v>
      </c>
      <c r="M185" s="4"/>
      <c r="N185" s="35">
        <f t="shared" ref="N185:N196" si="39">IF(H185=0,0,L185/H185)</f>
        <v>-0.32669233280805215</v>
      </c>
      <c r="O185" s="10"/>
      <c r="P185" s="21">
        <f>SUM(OSRRefP22x_0)</f>
        <v>1425183.5500000003</v>
      </c>
      <c r="Q185" s="21"/>
      <c r="R185" s="35">
        <f t="shared" ref="R185:R196" si="40">IF(P$12=0,0,P185/P$12)</f>
        <v>0.38930019128539767</v>
      </c>
      <c r="S185" s="21"/>
      <c r="T185" s="21">
        <f>SUM(OSRRefT22x_0)</f>
        <v>2011129.3199999998</v>
      </c>
      <c r="U185" s="21"/>
      <c r="V185" s="35">
        <f t="shared" ref="V185:V196" si="41">IF(T$12=0,0,T185/T$12)</f>
        <v>0.3061049788302978</v>
      </c>
      <c r="W185" s="4"/>
      <c r="X185" s="21">
        <f t="shared" ref="X185:X196" si="42">+P185-T185</f>
        <v>-585945.76999999955</v>
      </c>
      <c r="Y185" s="4"/>
      <c r="Z185" s="35">
        <f t="shared" ref="Z185:Z196" si="43">IF(T185=0,0,X185/T185)</f>
        <v>-0.29135161233689316</v>
      </c>
    </row>
    <row r="186" spans="1:26" s="26" customFormat="1" outlineLevel="1" collapsed="1" x14ac:dyDescent="0.25">
      <c r="A186" s="27"/>
      <c r="B186" s="13" t="str">
        <f>CONCATENATE("     ","*Benefits                                         ")</f>
        <v xml:space="preserve">     *Benefits                                         </v>
      </c>
      <c r="C186" s="13"/>
      <c r="D186" s="1">
        <f>SUM(OSRRefD22_0x_0)</f>
        <v>46507.570000000007</v>
      </c>
      <c r="E186" s="1"/>
      <c r="F186" s="5">
        <f t="shared" si="36"/>
        <v>0.27236587036920895</v>
      </c>
      <c r="G186" s="1"/>
      <c r="H186" s="1">
        <f>SUM(OSRRefH22_0x_0)</f>
        <v>45657.5</v>
      </c>
      <c r="I186" s="1"/>
      <c r="J186" s="5">
        <f t="shared" si="37"/>
        <v>7.4745042176863771E-2</v>
      </c>
      <c r="K186" s="1"/>
      <c r="L186" s="1">
        <f t="shared" si="38"/>
        <v>850.07000000000698</v>
      </c>
      <c r="M186" s="1"/>
      <c r="N186" s="5">
        <f t="shared" si="39"/>
        <v>1.8618408804687226E-2</v>
      </c>
      <c r="O186" s="13"/>
      <c r="P186" s="1">
        <f>SUM(OSRRefP22_0x_0)</f>
        <v>239376.11000000002</v>
      </c>
      <c r="Q186" s="1"/>
      <c r="R186" s="5">
        <f t="shared" si="40"/>
        <v>6.5387483185695192E-2</v>
      </c>
      <c r="S186" s="1"/>
      <c r="T186" s="1">
        <f>SUM(OSRRefT22_0x_0)</f>
        <v>275359.24</v>
      </c>
      <c r="U186" s="1"/>
      <c r="V186" s="5">
        <f t="shared" si="41"/>
        <v>4.1911195611690898E-2</v>
      </c>
      <c r="W186" s="1"/>
      <c r="X186" s="1">
        <f t="shared" si="42"/>
        <v>-35983.129999999976</v>
      </c>
      <c r="Y186" s="1"/>
      <c r="Z186" s="5">
        <f t="shared" si="43"/>
        <v>-0.13067703847526591</v>
      </c>
    </row>
    <row r="187" spans="1:26" s="24" customFormat="1" hidden="1" outlineLevel="2" x14ac:dyDescent="0.25">
      <c r="A187" s="25"/>
      <c r="B187" s="11" t="str">
        <f>CONCATENATE("          ", "6111", " - ", "F.I.C.A.")</f>
        <v xml:space="preserve">          6111 - F.I.C.A.</v>
      </c>
      <c r="C187" s="11"/>
      <c r="D187" s="6">
        <v>6940.36</v>
      </c>
      <c r="E187" s="2"/>
      <c r="F187" s="7">
        <f t="shared" si="36"/>
        <v>4.0645365734559825E-2</v>
      </c>
      <c r="G187" s="2"/>
      <c r="H187" s="6">
        <v>6680.76</v>
      </c>
      <c r="I187" s="2"/>
      <c r="J187" s="7">
        <f t="shared" si="37"/>
        <v>1.0936947664096905E-2</v>
      </c>
      <c r="K187" s="2"/>
      <c r="L187" s="6">
        <f t="shared" si="38"/>
        <v>259.59999999999945</v>
      </c>
      <c r="M187" s="2"/>
      <c r="N187" s="7">
        <f t="shared" si="39"/>
        <v>3.8857854495596228E-2</v>
      </c>
      <c r="O187" s="11"/>
      <c r="P187" s="6">
        <v>51147.24</v>
      </c>
      <c r="Q187" s="2"/>
      <c r="R187" s="7">
        <f t="shared" si="40"/>
        <v>1.397127430759367E-2</v>
      </c>
      <c r="S187" s="2"/>
      <c r="T187" s="6">
        <v>58016.67</v>
      </c>
      <c r="U187" s="2"/>
      <c r="V187" s="7">
        <f t="shared" si="41"/>
        <v>8.8304572786768263E-3</v>
      </c>
      <c r="W187" s="2"/>
      <c r="X187" s="6">
        <f t="shared" si="42"/>
        <v>-6869.43</v>
      </c>
      <c r="Y187" s="2"/>
      <c r="Z187" s="7">
        <f t="shared" si="43"/>
        <v>-0.11840441721319063</v>
      </c>
    </row>
    <row r="188" spans="1:26" s="24" customFormat="1" hidden="1" outlineLevel="2" x14ac:dyDescent="0.25">
      <c r="A188" s="25"/>
      <c r="B188" s="11" t="str">
        <f>CONCATENATE("          ", "6112", " - ", "COMPENSATION INSURANCE")</f>
        <v xml:space="preserve">          6112 - COMPENSATION INSURANCE</v>
      </c>
      <c r="C188" s="11"/>
      <c r="D188" s="6">
        <v>3035.04</v>
      </c>
      <c r="E188" s="2"/>
      <c r="F188" s="7">
        <f t="shared" si="36"/>
        <v>1.7774338913113797E-2</v>
      </c>
      <c r="G188" s="2"/>
      <c r="H188" s="6">
        <v>2349.5300000000002</v>
      </c>
      <c r="I188" s="2"/>
      <c r="J188" s="7">
        <f t="shared" si="37"/>
        <v>3.84637176686868E-3</v>
      </c>
      <c r="K188" s="2"/>
      <c r="L188" s="6">
        <f t="shared" si="38"/>
        <v>685.50999999999976</v>
      </c>
      <c r="M188" s="2"/>
      <c r="N188" s="7">
        <f t="shared" si="39"/>
        <v>0.29176473592590846</v>
      </c>
      <c r="O188" s="11"/>
      <c r="P188" s="6">
        <v>13462.39</v>
      </c>
      <c r="Q188" s="2"/>
      <c r="R188" s="7">
        <f t="shared" si="40"/>
        <v>3.6773586126212471E-3</v>
      </c>
      <c r="S188" s="2"/>
      <c r="T188" s="6">
        <v>11109.97</v>
      </c>
      <c r="U188" s="2"/>
      <c r="V188" s="7">
        <f t="shared" si="41"/>
        <v>1.690998732819053E-3</v>
      </c>
      <c r="W188" s="2"/>
      <c r="X188" s="6">
        <f t="shared" si="42"/>
        <v>2352.42</v>
      </c>
      <c r="Y188" s="2"/>
      <c r="Z188" s="7">
        <f t="shared" si="43"/>
        <v>0.2117395456513384</v>
      </c>
    </row>
    <row r="189" spans="1:26" s="24" customFormat="1" hidden="1" outlineLevel="2" x14ac:dyDescent="0.25">
      <c r="A189" s="25"/>
      <c r="B189" s="11" t="str">
        <f>CONCATENATE("          ", "6113", " - ", "GROUP INSURANCE")</f>
        <v xml:space="preserve">          6113 - GROUP INSURANCE</v>
      </c>
      <c r="C189" s="11"/>
      <c r="D189" s="6">
        <v>15836.910000000002</v>
      </c>
      <c r="E189" s="2"/>
      <c r="F189" s="7">
        <f t="shared" si="36"/>
        <v>9.274691789119123E-2</v>
      </c>
      <c r="G189" s="2"/>
      <c r="H189" s="6">
        <v>19970.38</v>
      </c>
      <c r="I189" s="2"/>
      <c r="J189" s="7">
        <f t="shared" si="37"/>
        <v>3.2693136842534019E-2</v>
      </c>
      <c r="K189" s="2"/>
      <c r="L189" s="6">
        <f t="shared" si="38"/>
        <v>-4133.4699999999993</v>
      </c>
      <c r="M189" s="2"/>
      <c r="N189" s="7">
        <f t="shared" si="39"/>
        <v>-0.20698003743544185</v>
      </c>
      <c r="O189" s="11"/>
      <c r="P189" s="6">
        <v>78565.88</v>
      </c>
      <c r="Q189" s="2"/>
      <c r="R189" s="7">
        <f t="shared" si="40"/>
        <v>2.1460893309149968E-2</v>
      </c>
      <c r="S189" s="2"/>
      <c r="T189" s="6">
        <v>99399.5</v>
      </c>
      <c r="U189" s="2"/>
      <c r="V189" s="7">
        <f t="shared" si="41"/>
        <v>1.5129152332800851E-2</v>
      </c>
      <c r="W189" s="2"/>
      <c r="X189" s="6">
        <f t="shared" si="42"/>
        <v>-20833.619999999995</v>
      </c>
      <c r="Y189" s="2"/>
      <c r="Z189" s="7">
        <f t="shared" si="43"/>
        <v>-0.20959481687533635</v>
      </c>
    </row>
    <row r="190" spans="1:26" s="24" customFormat="1" hidden="1" outlineLevel="2" x14ac:dyDescent="0.25">
      <c r="A190" s="25"/>
      <c r="B190" s="11" t="str">
        <f>CONCATENATE("          ", "6114", " - ", "STATE UNEMPLOYMENT INSURANCE")</f>
        <v xml:space="preserve">          6114 - STATE UNEMPLOYMENT INSURANCE</v>
      </c>
      <c r="C190" s="11"/>
      <c r="D190" s="6">
        <v>546.27</v>
      </c>
      <c r="E190" s="2"/>
      <c r="F190" s="7">
        <f t="shared" si="36"/>
        <v>3.1991631471304078E-3</v>
      </c>
      <c r="G190" s="2"/>
      <c r="H190" s="6">
        <v>421.21</v>
      </c>
      <c r="I190" s="2"/>
      <c r="J190" s="7">
        <f t="shared" si="37"/>
        <v>6.8955503948566583E-4</v>
      </c>
      <c r="K190" s="2"/>
      <c r="L190" s="6">
        <f t="shared" si="38"/>
        <v>125.06</v>
      </c>
      <c r="M190" s="2"/>
      <c r="N190" s="7">
        <f t="shared" si="39"/>
        <v>0.29690653118397003</v>
      </c>
      <c r="O190" s="11"/>
      <c r="P190" s="6">
        <v>2064.96</v>
      </c>
      <c r="Q190" s="2"/>
      <c r="R190" s="7">
        <f t="shared" si="40"/>
        <v>5.6406020333078831E-4</v>
      </c>
      <c r="S190" s="2"/>
      <c r="T190" s="6">
        <v>2523.85</v>
      </c>
      <c r="U190" s="2"/>
      <c r="V190" s="7">
        <f t="shared" si="41"/>
        <v>3.8414389524232443E-4</v>
      </c>
      <c r="W190" s="2"/>
      <c r="X190" s="6">
        <f t="shared" si="42"/>
        <v>-458.88999999999987</v>
      </c>
      <c r="Y190" s="2"/>
      <c r="Z190" s="7">
        <f t="shared" si="43"/>
        <v>-0.18182142361867776</v>
      </c>
    </row>
    <row r="191" spans="1:26" s="24" customFormat="1" hidden="1" outlineLevel="2" x14ac:dyDescent="0.25">
      <c r="A191" s="25"/>
      <c r="B191" s="11" t="str">
        <f>CONCATENATE("          ", "6115", " - ", "P.E.R.S.")</f>
        <v xml:space="preserve">          6115 - P.E.R.S.</v>
      </c>
      <c r="C191" s="11"/>
      <c r="D191" s="6">
        <v>8554.51</v>
      </c>
      <c r="E191" s="2"/>
      <c r="F191" s="7">
        <f t="shared" si="36"/>
        <v>5.009843691536886E-2</v>
      </c>
      <c r="G191" s="2"/>
      <c r="H191" s="6">
        <v>6444.74</v>
      </c>
      <c r="I191" s="2"/>
      <c r="J191" s="7">
        <f t="shared" si="37"/>
        <v>1.0550563721599323E-2</v>
      </c>
      <c r="K191" s="2"/>
      <c r="L191" s="6">
        <f t="shared" si="38"/>
        <v>2109.7700000000004</v>
      </c>
      <c r="M191" s="2"/>
      <c r="N191" s="7">
        <f t="shared" si="39"/>
        <v>0.32736308989967022</v>
      </c>
      <c r="O191" s="11"/>
      <c r="P191" s="6">
        <v>34531.57</v>
      </c>
      <c r="Q191" s="2"/>
      <c r="R191" s="7">
        <f t="shared" si="40"/>
        <v>9.43257225105152E-3</v>
      </c>
      <c r="S191" s="2"/>
      <c r="T191" s="6">
        <v>36845.07</v>
      </c>
      <c r="U191" s="2"/>
      <c r="V191" s="7">
        <f t="shared" si="41"/>
        <v>5.6080229452131116E-3</v>
      </c>
      <c r="W191" s="2"/>
      <c r="X191" s="6">
        <f t="shared" si="42"/>
        <v>-2313.5</v>
      </c>
      <c r="Y191" s="2"/>
      <c r="Z191" s="7">
        <f t="shared" si="43"/>
        <v>-6.2789947203248625E-2</v>
      </c>
    </row>
    <row r="192" spans="1:26" s="24" customFormat="1" hidden="1" outlineLevel="2" x14ac:dyDescent="0.25">
      <c r="A192" s="25"/>
      <c r="B192" s="11" t="str">
        <f>CONCATENATE("          ", "6116", " - ", "EDUCATIONAL BENEFITS")</f>
        <v xml:space="preserve">          6116 - EDUCATIONAL BENEFITS</v>
      </c>
      <c r="C192" s="11"/>
      <c r="D192" s="6"/>
      <c r="E192" s="2"/>
      <c r="F192" s="7">
        <f t="shared" si="36"/>
        <v>0</v>
      </c>
      <c r="G192" s="2"/>
      <c r="H192" s="6"/>
      <c r="I192" s="2"/>
      <c r="J192" s="7">
        <f t="shared" si="37"/>
        <v>0</v>
      </c>
      <c r="K192" s="2"/>
      <c r="L192" s="6">
        <f t="shared" si="38"/>
        <v>0</v>
      </c>
      <c r="M192" s="2"/>
      <c r="N192" s="7">
        <f t="shared" si="39"/>
        <v>0</v>
      </c>
      <c r="O192" s="11"/>
      <c r="P192" s="6">
        <v>0</v>
      </c>
      <c r="Q192" s="2"/>
      <c r="R192" s="7">
        <f t="shared" si="40"/>
        <v>0</v>
      </c>
      <c r="S192" s="2"/>
      <c r="T192" s="6"/>
      <c r="U192" s="2"/>
      <c r="V192" s="7">
        <f t="shared" si="41"/>
        <v>0</v>
      </c>
      <c r="W192" s="2"/>
      <c r="X192" s="6">
        <f t="shared" si="42"/>
        <v>0</v>
      </c>
      <c r="Y192" s="2"/>
      <c r="Z192" s="7">
        <f t="shared" si="43"/>
        <v>0</v>
      </c>
    </row>
    <row r="193" spans="1:26" s="24" customFormat="1" hidden="1" outlineLevel="2" x14ac:dyDescent="0.25">
      <c r="A193" s="25"/>
      <c r="B193" s="11" t="str">
        <f>CONCATENATE("          ", "6117", " - ", "RETIREMENT STAFF HOURLY")</f>
        <v xml:space="preserve">          6117 - RETIREMENT STAFF HOURLY</v>
      </c>
      <c r="C193" s="11"/>
      <c r="D193" s="6">
        <v>387.43</v>
      </c>
      <c r="E193" s="2"/>
      <c r="F193" s="7">
        <f t="shared" si="36"/>
        <v>2.268936200217354E-3</v>
      </c>
      <c r="G193" s="2"/>
      <c r="H193" s="6">
        <v>267.5</v>
      </c>
      <c r="I193" s="2"/>
      <c r="J193" s="7">
        <f t="shared" si="37"/>
        <v>4.3791926369842984E-4</v>
      </c>
      <c r="K193" s="2"/>
      <c r="L193" s="6">
        <f t="shared" si="38"/>
        <v>119.93</v>
      </c>
      <c r="M193" s="2"/>
      <c r="N193" s="7">
        <f t="shared" si="39"/>
        <v>0.44833644859813088</v>
      </c>
      <c r="O193" s="11"/>
      <c r="P193" s="6">
        <v>2227.73</v>
      </c>
      <c r="Q193" s="2"/>
      <c r="R193" s="7">
        <f t="shared" si="40"/>
        <v>6.0852211992779373E-4</v>
      </c>
      <c r="S193" s="2"/>
      <c r="T193" s="6">
        <v>1518.88</v>
      </c>
      <c r="U193" s="2"/>
      <c r="V193" s="7">
        <f t="shared" si="41"/>
        <v>2.3118191636018853E-4</v>
      </c>
      <c r="W193" s="2"/>
      <c r="X193" s="6">
        <f t="shared" si="42"/>
        <v>708.84999999999991</v>
      </c>
      <c r="Y193" s="2"/>
      <c r="Z193" s="7">
        <f t="shared" si="43"/>
        <v>0.46669256294111439</v>
      </c>
    </row>
    <row r="194" spans="1:26" s="24" customFormat="1" hidden="1" outlineLevel="2" x14ac:dyDescent="0.25">
      <c r="A194" s="25"/>
      <c r="B194" s="11" t="str">
        <f>CONCATENATE("          ", "6118", " - ", "VACATION")</f>
        <v xml:space="preserve">          6118 - VACATION</v>
      </c>
      <c r="C194" s="11"/>
      <c r="D194" s="6">
        <v>5424</v>
      </c>
      <c r="E194" s="2"/>
      <c r="F194" s="7">
        <f t="shared" si="36"/>
        <v>3.1764989675499906E-2</v>
      </c>
      <c r="G194" s="2"/>
      <c r="H194" s="6">
        <v>4925.95</v>
      </c>
      <c r="I194" s="2"/>
      <c r="J194" s="7">
        <f t="shared" si="37"/>
        <v>8.0641809234216089E-3</v>
      </c>
      <c r="K194" s="2"/>
      <c r="L194" s="6">
        <f t="shared" si="38"/>
        <v>498.05000000000018</v>
      </c>
      <c r="M194" s="2"/>
      <c r="N194" s="7">
        <f t="shared" si="39"/>
        <v>0.10110740060292943</v>
      </c>
      <c r="O194" s="11"/>
      <c r="P194" s="6">
        <v>27857.809999999998</v>
      </c>
      <c r="Q194" s="2"/>
      <c r="R194" s="7">
        <f t="shared" si="40"/>
        <v>7.6095817705672097E-3</v>
      </c>
      <c r="S194" s="2"/>
      <c r="T194" s="6">
        <v>30914.940000000002</v>
      </c>
      <c r="U194" s="2"/>
      <c r="V194" s="7">
        <f t="shared" si="41"/>
        <v>4.7054244399559195E-3</v>
      </c>
      <c r="W194" s="2"/>
      <c r="X194" s="6">
        <f t="shared" si="42"/>
        <v>-3057.1300000000047</v>
      </c>
      <c r="Y194" s="2"/>
      <c r="Z194" s="7">
        <f t="shared" si="43"/>
        <v>-9.8888433876954132E-2</v>
      </c>
    </row>
    <row r="195" spans="1:26" s="24" customFormat="1" hidden="1" outlineLevel="2" x14ac:dyDescent="0.25">
      <c r="A195" s="25"/>
      <c r="B195" s="11" t="str">
        <f>CONCATENATE("          ", "6119", " - ", "SICK LEAVE")</f>
        <v xml:space="preserve">          6119 - SICK LEAVE</v>
      </c>
      <c r="C195" s="11"/>
      <c r="D195" s="6">
        <v>3991.76</v>
      </c>
      <c r="E195" s="2"/>
      <c r="F195" s="7">
        <f t="shared" si="36"/>
        <v>2.3377252062513551E-2</v>
      </c>
      <c r="G195" s="2"/>
      <c r="H195" s="6">
        <v>2657.01</v>
      </c>
      <c r="I195" s="2"/>
      <c r="J195" s="7">
        <f t="shared" si="37"/>
        <v>4.3497415433247297E-3</v>
      </c>
      <c r="K195" s="2"/>
      <c r="L195" s="6">
        <f t="shared" si="38"/>
        <v>1334.75</v>
      </c>
      <c r="M195" s="2"/>
      <c r="N195" s="7">
        <f t="shared" si="39"/>
        <v>0.50235038633652107</v>
      </c>
      <c r="O195" s="11"/>
      <c r="P195" s="6">
        <v>20765.78</v>
      </c>
      <c r="Q195" s="2"/>
      <c r="R195" s="7">
        <f t="shared" si="40"/>
        <v>5.6723375218514721E-3</v>
      </c>
      <c r="S195" s="2"/>
      <c r="T195" s="6">
        <v>24508.76</v>
      </c>
      <c r="U195" s="2"/>
      <c r="V195" s="7">
        <f t="shared" si="41"/>
        <v>3.7303684981117228E-3</v>
      </c>
      <c r="W195" s="2"/>
      <c r="X195" s="6">
        <f t="shared" si="42"/>
        <v>-3742.9799999999996</v>
      </c>
      <c r="Y195" s="2"/>
      <c r="Z195" s="7">
        <f t="shared" si="43"/>
        <v>-0.15272008865401596</v>
      </c>
    </row>
    <row r="196" spans="1:26" s="24" customFormat="1" hidden="1" outlineLevel="2" x14ac:dyDescent="0.25">
      <c r="A196" s="25"/>
      <c r="B196" s="11" t="str">
        <f>CONCATENATE("          ", "6156", " - ", "EMPLOYEE MEALS")</f>
        <v xml:space="preserve">          6156 - EMPLOYEE MEALS</v>
      </c>
      <c r="C196" s="11"/>
      <c r="D196" s="6">
        <v>1791.29</v>
      </c>
      <c r="E196" s="2"/>
      <c r="F196" s="7">
        <f t="shared" si="36"/>
        <v>1.0490469829613979E-2</v>
      </c>
      <c r="G196" s="2"/>
      <c r="H196" s="6">
        <v>1940.42</v>
      </c>
      <c r="I196" s="2"/>
      <c r="J196" s="7">
        <f t="shared" si="37"/>
        <v>3.1766254118344196E-3</v>
      </c>
      <c r="K196" s="2"/>
      <c r="L196" s="6">
        <f t="shared" si="38"/>
        <v>-149.13000000000011</v>
      </c>
      <c r="M196" s="2"/>
      <c r="N196" s="7">
        <f t="shared" si="39"/>
        <v>-7.6854495418517688E-2</v>
      </c>
      <c r="O196" s="11"/>
      <c r="P196" s="6">
        <v>8752.75</v>
      </c>
      <c r="Q196" s="2"/>
      <c r="R196" s="7">
        <f t="shared" si="40"/>
        <v>2.390883089601521E-3</v>
      </c>
      <c r="S196" s="2"/>
      <c r="T196" s="6">
        <v>10521.6</v>
      </c>
      <c r="U196" s="2"/>
      <c r="V196" s="7">
        <f t="shared" si="41"/>
        <v>1.6014455725109024E-3</v>
      </c>
      <c r="W196" s="2"/>
      <c r="X196" s="6">
        <f t="shared" si="42"/>
        <v>-1768.8500000000004</v>
      </c>
      <c r="Y196" s="2"/>
      <c r="Z196" s="7">
        <f t="shared" si="43"/>
        <v>-0.16811606599756693</v>
      </c>
    </row>
    <row r="197" spans="1:26" s="26" customFormat="1" outlineLevel="1" collapsed="1" x14ac:dyDescent="0.25">
      <c r="A197" s="27"/>
      <c r="B197" s="13" t="str">
        <f>CONCATENATE("     ","*Payroll                                          ")</f>
        <v xml:space="preserve">     *Payroll                                          </v>
      </c>
      <c r="C197" s="13"/>
      <c r="D197" s="1">
        <f>SUM(OSRRefD22_1x_0)</f>
        <v>99521.64</v>
      </c>
      <c r="E197" s="1"/>
      <c r="F197" s="5">
        <f t="shared" ref="F197:F204" si="44">IF(D$12=0,0,D197/D$12)</f>
        <v>0.58283625868156674</v>
      </c>
      <c r="G197" s="1"/>
      <c r="H197" s="1">
        <f>SUM(OSRRefH22_1x_0)</f>
        <v>149164.20000000001</v>
      </c>
      <c r="I197" s="1"/>
      <c r="J197" s="5">
        <f t="shared" ref="J197:J204" si="45">IF(H$12=0,0,H197/H$12)</f>
        <v>0.24419393134267414</v>
      </c>
      <c r="K197" s="1"/>
      <c r="L197" s="1">
        <f t="shared" ref="L197:L204" si="46">+D197-H197</f>
        <v>-49642.560000000012</v>
      </c>
      <c r="M197" s="1"/>
      <c r="N197" s="5">
        <f t="shared" ref="N197:N204" si="47">IF(H197=0,0,L197/H197)</f>
        <v>-0.33280478828029786</v>
      </c>
      <c r="O197" s="13"/>
      <c r="P197" s="1">
        <f>SUM(OSRRefP22_1x_0)</f>
        <v>649889.64</v>
      </c>
      <c r="Q197" s="1"/>
      <c r="R197" s="5">
        <f t="shared" ref="R197:R204" si="48">IF(P$12=0,0,P197/P$12)</f>
        <v>0.17752251011204712</v>
      </c>
      <c r="S197" s="1"/>
      <c r="T197" s="1">
        <f>SUM(OSRRefT22_1x_0)</f>
        <v>939657</v>
      </c>
      <c r="U197" s="1"/>
      <c r="V197" s="5">
        <f t="shared" ref="V197:V204" si="49">IF(T$12=0,0,T197/T$12)</f>
        <v>0.14302097992024759</v>
      </c>
      <c r="W197" s="1"/>
      <c r="X197" s="1">
        <f t="shared" ref="X197:X204" si="50">+P197-T197</f>
        <v>-289767.36</v>
      </c>
      <c r="Y197" s="1"/>
      <c r="Z197" s="5">
        <f t="shared" ref="Z197:Z204" si="51">IF(T197=0,0,X197/T197)</f>
        <v>-0.30837567325098414</v>
      </c>
    </row>
    <row r="198" spans="1:26" s="24" customFormat="1" hidden="1" outlineLevel="2" x14ac:dyDescent="0.25">
      <c r="A198" s="25"/>
      <c r="B198" s="11" t="str">
        <f>CONCATENATE("          ", "6001", " - ", "ADMINISTRATIVE SALARIES")</f>
        <v xml:space="preserve">          6001 - ADMINISTRATIVE SALARIES</v>
      </c>
      <c r="C198" s="11"/>
      <c r="D198" s="6">
        <v>3995.45</v>
      </c>
      <c r="E198" s="2"/>
      <c r="F198" s="7">
        <f t="shared" si="44"/>
        <v>2.3398862094206507E-2</v>
      </c>
      <c r="G198" s="2"/>
      <c r="H198" s="6">
        <v>10717.14</v>
      </c>
      <c r="I198" s="2"/>
      <c r="J198" s="7">
        <f t="shared" si="45"/>
        <v>1.7544830122441086E-2</v>
      </c>
      <c r="K198" s="2"/>
      <c r="L198" s="6">
        <f t="shared" si="46"/>
        <v>-6721.69</v>
      </c>
      <c r="M198" s="2"/>
      <c r="N198" s="7">
        <f t="shared" si="47"/>
        <v>-0.62719064974424144</v>
      </c>
      <c r="O198" s="11"/>
      <c r="P198" s="6">
        <v>21137.95</v>
      </c>
      <c r="Q198" s="2"/>
      <c r="R198" s="7">
        <f t="shared" si="48"/>
        <v>5.773998709416181E-3</v>
      </c>
      <c r="S198" s="2"/>
      <c r="T198" s="6">
        <v>56800.83</v>
      </c>
      <c r="U198" s="2"/>
      <c r="V198" s="7">
        <f t="shared" si="49"/>
        <v>8.6453997223278241E-3</v>
      </c>
      <c r="W198" s="2"/>
      <c r="X198" s="6">
        <f t="shared" si="50"/>
        <v>-35662.880000000005</v>
      </c>
      <c r="Y198" s="2"/>
      <c r="Z198" s="7">
        <f t="shared" si="51"/>
        <v>-0.62785843094194227</v>
      </c>
    </row>
    <row r="199" spans="1:26" s="24" customFormat="1" hidden="1" outlineLevel="2" x14ac:dyDescent="0.25">
      <c r="A199" s="25"/>
      <c r="B199" s="11" t="str">
        <f>CONCATENATE("          ", "6002", " - ", "STAFF SALARIES")</f>
        <v xml:space="preserve">          6002 - STAFF SALARIES</v>
      </c>
      <c r="C199" s="11"/>
      <c r="D199" s="6">
        <v>49923.729999999996</v>
      </c>
      <c r="E199" s="2"/>
      <c r="F199" s="7">
        <f t="shared" si="44"/>
        <v>0.29237219174270734</v>
      </c>
      <c r="G199" s="2"/>
      <c r="H199" s="6">
        <v>55763.68</v>
      </c>
      <c r="I199" s="2"/>
      <c r="J199" s="7">
        <f t="shared" si="45"/>
        <v>9.1289681071831247E-2</v>
      </c>
      <c r="K199" s="2"/>
      <c r="L199" s="6">
        <f t="shared" si="46"/>
        <v>-5839.9500000000044</v>
      </c>
      <c r="M199" s="2"/>
      <c r="N199" s="7">
        <f t="shared" si="47"/>
        <v>-0.10472676839118229</v>
      </c>
      <c r="O199" s="11"/>
      <c r="P199" s="6">
        <v>286255.33</v>
      </c>
      <c r="Q199" s="2"/>
      <c r="R199" s="7">
        <f t="shared" si="48"/>
        <v>7.8192913976213543E-2</v>
      </c>
      <c r="S199" s="2"/>
      <c r="T199" s="6">
        <v>312670.96000000002</v>
      </c>
      <c r="U199" s="2"/>
      <c r="V199" s="7">
        <f t="shared" si="49"/>
        <v>4.759024526162689E-2</v>
      </c>
      <c r="W199" s="2"/>
      <c r="X199" s="6">
        <f t="shared" si="50"/>
        <v>-26415.630000000005</v>
      </c>
      <c r="Y199" s="2"/>
      <c r="Z199" s="7">
        <f t="shared" si="51"/>
        <v>-8.448379728005441E-2</v>
      </c>
    </row>
    <row r="200" spans="1:26" s="24" customFormat="1" hidden="1" outlineLevel="2" x14ac:dyDescent="0.25">
      <c r="A200" s="25"/>
      <c r="B200" s="11" t="str">
        <f>CONCATENATE("          ", "6004", " - ", "STAFF HOURLY")</f>
        <v xml:space="preserve">          6004 - STAFF HOURLY</v>
      </c>
      <c r="C200" s="11"/>
      <c r="D200" s="6">
        <v>15334.86</v>
      </c>
      <c r="E200" s="2"/>
      <c r="F200" s="7">
        <f t="shared" si="44"/>
        <v>8.9806723741747141E-2</v>
      </c>
      <c r="G200" s="2"/>
      <c r="H200" s="6">
        <v>2163.25</v>
      </c>
      <c r="I200" s="2"/>
      <c r="J200" s="7">
        <f t="shared" si="45"/>
        <v>3.5414162511986104E-3</v>
      </c>
      <c r="K200" s="2"/>
      <c r="L200" s="6">
        <f t="shared" si="46"/>
        <v>13171.61</v>
      </c>
      <c r="M200" s="2"/>
      <c r="N200" s="7">
        <f t="shared" si="47"/>
        <v>6.0888061943834515</v>
      </c>
      <c r="O200" s="11"/>
      <c r="P200" s="6">
        <v>93332.3</v>
      </c>
      <c r="Q200" s="2"/>
      <c r="R200" s="7">
        <f t="shared" si="48"/>
        <v>2.5494458059880157E-2</v>
      </c>
      <c r="S200" s="2"/>
      <c r="T200" s="6">
        <v>12705.41</v>
      </c>
      <c r="U200" s="2"/>
      <c r="V200" s="7">
        <f t="shared" si="49"/>
        <v>1.9338335035960067E-3</v>
      </c>
      <c r="W200" s="2"/>
      <c r="X200" s="6">
        <f t="shared" si="50"/>
        <v>80626.89</v>
      </c>
      <c r="Y200" s="2"/>
      <c r="Z200" s="7">
        <f t="shared" si="51"/>
        <v>6.3458707747329681</v>
      </c>
    </row>
    <row r="201" spans="1:26" s="24" customFormat="1" hidden="1" outlineLevel="2" x14ac:dyDescent="0.25">
      <c r="A201" s="25"/>
      <c r="B201" s="11" t="str">
        <f>CONCATENATE("          ", "6005", " - ", "TEMPORARY WAGES-HOURLY")</f>
        <v xml:space="preserve">          6005 - TEMPORARY WAGES-HOURLY</v>
      </c>
      <c r="C201" s="11"/>
      <c r="D201" s="6">
        <v>7697.23</v>
      </c>
      <c r="E201" s="2"/>
      <c r="F201" s="7">
        <f t="shared" si="44"/>
        <v>4.5077881910019935E-2</v>
      </c>
      <c r="G201" s="2"/>
      <c r="H201" s="6">
        <v>19292.84</v>
      </c>
      <c r="I201" s="2"/>
      <c r="J201" s="7">
        <f t="shared" si="45"/>
        <v>3.1583948738136879E-2</v>
      </c>
      <c r="K201" s="2"/>
      <c r="L201" s="6">
        <f t="shared" si="46"/>
        <v>-11595.61</v>
      </c>
      <c r="M201" s="2"/>
      <c r="N201" s="7">
        <f t="shared" si="47"/>
        <v>-0.60103178173871763</v>
      </c>
      <c r="O201" s="11"/>
      <c r="P201" s="6">
        <v>88066.13</v>
      </c>
      <c r="Q201" s="2"/>
      <c r="R201" s="7">
        <f t="shared" si="48"/>
        <v>2.4055961952946129E-2</v>
      </c>
      <c r="S201" s="2"/>
      <c r="T201" s="6">
        <v>108199.62999999999</v>
      </c>
      <c r="U201" s="2"/>
      <c r="V201" s="7">
        <f t="shared" si="49"/>
        <v>1.646858067316927E-2</v>
      </c>
      <c r="W201" s="2"/>
      <c r="X201" s="6">
        <f t="shared" si="50"/>
        <v>-20133.499999999985</v>
      </c>
      <c r="Y201" s="2"/>
      <c r="Z201" s="7">
        <f t="shared" si="51"/>
        <v>-0.18607734610552723</v>
      </c>
    </row>
    <row r="202" spans="1:26" s="24" customFormat="1" hidden="1" outlineLevel="2" x14ac:dyDescent="0.25">
      <c r="A202" s="25"/>
      <c r="B202" s="11" t="str">
        <f>CONCATENATE("          ", "6006", " - ", "TEMPORARY PART TIME")</f>
        <v xml:space="preserve">          6006 - TEMPORARY PART TIME</v>
      </c>
      <c r="C202" s="11"/>
      <c r="D202" s="6">
        <v>1048.44</v>
      </c>
      <c r="E202" s="2"/>
      <c r="F202" s="7">
        <f t="shared" si="44"/>
        <v>6.1400600618328029E-3</v>
      </c>
      <c r="G202" s="2"/>
      <c r="H202" s="6">
        <v>2350.75</v>
      </c>
      <c r="I202" s="2"/>
      <c r="J202" s="7">
        <f t="shared" si="45"/>
        <v>3.8483690061274166E-3</v>
      </c>
      <c r="K202" s="2"/>
      <c r="L202" s="6">
        <f t="shared" si="46"/>
        <v>-1302.31</v>
      </c>
      <c r="M202" s="2"/>
      <c r="N202" s="7">
        <f t="shared" si="47"/>
        <v>-0.55399766032117403</v>
      </c>
      <c r="O202" s="11"/>
      <c r="P202" s="6">
        <v>8555.61</v>
      </c>
      <c r="Q202" s="2"/>
      <c r="R202" s="7">
        <f t="shared" si="48"/>
        <v>2.3370327348805429E-3</v>
      </c>
      <c r="S202" s="2"/>
      <c r="T202" s="6">
        <v>27436.91</v>
      </c>
      <c r="U202" s="2"/>
      <c r="V202" s="7">
        <f t="shared" si="49"/>
        <v>4.1760490840632696E-3</v>
      </c>
      <c r="W202" s="2"/>
      <c r="X202" s="6">
        <f t="shared" si="50"/>
        <v>-18881.3</v>
      </c>
      <c r="Y202" s="2"/>
      <c r="Z202" s="7">
        <f t="shared" si="51"/>
        <v>-0.68817151785678488</v>
      </c>
    </row>
    <row r="203" spans="1:26" s="24" customFormat="1" hidden="1" outlineLevel="2" x14ac:dyDescent="0.25">
      <c r="A203" s="25"/>
      <c r="B203" s="11" t="str">
        <f>CONCATENATE("          ", "6007", " - ", "STUDENT HOURLY")</f>
        <v xml:space="preserve">          6007 - STUDENT HOURLY</v>
      </c>
      <c r="C203" s="11"/>
      <c r="D203" s="6">
        <v>20639.36</v>
      </c>
      <c r="E203" s="2"/>
      <c r="F203" s="7">
        <f t="shared" si="44"/>
        <v>0.12087187634751581</v>
      </c>
      <c r="G203" s="2"/>
      <c r="H203" s="6">
        <v>58324.54</v>
      </c>
      <c r="I203" s="2"/>
      <c r="J203" s="7">
        <f t="shared" si="45"/>
        <v>9.5482017242428482E-2</v>
      </c>
      <c r="K203" s="2"/>
      <c r="L203" s="6">
        <f t="shared" si="46"/>
        <v>-37685.18</v>
      </c>
      <c r="M203" s="2"/>
      <c r="N203" s="7">
        <f t="shared" si="47"/>
        <v>-0.64612905648291441</v>
      </c>
      <c r="O203" s="11"/>
      <c r="P203" s="6">
        <v>148695.03</v>
      </c>
      <c r="Q203" s="2"/>
      <c r="R203" s="7">
        <f t="shared" si="48"/>
        <v>4.0617226898379467E-2</v>
      </c>
      <c r="S203" s="2"/>
      <c r="T203" s="6">
        <v>416560.26</v>
      </c>
      <c r="U203" s="2"/>
      <c r="V203" s="7">
        <f t="shared" si="49"/>
        <v>6.3402769926721253E-2</v>
      </c>
      <c r="W203" s="2"/>
      <c r="X203" s="6">
        <f t="shared" si="50"/>
        <v>-267865.23</v>
      </c>
      <c r="Y203" s="2"/>
      <c r="Z203" s="7">
        <f t="shared" si="51"/>
        <v>-0.64304076917946995</v>
      </c>
    </row>
    <row r="204" spans="1:26" s="24" customFormat="1" hidden="1" outlineLevel="2" x14ac:dyDescent="0.25">
      <c r="A204" s="25"/>
      <c r="B204" s="11" t="str">
        <f>CONCATENATE("          ", "6008", " - ", "STUDENT HOURLY-FICA EXEMPT")</f>
        <v xml:space="preserve">          6008 - STUDENT HOURLY-FICA EXEMPT</v>
      </c>
      <c r="C204" s="11"/>
      <c r="D204" s="6">
        <v>882.57</v>
      </c>
      <c r="E204" s="2"/>
      <c r="F204" s="7">
        <f t="shared" si="44"/>
        <v>5.1686627835372334E-3</v>
      </c>
      <c r="G204" s="2"/>
      <c r="H204" s="6">
        <v>552</v>
      </c>
      <c r="I204" s="2"/>
      <c r="J204" s="7">
        <f t="shared" si="45"/>
        <v>9.0366891051040475E-4</v>
      </c>
      <c r="K204" s="2"/>
      <c r="L204" s="6">
        <f t="shared" si="46"/>
        <v>330.57000000000005</v>
      </c>
      <c r="M204" s="2"/>
      <c r="N204" s="7">
        <f t="shared" si="47"/>
        <v>0.59885869565217398</v>
      </c>
      <c r="O204" s="11"/>
      <c r="P204" s="6">
        <v>3847.29</v>
      </c>
      <c r="Q204" s="2"/>
      <c r="R204" s="7">
        <f t="shared" si="48"/>
        <v>1.0509177803311E-3</v>
      </c>
      <c r="S204" s="2"/>
      <c r="T204" s="6">
        <v>5283</v>
      </c>
      <c r="U204" s="2"/>
      <c r="V204" s="7">
        <f t="shared" si="49"/>
        <v>8.0410174874307112E-4</v>
      </c>
      <c r="W204" s="2"/>
      <c r="X204" s="6">
        <f t="shared" si="50"/>
        <v>-1435.71</v>
      </c>
      <c r="Y204" s="2"/>
      <c r="Z204" s="7">
        <f t="shared" si="51"/>
        <v>-0.27176036342986942</v>
      </c>
    </row>
    <row r="205" spans="1:26" s="26" customFormat="1" outlineLevel="1" collapsed="1" x14ac:dyDescent="0.25">
      <c r="A205" s="27"/>
      <c r="B205" s="13" t="str">
        <f>CONCATENATE("     ","Advertising/Promo                                 ")</f>
        <v xml:space="preserve">     Advertising/Promo                                 </v>
      </c>
      <c r="C205" s="13"/>
      <c r="D205" s="1">
        <f>SUM(OSRRefD22_2x_0)</f>
        <v>648.78</v>
      </c>
      <c r="E205" s="1"/>
      <c r="F205" s="5">
        <f t="shared" ref="F205:F209" si="52">IF(D$12=0,0,D205/D$12)</f>
        <v>3.799500369039607E-3</v>
      </c>
      <c r="G205" s="1"/>
      <c r="H205" s="1">
        <f>SUM(OSRRefH22_2x_0)</f>
        <v>15063.470000000001</v>
      </c>
      <c r="I205" s="1"/>
      <c r="J205" s="5">
        <f t="shared" ref="J205:J209" si="53">IF(H$12=0,0,H205/H$12)</f>
        <v>2.4660125948199579E-2</v>
      </c>
      <c r="K205" s="1"/>
      <c r="L205" s="1">
        <f t="shared" ref="L205:L209" si="54">+D205-H205</f>
        <v>-14414.69</v>
      </c>
      <c r="M205" s="1"/>
      <c r="N205" s="5">
        <f t="shared" ref="N205:N209" si="55">IF(H205=0,0,L205/H205)</f>
        <v>-0.95693024250056591</v>
      </c>
      <c r="O205" s="13"/>
      <c r="P205" s="1">
        <f>SUM(OSRRefP22_2x_0)</f>
        <v>14607.41</v>
      </c>
      <c r="Q205" s="1"/>
      <c r="R205" s="5">
        <f t="shared" ref="R205:R209" si="56">IF(P$12=0,0,P205/P$12)</f>
        <v>3.9901299079576312E-3</v>
      </c>
      <c r="S205" s="1"/>
      <c r="T205" s="1">
        <f>SUM(OSRRefT22_2x_0)</f>
        <v>34050.060000000005</v>
      </c>
      <c r="U205" s="1"/>
      <c r="V205" s="5">
        <f t="shared" ref="V205:V209" si="57">IF(T$12=0,0,T205/T$12)</f>
        <v>5.1826070018562371E-3</v>
      </c>
      <c r="W205" s="1"/>
      <c r="X205" s="1">
        <f t="shared" ref="X205:X209" si="58">+P205-T205</f>
        <v>-19442.650000000005</v>
      </c>
      <c r="Y205" s="1"/>
      <c r="Z205" s="5">
        <f t="shared" ref="Z205:Z209" si="59">IF(T205=0,0,X205/T205)</f>
        <v>-0.57100193068675953</v>
      </c>
    </row>
    <row r="206" spans="1:26" s="24" customFormat="1" hidden="1" outlineLevel="2" x14ac:dyDescent="0.25">
      <c r="A206" s="25"/>
      <c r="B206" s="11" t="str">
        <f>CONCATENATE("          ", "6362", " - ", "ADVERTISING EXPENSE")</f>
        <v xml:space="preserve">          6362 - ADVERTISING EXPENSE</v>
      </c>
      <c r="C206" s="11"/>
      <c r="D206" s="6">
        <v>648.78</v>
      </c>
      <c r="E206" s="2"/>
      <c r="F206" s="7">
        <f t="shared" si="52"/>
        <v>3.799500369039607E-3</v>
      </c>
      <c r="G206" s="2"/>
      <c r="H206" s="6">
        <v>15063.470000000001</v>
      </c>
      <c r="I206" s="2"/>
      <c r="J206" s="7">
        <f t="shared" si="53"/>
        <v>2.4660125948199579E-2</v>
      </c>
      <c r="K206" s="2"/>
      <c r="L206" s="6">
        <f t="shared" si="54"/>
        <v>-14414.69</v>
      </c>
      <c r="M206" s="2"/>
      <c r="N206" s="7">
        <f t="shared" si="55"/>
        <v>-0.95693024250056591</v>
      </c>
      <c r="O206" s="11"/>
      <c r="P206" s="6">
        <v>14607.41</v>
      </c>
      <c r="Q206" s="2"/>
      <c r="R206" s="7">
        <f t="shared" si="56"/>
        <v>3.9901299079576312E-3</v>
      </c>
      <c r="S206" s="2"/>
      <c r="T206" s="6">
        <v>34050.060000000005</v>
      </c>
      <c r="U206" s="2"/>
      <c r="V206" s="7">
        <f t="shared" si="57"/>
        <v>5.1826070018562371E-3</v>
      </c>
      <c r="W206" s="2"/>
      <c r="X206" s="6">
        <f t="shared" si="58"/>
        <v>-19442.650000000005</v>
      </c>
      <c r="Y206" s="2"/>
      <c r="Z206" s="7">
        <f t="shared" si="59"/>
        <v>-0.57100193068675953</v>
      </c>
    </row>
    <row r="207" spans="1:26" s="26" customFormat="1" outlineLevel="1" collapsed="1" x14ac:dyDescent="0.25">
      <c r="A207" s="27"/>
      <c r="B207" s="13" t="str">
        <f>CONCATENATE("     ","Bad Debts/Over/Short                              ")</f>
        <v xml:space="preserve">     Bad Debts/Over/Short                              </v>
      </c>
      <c r="C207" s="13"/>
      <c r="D207" s="1">
        <f>SUM(OSRRefD22_3x_0)</f>
        <v>0.74</v>
      </c>
      <c r="E207" s="1"/>
      <c r="F207" s="5">
        <f t="shared" si="52"/>
        <v>4.3337190928963734E-6</v>
      </c>
      <c r="G207" s="1"/>
      <c r="H207" s="1">
        <f>SUM(OSRRefH22_3x_0)</f>
        <v>150.11000000000001</v>
      </c>
      <c r="I207" s="1"/>
      <c r="J207" s="5">
        <f t="shared" si="53"/>
        <v>2.4574228289260303E-4</v>
      </c>
      <c r="K207" s="1"/>
      <c r="L207" s="1">
        <f t="shared" si="54"/>
        <v>-149.37</v>
      </c>
      <c r="M207" s="1"/>
      <c r="N207" s="5">
        <f t="shared" si="55"/>
        <v>-0.99507028179335144</v>
      </c>
      <c r="O207" s="13"/>
      <c r="P207" s="1">
        <f>SUM(OSRRefP22_3x_0)</f>
        <v>51.3</v>
      </c>
      <c r="Q207" s="1"/>
      <c r="R207" s="5">
        <f t="shared" si="56"/>
        <v>1.4013001913291026E-5</v>
      </c>
      <c r="S207" s="1"/>
      <c r="T207" s="1">
        <f>SUM(OSRRefT22_3x_0)</f>
        <v>72.459999999999994</v>
      </c>
      <c r="U207" s="1"/>
      <c r="V207" s="5">
        <f t="shared" si="57"/>
        <v>1.1028811795177538E-5</v>
      </c>
      <c r="W207" s="1"/>
      <c r="X207" s="1">
        <f t="shared" si="58"/>
        <v>-21.159999999999997</v>
      </c>
      <c r="Y207" s="1"/>
      <c r="Z207" s="5">
        <f t="shared" si="59"/>
        <v>-0.2920231852056307</v>
      </c>
    </row>
    <row r="208" spans="1:26" s="24" customFormat="1" hidden="1" outlineLevel="2" x14ac:dyDescent="0.25">
      <c r="A208" s="25"/>
      <c r="B208" s="11" t="str">
        <f>CONCATENATE("          ", "6272", " - ", "CASH (OVER/SHORT)")</f>
        <v xml:space="preserve">          6272 - CASH (OVER/SHORT)</v>
      </c>
      <c r="C208" s="11"/>
      <c r="D208" s="6">
        <v>0.74</v>
      </c>
      <c r="E208" s="2"/>
      <c r="F208" s="7">
        <f t="shared" si="52"/>
        <v>4.3337190928963734E-6</v>
      </c>
      <c r="G208" s="2"/>
      <c r="H208" s="6">
        <v>150.11000000000001</v>
      </c>
      <c r="I208" s="2"/>
      <c r="J208" s="7">
        <f t="shared" si="53"/>
        <v>2.4574228289260303E-4</v>
      </c>
      <c r="K208" s="2"/>
      <c r="L208" s="6">
        <f t="shared" si="54"/>
        <v>-149.37</v>
      </c>
      <c r="M208" s="2"/>
      <c r="N208" s="7">
        <f t="shared" si="55"/>
        <v>-0.99507028179335144</v>
      </c>
      <c r="O208" s="11"/>
      <c r="P208" s="6">
        <v>51.3</v>
      </c>
      <c r="Q208" s="2"/>
      <c r="R208" s="7">
        <f t="shared" si="56"/>
        <v>1.4013001913291026E-5</v>
      </c>
      <c r="S208" s="2"/>
      <c r="T208" s="6">
        <v>27.66</v>
      </c>
      <c r="U208" s="2"/>
      <c r="V208" s="7">
        <f t="shared" si="57"/>
        <v>4.2100046129535013E-6</v>
      </c>
      <c r="W208" s="2"/>
      <c r="X208" s="6">
        <f t="shared" si="58"/>
        <v>23.639999999999997</v>
      </c>
      <c r="Y208" s="2"/>
      <c r="Z208" s="7">
        <f t="shared" si="59"/>
        <v>0.85466377440347063</v>
      </c>
    </row>
    <row r="209" spans="1:26" s="24" customFormat="1" hidden="1" outlineLevel="2" x14ac:dyDescent="0.25">
      <c r="A209" s="25"/>
      <c r="B209" s="11" t="str">
        <f>CONCATENATE("          ", "6342", " - ", "BAD DEBT")</f>
        <v xml:space="preserve">          6342 - BAD DEBT</v>
      </c>
      <c r="C209" s="11"/>
      <c r="D209" s="6"/>
      <c r="E209" s="2"/>
      <c r="F209" s="7">
        <f t="shared" si="52"/>
        <v>0</v>
      </c>
      <c r="G209" s="2"/>
      <c r="H209" s="6"/>
      <c r="I209" s="2"/>
      <c r="J209" s="7">
        <f t="shared" si="53"/>
        <v>0</v>
      </c>
      <c r="K209" s="2"/>
      <c r="L209" s="6">
        <f t="shared" si="54"/>
        <v>0</v>
      </c>
      <c r="M209" s="2"/>
      <c r="N209" s="7">
        <f t="shared" si="55"/>
        <v>0</v>
      </c>
      <c r="O209" s="11"/>
      <c r="P209" s="6"/>
      <c r="Q209" s="2"/>
      <c r="R209" s="7">
        <f t="shared" si="56"/>
        <v>0</v>
      </c>
      <c r="S209" s="2"/>
      <c r="T209" s="6">
        <v>44.8</v>
      </c>
      <c r="U209" s="2"/>
      <c r="V209" s="7">
        <f t="shared" si="57"/>
        <v>6.8188071822240367E-6</v>
      </c>
      <c r="W209" s="2"/>
      <c r="X209" s="6">
        <f t="shared" si="58"/>
        <v>-44.8</v>
      </c>
      <c r="Y209" s="2"/>
      <c r="Z209" s="7">
        <f t="shared" si="59"/>
        <v>-1</v>
      </c>
    </row>
    <row r="210" spans="1:26" s="26" customFormat="1" outlineLevel="1" collapsed="1" x14ac:dyDescent="0.25">
      <c r="A210" s="27"/>
      <c r="B210" s="13" t="str">
        <f>CONCATENATE("     ","Bank/card Fees                                    ")</f>
        <v xml:space="preserve">     Bank/card Fees                                    </v>
      </c>
      <c r="C210" s="13"/>
      <c r="D210" s="1">
        <f>SUM(OSRRefD22_4x_0)</f>
        <v>2442.63</v>
      </c>
      <c r="E210" s="1"/>
      <c r="F210" s="5">
        <f t="shared" ref="F210:F214" si="60">IF(D$12=0,0,D210/D$12)</f>
        <v>1.4304962524164147E-2</v>
      </c>
      <c r="G210" s="1"/>
      <c r="H210" s="1">
        <f>SUM(OSRRefH22_4x_0)</f>
        <v>10714.71</v>
      </c>
      <c r="I210" s="1"/>
      <c r="J210" s="5">
        <f t="shared" ref="J210:J214" si="61">IF(H$12=0,0,H210/H$12)</f>
        <v>1.7540852014737207E-2</v>
      </c>
      <c r="K210" s="1"/>
      <c r="L210" s="1">
        <f t="shared" ref="L210:L214" si="62">+D210-H210</f>
        <v>-8272.0799999999981</v>
      </c>
      <c r="M210" s="1"/>
      <c r="N210" s="5">
        <f t="shared" ref="N210:N214" si="63">IF(H210=0,0,L210/H210)</f>
        <v>-0.77203022760298678</v>
      </c>
      <c r="O210" s="13"/>
      <c r="P210" s="1">
        <f>SUM(OSRRefP22_4x_0)</f>
        <v>41582.380000000005</v>
      </c>
      <c r="Q210" s="1"/>
      <c r="R210" s="5">
        <f t="shared" ref="R210:R214" si="64">IF(P$12=0,0,P210/P$12)</f>
        <v>1.1358556929808861E-2</v>
      </c>
      <c r="S210" s="1"/>
      <c r="T210" s="1">
        <f>SUM(OSRRefT22_4x_0)</f>
        <v>82063.73000000001</v>
      </c>
      <c r="U210" s="1"/>
      <c r="V210" s="5">
        <f t="shared" ref="V210:V214" si="65">IF(T$12=0,0,T210/T$12)</f>
        <v>1.2490552489377103E-2</v>
      </c>
      <c r="W210" s="1"/>
      <c r="X210" s="1">
        <f t="shared" ref="X210:X214" si="66">+P210-T210</f>
        <v>-40481.350000000006</v>
      </c>
      <c r="Y210" s="1"/>
      <c r="Z210" s="5">
        <f t="shared" ref="Z210:Z214" si="67">IF(T210=0,0,X210/T210)</f>
        <v>-0.49329161616221928</v>
      </c>
    </row>
    <row r="211" spans="1:26" s="24" customFormat="1" hidden="1" outlineLevel="2" x14ac:dyDescent="0.25">
      <c r="A211" s="25"/>
      <c r="B211" s="11" t="str">
        <f>CONCATENATE("          ", "6381", " - ", "BANK/CREDIT CARD FEES")</f>
        <v xml:space="preserve">          6381 - BANK/CREDIT CARD FEES</v>
      </c>
      <c r="C211" s="11"/>
      <c r="D211" s="6">
        <v>2442.63</v>
      </c>
      <c r="E211" s="2"/>
      <c r="F211" s="7">
        <f t="shared" si="60"/>
        <v>1.4304962524164147E-2</v>
      </c>
      <c r="G211" s="2"/>
      <c r="H211" s="6">
        <v>10714.71</v>
      </c>
      <c r="I211" s="2"/>
      <c r="J211" s="7">
        <f t="shared" si="61"/>
        <v>1.7540852014737207E-2</v>
      </c>
      <c r="K211" s="2"/>
      <c r="L211" s="6">
        <f t="shared" si="62"/>
        <v>-8272.0799999999981</v>
      </c>
      <c r="M211" s="2"/>
      <c r="N211" s="7">
        <f t="shared" si="63"/>
        <v>-0.77203022760298678</v>
      </c>
      <c r="O211" s="11"/>
      <c r="P211" s="6">
        <v>41582.380000000005</v>
      </c>
      <c r="Q211" s="2"/>
      <c r="R211" s="7">
        <f t="shared" si="64"/>
        <v>1.1358556929808861E-2</v>
      </c>
      <c r="S211" s="2"/>
      <c r="T211" s="6">
        <v>82063.73000000001</v>
      </c>
      <c r="U211" s="2"/>
      <c r="V211" s="7">
        <f t="shared" si="65"/>
        <v>1.2490552489377103E-2</v>
      </c>
      <c r="W211" s="2"/>
      <c r="X211" s="6">
        <f t="shared" si="66"/>
        <v>-40481.350000000006</v>
      </c>
      <c r="Y211" s="2"/>
      <c r="Z211" s="7">
        <f t="shared" si="67"/>
        <v>-0.49329161616221928</v>
      </c>
    </row>
    <row r="212" spans="1:26" s="26" customFormat="1" outlineLevel="1" collapsed="1" x14ac:dyDescent="0.25">
      <c r="A212" s="27"/>
      <c r="B212" s="13" t="str">
        <f>CONCATENATE("     ","Depreciation                                      ")</f>
        <v xml:space="preserve">     Depreciation                                      </v>
      </c>
      <c r="C212" s="13"/>
      <c r="D212" s="1">
        <f>SUM(OSRRefD22_5x_0)</f>
        <v>31016.29</v>
      </c>
      <c r="E212" s="1"/>
      <c r="F212" s="5">
        <f t="shared" si="60"/>
        <v>0.18164309211325791</v>
      </c>
      <c r="G212" s="1"/>
      <c r="H212" s="1">
        <f>SUM(OSRRefH22_5x_0)</f>
        <v>29887.870000000003</v>
      </c>
      <c r="I212" s="1"/>
      <c r="J212" s="5">
        <f t="shared" si="61"/>
        <v>4.8928874855754735E-2</v>
      </c>
      <c r="K212" s="1"/>
      <c r="L212" s="1">
        <f t="shared" si="62"/>
        <v>1128.4199999999983</v>
      </c>
      <c r="M212" s="1"/>
      <c r="N212" s="5">
        <f t="shared" si="63"/>
        <v>3.7755116038713975E-2</v>
      </c>
      <c r="O212" s="13"/>
      <c r="P212" s="1">
        <f>SUM(OSRRefP22_5x_0)</f>
        <v>155376.94</v>
      </c>
      <c r="Q212" s="1"/>
      <c r="R212" s="5">
        <f t="shared" si="64"/>
        <v>4.2442443616009844E-2</v>
      </c>
      <c r="S212" s="1"/>
      <c r="T212" s="1">
        <f>SUM(OSRRefT22_5x_0)</f>
        <v>149439.34999999998</v>
      </c>
      <c r="U212" s="1"/>
      <c r="V212" s="5">
        <f t="shared" si="65"/>
        <v>2.2745493595689541E-2</v>
      </c>
      <c r="W212" s="1"/>
      <c r="X212" s="1">
        <f t="shared" si="66"/>
        <v>5937.5900000000256</v>
      </c>
      <c r="Y212" s="1"/>
      <c r="Z212" s="5">
        <f t="shared" si="67"/>
        <v>3.9732439949718909E-2</v>
      </c>
    </row>
    <row r="213" spans="1:26" s="24" customFormat="1" hidden="1" outlineLevel="2" x14ac:dyDescent="0.25">
      <c r="A213" s="25"/>
      <c r="B213" s="11" t="str">
        <f>CONCATENATE("          ", "6321", " - ", "BUILDING DEPRECIATION")</f>
        <v xml:space="preserve">          6321 - BUILDING DEPRECIATION</v>
      </c>
      <c r="C213" s="11"/>
      <c r="D213" s="6">
        <v>16396.52</v>
      </c>
      <c r="E213" s="2"/>
      <c r="F213" s="7">
        <f t="shared" si="60"/>
        <v>9.6024205109536825E-2</v>
      </c>
      <c r="G213" s="2"/>
      <c r="H213" s="6">
        <v>16396.52</v>
      </c>
      <c r="I213" s="2"/>
      <c r="J213" s="7">
        <f t="shared" si="61"/>
        <v>2.6842437254641416E-2</v>
      </c>
      <c r="K213" s="2"/>
      <c r="L213" s="6">
        <f t="shared" si="62"/>
        <v>0</v>
      </c>
      <c r="M213" s="2"/>
      <c r="N213" s="7">
        <f t="shared" si="63"/>
        <v>0</v>
      </c>
      <c r="O213" s="11"/>
      <c r="P213" s="6">
        <v>81982.599999999991</v>
      </c>
      <c r="Q213" s="2"/>
      <c r="R213" s="7">
        <f t="shared" si="64"/>
        <v>2.239419747868563E-2</v>
      </c>
      <c r="S213" s="2"/>
      <c r="T213" s="6">
        <v>81982.599999999991</v>
      </c>
      <c r="U213" s="2"/>
      <c r="V213" s="7">
        <f t="shared" si="65"/>
        <v>1.2478204055745542E-2</v>
      </c>
      <c r="W213" s="2"/>
      <c r="X213" s="6">
        <f t="shared" si="66"/>
        <v>0</v>
      </c>
      <c r="Y213" s="2"/>
      <c r="Z213" s="7">
        <f t="shared" si="67"/>
        <v>0</v>
      </c>
    </row>
    <row r="214" spans="1:26" s="24" customFormat="1" hidden="1" outlineLevel="2" x14ac:dyDescent="0.25">
      <c r="A214" s="25"/>
      <c r="B214" s="11" t="str">
        <f>CONCATENATE("          ", "6322", " - ", "EQUIPMENT DEPRECIATION EXPENSE")</f>
        <v xml:space="preserve">          6322 - EQUIPMENT DEPRECIATION EXPENSE</v>
      </c>
      <c r="C214" s="11"/>
      <c r="D214" s="6">
        <v>14619.77</v>
      </c>
      <c r="E214" s="2"/>
      <c r="F214" s="7">
        <f t="shared" si="60"/>
        <v>8.5618887003721098E-2</v>
      </c>
      <c r="G214" s="2"/>
      <c r="H214" s="6">
        <v>13491.35</v>
      </c>
      <c r="I214" s="2"/>
      <c r="J214" s="7">
        <f t="shared" si="61"/>
        <v>2.2086437601113312E-2</v>
      </c>
      <c r="K214" s="2"/>
      <c r="L214" s="6">
        <f t="shared" si="62"/>
        <v>1128.42</v>
      </c>
      <c r="M214" s="2"/>
      <c r="N214" s="7">
        <f t="shared" si="63"/>
        <v>8.3640258387781802E-2</v>
      </c>
      <c r="O214" s="11"/>
      <c r="P214" s="6">
        <v>73394.34</v>
      </c>
      <c r="Q214" s="2"/>
      <c r="R214" s="7">
        <f t="shared" si="64"/>
        <v>2.0048246137324213E-2</v>
      </c>
      <c r="S214" s="2"/>
      <c r="T214" s="6">
        <v>67456.75</v>
      </c>
      <c r="U214" s="2"/>
      <c r="V214" s="7">
        <f t="shared" si="65"/>
        <v>1.0267289539944002E-2</v>
      </c>
      <c r="W214" s="2"/>
      <c r="X214" s="6">
        <f t="shared" si="66"/>
        <v>5937.5899999999965</v>
      </c>
      <c r="Y214" s="2"/>
      <c r="Z214" s="7">
        <f t="shared" si="67"/>
        <v>8.8020694741445388E-2</v>
      </c>
    </row>
    <row r="215" spans="1:26" s="26" customFormat="1" outlineLevel="1" collapsed="1" x14ac:dyDescent="0.25">
      <c r="A215" s="27"/>
      <c r="B215" s="13" t="str">
        <f>CONCATENATE("     ","Discounts and Markdowns                           ")</f>
        <v xml:space="preserve">     Discounts and Markdowns                           </v>
      </c>
      <c r="C215" s="13"/>
      <c r="D215" s="1">
        <f>SUM(OSRRefD22_6x_0)</f>
        <v>418.85</v>
      </c>
      <c r="E215" s="1"/>
      <c r="F215" s="5">
        <f t="shared" ref="F215:F217" si="68">IF(D$12=0,0,D215/D$12)</f>
        <v>2.4529435703508733E-3</v>
      </c>
      <c r="G215" s="1"/>
      <c r="H215" s="1">
        <f>SUM(OSRRefH22_6x_0)</f>
        <v>29043.18</v>
      </c>
      <c r="I215" s="1"/>
      <c r="J215" s="5">
        <f t="shared" ref="J215:J217" si="69">IF(H$12=0,0,H215/H$12)</f>
        <v>4.754604860209706E-2</v>
      </c>
      <c r="K215" s="1"/>
      <c r="L215" s="1">
        <f t="shared" ref="L215:L217" si="70">+D215-H215</f>
        <v>-28624.33</v>
      </c>
      <c r="M215" s="1"/>
      <c r="N215" s="5">
        <f t="shared" ref="N215:N217" si="71">IF(H215=0,0,L215/H215)</f>
        <v>-0.98557836986170255</v>
      </c>
      <c r="O215" s="13"/>
      <c r="P215" s="1">
        <f>SUM(OSRRefP22_6x_0)</f>
        <v>0</v>
      </c>
      <c r="Q215" s="1"/>
      <c r="R215" s="5">
        <f t="shared" ref="R215:R217" si="72">IF(P$12=0,0,P215/P$12)</f>
        <v>0</v>
      </c>
      <c r="S215" s="1"/>
      <c r="T215" s="1">
        <f>SUM(OSRRefT22_6x_0)</f>
        <v>195222.09999999998</v>
      </c>
      <c r="U215" s="1"/>
      <c r="V215" s="5">
        <f t="shared" ref="V215:V217" si="73">IF(T$12=0,0,T215/T$12)</f>
        <v>2.9713880750197746E-2</v>
      </c>
      <c r="W215" s="1"/>
      <c r="X215" s="1">
        <f t="shared" ref="X215:X217" si="74">+P215-T215</f>
        <v>-195222.09999999998</v>
      </c>
      <c r="Y215" s="1"/>
      <c r="Z215" s="5">
        <f t="shared" ref="Z215:Z217" si="75">IF(T215=0,0,X215/T215)</f>
        <v>-1</v>
      </c>
    </row>
    <row r="216" spans="1:26" s="24" customFormat="1" hidden="1" outlineLevel="2" x14ac:dyDescent="0.25">
      <c r="A216" s="25"/>
      <c r="B216" s="11" t="str">
        <f>CONCATENATE("          ", "6382", " - ", "DISCOUNTS/MARK DOWNS")</f>
        <v xml:space="preserve">          6382 - DISCOUNTS/MARK DOWNS</v>
      </c>
      <c r="C216" s="11"/>
      <c r="D216" s="6"/>
      <c r="E216" s="2"/>
      <c r="F216" s="7">
        <f t="shared" si="68"/>
        <v>0</v>
      </c>
      <c r="G216" s="2"/>
      <c r="H216" s="6">
        <v>29290.68</v>
      </c>
      <c r="I216" s="2"/>
      <c r="J216" s="7">
        <f t="shared" si="69"/>
        <v>4.7951226238603081E-2</v>
      </c>
      <c r="K216" s="2"/>
      <c r="L216" s="6">
        <f t="shared" si="70"/>
        <v>-29290.68</v>
      </c>
      <c r="M216" s="2"/>
      <c r="N216" s="7">
        <f t="shared" si="71"/>
        <v>-1</v>
      </c>
      <c r="O216" s="11"/>
      <c r="P216" s="6">
        <v>0</v>
      </c>
      <c r="Q216" s="2"/>
      <c r="R216" s="7">
        <f t="shared" si="72"/>
        <v>0</v>
      </c>
      <c r="S216" s="2"/>
      <c r="T216" s="6">
        <v>197587.34999999998</v>
      </c>
      <c r="U216" s="2"/>
      <c r="V216" s="7">
        <f t="shared" si="73"/>
        <v>3.0073884850370856E-2</v>
      </c>
      <c r="W216" s="2"/>
      <c r="X216" s="6">
        <f t="shared" si="74"/>
        <v>-197587.34999999998</v>
      </c>
      <c r="Y216" s="2"/>
      <c r="Z216" s="7">
        <f t="shared" si="75"/>
        <v>-1</v>
      </c>
    </row>
    <row r="217" spans="1:26" s="24" customFormat="1" hidden="1" outlineLevel="2" x14ac:dyDescent="0.25">
      <c r="A217" s="25"/>
      <c r="B217" s="11" t="str">
        <f>CONCATENATE("          ", "9175", " - ", "EARNED DISCOUNTS")</f>
        <v xml:space="preserve">          9175 - EARNED DISCOUNTS</v>
      </c>
      <c r="C217" s="11"/>
      <c r="D217" s="6">
        <v>418.85</v>
      </c>
      <c r="E217" s="2"/>
      <c r="F217" s="7">
        <f t="shared" si="68"/>
        <v>2.4529435703508733E-3</v>
      </c>
      <c r="G217" s="2"/>
      <c r="H217" s="6">
        <v>-247.5</v>
      </c>
      <c r="I217" s="2"/>
      <c r="J217" s="7">
        <f t="shared" si="69"/>
        <v>-4.0517763650602389E-4</v>
      </c>
      <c r="K217" s="2"/>
      <c r="L217" s="6">
        <f t="shared" si="70"/>
        <v>666.35</v>
      </c>
      <c r="M217" s="2"/>
      <c r="N217" s="7">
        <f t="shared" si="71"/>
        <v>-2.6923232323232322</v>
      </c>
      <c r="O217" s="11"/>
      <c r="P217" s="6">
        <v>0</v>
      </c>
      <c r="Q217" s="2"/>
      <c r="R217" s="7">
        <f t="shared" si="72"/>
        <v>0</v>
      </c>
      <c r="S217" s="2"/>
      <c r="T217" s="6">
        <v>-2365.25</v>
      </c>
      <c r="U217" s="2"/>
      <c r="V217" s="7">
        <f t="shared" si="73"/>
        <v>-3.600041001731117E-4</v>
      </c>
      <c r="W217" s="2"/>
      <c r="X217" s="6">
        <f t="shared" si="74"/>
        <v>2365.25</v>
      </c>
      <c r="Y217" s="2"/>
      <c r="Z217" s="7">
        <f t="shared" si="75"/>
        <v>-1</v>
      </c>
    </row>
    <row r="218" spans="1:26" s="26" customFormat="1" outlineLevel="1" collapsed="1" x14ac:dyDescent="0.25">
      <c r="A218" s="27"/>
      <c r="B218" s="13" t="str">
        <f>CONCATENATE("     ","Donations                                         ")</f>
        <v xml:space="preserve">     Donations                                         </v>
      </c>
      <c r="C218" s="13"/>
      <c r="D218" s="1">
        <f>SUM(OSRRefD22_7x_0)</f>
        <v>0</v>
      </c>
      <c r="E218" s="1"/>
      <c r="F218" s="5">
        <f t="shared" ref="F218:F226" si="76">IF(D$12=0,0,D218/D$12)</f>
        <v>0</v>
      </c>
      <c r="G218" s="1"/>
      <c r="H218" s="1">
        <f>SUM(OSRRefH22_7x_0)</f>
        <v>3415.9</v>
      </c>
      <c r="I218" s="1"/>
      <c r="J218" s="5">
        <f t="shared" ref="J218:J226" si="77">IF(H$12=0,0,H218/H$12)</f>
        <v>5.5921062163269775E-3</v>
      </c>
      <c r="K218" s="1"/>
      <c r="L218" s="1">
        <f t="shared" ref="L218:L226" si="78">+D218-H218</f>
        <v>-3415.9</v>
      </c>
      <c r="M218" s="1"/>
      <c r="N218" s="5">
        <f t="shared" ref="N218:N226" si="79">IF(H218=0,0,L218/H218)</f>
        <v>-1</v>
      </c>
      <c r="O218" s="13"/>
      <c r="P218" s="1">
        <f>SUM(OSRRefP22_7x_0)</f>
        <v>0</v>
      </c>
      <c r="Q218" s="1"/>
      <c r="R218" s="5">
        <f t="shared" ref="R218:R226" si="80">IF(P$12=0,0,P218/P$12)</f>
        <v>0</v>
      </c>
      <c r="S218" s="1"/>
      <c r="T218" s="1">
        <f>SUM(OSRRefT22_7x_0)</f>
        <v>9647.3799999999992</v>
      </c>
      <c r="U218" s="1"/>
      <c r="V218" s="5">
        <f t="shared" ref="V218:V226" si="81">IF(T$12=0,0,T218/T$12)</f>
        <v>1.468384465036708E-3</v>
      </c>
      <c r="W218" s="1"/>
      <c r="X218" s="1">
        <f t="shared" ref="X218:X226" si="82">+P218-T218</f>
        <v>-9647.3799999999992</v>
      </c>
      <c r="Y218" s="1"/>
      <c r="Z218" s="5">
        <f t="shared" ref="Z218:Z226" si="83">IF(T218=0,0,X218/T218)</f>
        <v>-1</v>
      </c>
    </row>
    <row r="219" spans="1:26" s="24" customFormat="1" hidden="1" outlineLevel="2" x14ac:dyDescent="0.25">
      <c r="A219" s="25"/>
      <c r="B219" s="11" t="str">
        <f>CONCATENATE("          ", "6399", " - ", "DONATION-ON CAMPUS")</f>
        <v xml:space="preserve">          6399 - DONATION-ON CAMPUS</v>
      </c>
      <c r="C219" s="11"/>
      <c r="D219" s="6"/>
      <c r="E219" s="2"/>
      <c r="F219" s="7">
        <f t="shared" si="76"/>
        <v>0</v>
      </c>
      <c r="G219" s="2"/>
      <c r="H219" s="6">
        <v>3415.9</v>
      </c>
      <c r="I219" s="2"/>
      <c r="J219" s="7">
        <f t="shared" si="77"/>
        <v>5.5921062163269775E-3</v>
      </c>
      <c r="K219" s="2"/>
      <c r="L219" s="6">
        <f t="shared" si="78"/>
        <v>-3415.9</v>
      </c>
      <c r="M219" s="2"/>
      <c r="N219" s="7">
        <f t="shared" si="79"/>
        <v>-1</v>
      </c>
      <c r="O219" s="11"/>
      <c r="P219" s="6"/>
      <c r="Q219" s="2"/>
      <c r="R219" s="7">
        <f t="shared" si="80"/>
        <v>0</v>
      </c>
      <c r="S219" s="2"/>
      <c r="T219" s="6">
        <v>9647.3799999999992</v>
      </c>
      <c r="U219" s="2"/>
      <c r="V219" s="7">
        <f t="shared" si="81"/>
        <v>1.468384465036708E-3</v>
      </c>
      <c r="W219" s="2"/>
      <c r="X219" s="6">
        <f t="shared" si="82"/>
        <v>-9647.3799999999992</v>
      </c>
      <c r="Y219" s="2"/>
      <c r="Z219" s="7">
        <f t="shared" si="83"/>
        <v>-1</v>
      </c>
    </row>
    <row r="220" spans="1:26" s="26" customFormat="1" outlineLevel="1" collapsed="1" x14ac:dyDescent="0.25">
      <c r="A220" s="27"/>
      <c r="B220" s="13" t="str">
        <f>CONCATENATE("     ","Employees' Appreciation                           ")</f>
        <v xml:space="preserve">     Employees' Appreciation                           </v>
      </c>
      <c r="C220" s="13"/>
      <c r="D220" s="1">
        <f>SUM(OSRRefD22_8x_0)</f>
        <v>0</v>
      </c>
      <c r="E220" s="1"/>
      <c r="F220" s="5">
        <f t="shared" si="76"/>
        <v>0</v>
      </c>
      <c r="G220" s="1"/>
      <c r="H220" s="1">
        <f>SUM(OSRRefH22_8x_0)</f>
        <v>396.51</v>
      </c>
      <c r="I220" s="1"/>
      <c r="J220" s="5">
        <f t="shared" si="77"/>
        <v>6.4911912990304457E-4</v>
      </c>
      <c r="K220" s="1"/>
      <c r="L220" s="1">
        <f t="shared" si="78"/>
        <v>-396.51</v>
      </c>
      <c r="M220" s="1"/>
      <c r="N220" s="5">
        <f t="shared" si="79"/>
        <v>-1</v>
      </c>
      <c r="O220" s="13"/>
      <c r="P220" s="1">
        <f>SUM(OSRRefP22_8x_0)</f>
        <v>107.7</v>
      </c>
      <c r="Q220" s="1"/>
      <c r="R220" s="5">
        <f t="shared" si="80"/>
        <v>2.9419109279950168E-5</v>
      </c>
      <c r="S220" s="1"/>
      <c r="T220" s="1">
        <f>SUM(OSRRefT22_8x_0)</f>
        <v>1041.6400000000001</v>
      </c>
      <c r="U220" s="1"/>
      <c r="V220" s="5">
        <f t="shared" si="81"/>
        <v>1.5854335520740727E-4</v>
      </c>
      <c r="W220" s="1"/>
      <c r="X220" s="1">
        <f t="shared" si="82"/>
        <v>-933.94</v>
      </c>
      <c r="Y220" s="1"/>
      <c r="Z220" s="5">
        <f t="shared" si="83"/>
        <v>-0.89660535309703926</v>
      </c>
    </row>
    <row r="221" spans="1:26" s="24" customFormat="1" hidden="1" outlineLevel="2" x14ac:dyDescent="0.25">
      <c r="A221" s="25"/>
      <c r="B221" s="11" t="str">
        <f>CONCATENATE("          ", "6277", " - ", "EMPLOYEE APPRECIATION")</f>
        <v xml:space="preserve">          6277 - EMPLOYEE APPRECIATION</v>
      </c>
      <c r="C221" s="11"/>
      <c r="D221" s="6"/>
      <c r="E221" s="2"/>
      <c r="F221" s="7">
        <f t="shared" si="76"/>
        <v>0</v>
      </c>
      <c r="G221" s="2"/>
      <c r="H221" s="6">
        <v>396.51</v>
      </c>
      <c r="I221" s="2"/>
      <c r="J221" s="7">
        <f t="shared" si="77"/>
        <v>6.4911912990304457E-4</v>
      </c>
      <c r="K221" s="2"/>
      <c r="L221" s="6">
        <f t="shared" si="78"/>
        <v>-396.51</v>
      </c>
      <c r="M221" s="2"/>
      <c r="N221" s="7">
        <f t="shared" si="79"/>
        <v>-1</v>
      </c>
      <c r="O221" s="11"/>
      <c r="P221" s="6">
        <v>107.7</v>
      </c>
      <c r="Q221" s="2"/>
      <c r="R221" s="7">
        <f t="shared" si="80"/>
        <v>2.9419109279950168E-5</v>
      </c>
      <c r="S221" s="2"/>
      <c r="T221" s="6">
        <v>1041.6400000000001</v>
      </c>
      <c r="U221" s="2"/>
      <c r="V221" s="7">
        <f t="shared" si="81"/>
        <v>1.5854335520740727E-4</v>
      </c>
      <c r="W221" s="2"/>
      <c r="X221" s="6">
        <f t="shared" si="82"/>
        <v>-933.94</v>
      </c>
      <c r="Y221" s="2"/>
      <c r="Z221" s="7">
        <f t="shared" si="83"/>
        <v>-0.89660535309703926</v>
      </c>
    </row>
    <row r="222" spans="1:26" s="26" customFormat="1" outlineLevel="1" collapsed="1" x14ac:dyDescent="0.25">
      <c r="A222" s="27"/>
      <c r="B222" s="13" t="str">
        <f>CONCATENATE("     ","Equipment Rental                                  ")</f>
        <v xml:space="preserve">     Equipment Rental                                  </v>
      </c>
      <c r="C222" s="13"/>
      <c r="D222" s="1">
        <f>SUM(OSRRefD22_9x_0)</f>
        <v>1712.05</v>
      </c>
      <c r="E222" s="1"/>
      <c r="F222" s="5">
        <f t="shared" si="76"/>
        <v>1.0026410504044913E-2</v>
      </c>
      <c r="G222" s="1"/>
      <c r="H222" s="1">
        <f>SUM(OSRRefH22_9x_0)</f>
        <v>4423.12</v>
      </c>
      <c r="I222" s="1"/>
      <c r="J222" s="5">
        <f t="shared" si="77"/>
        <v>7.2410073033637341E-3</v>
      </c>
      <c r="K222" s="1"/>
      <c r="L222" s="1">
        <f t="shared" si="78"/>
        <v>-2711.0699999999997</v>
      </c>
      <c r="M222" s="1"/>
      <c r="N222" s="5">
        <f t="shared" si="79"/>
        <v>-0.61293159579663214</v>
      </c>
      <c r="O222" s="13"/>
      <c r="P222" s="1">
        <f>SUM(OSRRefP22_9x_0)</f>
        <v>7679.84</v>
      </c>
      <c r="Q222" s="1"/>
      <c r="R222" s="5">
        <f t="shared" si="80"/>
        <v>2.0978092127440342E-3</v>
      </c>
      <c r="S222" s="1"/>
      <c r="T222" s="1">
        <f>SUM(OSRRefT22_9x_0)</f>
        <v>11090.14</v>
      </c>
      <c r="U222" s="1"/>
      <c r="V222" s="5">
        <f t="shared" si="81"/>
        <v>1.6879804974078141E-3</v>
      </c>
      <c r="W222" s="1"/>
      <c r="X222" s="1">
        <f t="shared" si="82"/>
        <v>-3410.2999999999993</v>
      </c>
      <c r="Y222" s="1"/>
      <c r="Z222" s="5">
        <f t="shared" si="83"/>
        <v>-0.30750738944684192</v>
      </c>
    </row>
    <row r="223" spans="1:26" s="24" customFormat="1" hidden="1" outlineLevel="2" x14ac:dyDescent="0.25">
      <c r="A223" s="25"/>
      <c r="B223" s="11" t="str">
        <f>CONCATENATE("          ", "6351", " - ", "EQUIPMENT RENTAL")</f>
        <v xml:space="preserve">          6351 - EQUIPMENT RENTAL</v>
      </c>
      <c r="C223" s="11"/>
      <c r="D223" s="6">
        <v>1712.05</v>
      </c>
      <c r="E223" s="2"/>
      <c r="F223" s="7">
        <f t="shared" si="76"/>
        <v>1.0026410504044913E-2</v>
      </c>
      <c r="G223" s="2"/>
      <c r="H223" s="6">
        <v>4423.12</v>
      </c>
      <c r="I223" s="2"/>
      <c r="J223" s="7">
        <f t="shared" si="77"/>
        <v>7.2410073033637341E-3</v>
      </c>
      <c r="K223" s="2"/>
      <c r="L223" s="6">
        <f t="shared" si="78"/>
        <v>-2711.0699999999997</v>
      </c>
      <c r="M223" s="2"/>
      <c r="N223" s="7">
        <f t="shared" si="79"/>
        <v>-0.61293159579663214</v>
      </c>
      <c r="O223" s="11"/>
      <c r="P223" s="6">
        <v>7679.84</v>
      </c>
      <c r="Q223" s="2"/>
      <c r="R223" s="7">
        <f t="shared" si="80"/>
        <v>2.0978092127440342E-3</v>
      </c>
      <c r="S223" s="2"/>
      <c r="T223" s="6">
        <v>11090.14</v>
      </c>
      <c r="U223" s="2"/>
      <c r="V223" s="7">
        <f t="shared" si="81"/>
        <v>1.6879804974078141E-3</v>
      </c>
      <c r="W223" s="2"/>
      <c r="X223" s="6">
        <f t="shared" si="82"/>
        <v>-3410.2999999999993</v>
      </c>
      <c r="Y223" s="2"/>
      <c r="Z223" s="7">
        <f t="shared" si="83"/>
        <v>-0.30750738944684192</v>
      </c>
    </row>
    <row r="224" spans="1:26" s="26" customFormat="1" outlineLevel="1" collapsed="1" x14ac:dyDescent="0.25">
      <c r="A224" s="27"/>
      <c r="B224" s="13" t="str">
        <f>CONCATENATE("     ","Freight out/Postage                               ")</f>
        <v xml:space="preserve">     Freight out/Postage                               </v>
      </c>
      <c r="C224" s="13"/>
      <c r="D224" s="1">
        <f>SUM(OSRRefD22_10x_0)</f>
        <v>12765.690000000002</v>
      </c>
      <c r="E224" s="1"/>
      <c r="F224" s="5">
        <f t="shared" si="76"/>
        <v>7.4760695252697726E-2</v>
      </c>
      <c r="G224" s="1"/>
      <c r="H224" s="1">
        <f>SUM(OSRRefH22_10x_0)</f>
        <v>8783.58</v>
      </c>
      <c r="I224" s="1"/>
      <c r="J224" s="5">
        <f t="shared" si="77"/>
        <v>1.437943508873366E-2</v>
      </c>
      <c r="K224" s="1"/>
      <c r="L224" s="1">
        <f t="shared" si="78"/>
        <v>3982.1100000000024</v>
      </c>
      <c r="M224" s="1"/>
      <c r="N224" s="5">
        <f t="shared" si="79"/>
        <v>0.45335842560778206</v>
      </c>
      <c r="O224" s="13"/>
      <c r="P224" s="1">
        <f>SUM(OSRRefP22_10x_0)</f>
        <v>-18527.190000000002</v>
      </c>
      <c r="Q224" s="1"/>
      <c r="R224" s="5">
        <f t="shared" si="80"/>
        <v>-5.0608489067818013E-3</v>
      </c>
      <c r="S224" s="1"/>
      <c r="T224" s="1">
        <f>SUM(OSRRefT22_10x_0)</f>
        <v>4715.93</v>
      </c>
      <c r="U224" s="1"/>
      <c r="V224" s="5">
        <f t="shared" si="81"/>
        <v>7.1779056595682594E-4</v>
      </c>
      <c r="W224" s="1"/>
      <c r="X224" s="1">
        <f t="shared" si="82"/>
        <v>-23243.120000000003</v>
      </c>
      <c r="Y224" s="1"/>
      <c r="Z224" s="5">
        <f t="shared" si="83"/>
        <v>-4.9286397380792337</v>
      </c>
    </row>
    <row r="225" spans="1:26" s="24" customFormat="1" hidden="1" outlineLevel="2" x14ac:dyDescent="0.25">
      <c r="A225" s="25"/>
      <c r="B225" s="11" t="str">
        <f>CONCATENATE("          ", "6305", " - ", "FREIGHT OUT")</f>
        <v xml:space="preserve">          6305 - FREIGHT OUT</v>
      </c>
      <c r="C225" s="11"/>
      <c r="D225" s="6">
        <v>17085.400000000001</v>
      </c>
      <c r="E225" s="2"/>
      <c r="F225" s="7">
        <f t="shared" si="76"/>
        <v>0.1000585462023942</v>
      </c>
      <c r="G225" s="2"/>
      <c r="H225" s="6">
        <v>9242.9500000000007</v>
      </c>
      <c r="I225" s="2"/>
      <c r="J225" s="7">
        <f t="shared" si="77"/>
        <v>1.5131461152902438E-2</v>
      </c>
      <c r="K225" s="2"/>
      <c r="L225" s="6">
        <f t="shared" si="78"/>
        <v>7842.4500000000007</v>
      </c>
      <c r="M225" s="2"/>
      <c r="N225" s="7">
        <f t="shared" si="79"/>
        <v>0.8484791111063027</v>
      </c>
      <c r="O225" s="11"/>
      <c r="P225" s="6">
        <v>103876.01</v>
      </c>
      <c r="Q225" s="2"/>
      <c r="R225" s="7">
        <f t="shared" si="80"/>
        <v>2.8374556079435433E-2</v>
      </c>
      <c r="S225" s="2"/>
      <c r="T225" s="6">
        <v>28763.53</v>
      </c>
      <c r="U225" s="2"/>
      <c r="V225" s="7">
        <f t="shared" si="81"/>
        <v>4.3779679676365299E-3</v>
      </c>
      <c r="W225" s="2"/>
      <c r="X225" s="6">
        <f t="shared" si="82"/>
        <v>75112.479999999996</v>
      </c>
      <c r="Y225" s="2"/>
      <c r="Z225" s="7">
        <f t="shared" si="83"/>
        <v>2.6113790623056348</v>
      </c>
    </row>
    <row r="226" spans="1:26" s="24" customFormat="1" hidden="1" outlineLevel="2" x14ac:dyDescent="0.25">
      <c r="A226" s="25"/>
      <c r="B226" s="11" t="str">
        <f>CONCATENATE("          ", "6307", " - ", "POSTAGE")</f>
        <v xml:space="preserve">          6307 - POSTAGE</v>
      </c>
      <c r="C226" s="11"/>
      <c r="D226" s="6">
        <v>-4319.71</v>
      </c>
      <c r="E226" s="2"/>
      <c r="F226" s="7">
        <f t="shared" si="76"/>
        <v>-2.5297850949696478E-2</v>
      </c>
      <c r="G226" s="2"/>
      <c r="H226" s="6">
        <v>-459.37</v>
      </c>
      <c r="I226" s="2"/>
      <c r="J226" s="7">
        <f t="shared" si="77"/>
        <v>-7.5202606416877645E-4</v>
      </c>
      <c r="K226" s="2"/>
      <c r="L226" s="6">
        <f t="shared" si="78"/>
        <v>-3860.34</v>
      </c>
      <c r="M226" s="2"/>
      <c r="N226" s="7">
        <f t="shared" si="79"/>
        <v>8.4035526917299777</v>
      </c>
      <c r="O226" s="11"/>
      <c r="P226" s="6">
        <v>-122403.2</v>
      </c>
      <c r="Q226" s="2"/>
      <c r="R226" s="7">
        <f t="shared" si="80"/>
        <v>-3.3435404986217235E-2</v>
      </c>
      <c r="S226" s="2"/>
      <c r="T226" s="6">
        <v>-24047.599999999999</v>
      </c>
      <c r="U226" s="2"/>
      <c r="V226" s="7">
        <f t="shared" si="81"/>
        <v>-3.660177401679704E-3</v>
      </c>
      <c r="W226" s="2"/>
      <c r="X226" s="6">
        <f t="shared" si="82"/>
        <v>-98355.6</v>
      </c>
      <c r="Y226" s="2"/>
      <c r="Z226" s="7">
        <f t="shared" si="83"/>
        <v>4.0900380911192808</v>
      </c>
    </row>
    <row r="227" spans="1:26" s="26" customFormat="1" outlineLevel="1" collapsed="1" x14ac:dyDescent="0.25">
      <c r="A227" s="27"/>
      <c r="B227" s="13" t="str">
        <f>CONCATENATE("     ","General                                           ")</f>
        <v xml:space="preserve">     General                                           </v>
      </c>
      <c r="C227" s="13"/>
      <c r="D227" s="1">
        <f>SUM(OSRRefD22_11x_0)</f>
        <v>3792.73</v>
      </c>
      <c r="E227" s="1"/>
      <c r="F227" s="5">
        <f t="shared" ref="F227:F241" si="84">IF(D$12=0,0,D227/D$12)</f>
        <v>2.2211657317839004E-2</v>
      </c>
      <c r="G227" s="1"/>
      <c r="H227" s="1">
        <f>SUM(OSRRefH22_11x_0)</f>
        <v>12059.82</v>
      </c>
      <c r="I227" s="1"/>
      <c r="J227" s="5">
        <f t="shared" ref="J227:J241" si="85">IF(H$12=0,0,H227/H$12)</f>
        <v>1.9742906522376067E-2</v>
      </c>
      <c r="K227" s="1"/>
      <c r="L227" s="1">
        <f t="shared" ref="L227:L241" si="86">+D227-H227</f>
        <v>-8267.09</v>
      </c>
      <c r="M227" s="1"/>
      <c r="N227" s="5">
        <f t="shared" ref="N227:N241" si="87">IF(H227=0,0,L227/H227)</f>
        <v>-0.68550691469690261</v>
      </c>
      <c r="O227" s="13"/>
      <c r="P227" s="1">
        <f>SUM(OSRRefP22_11x_0)</f>
        <v>515.75</v>
      </c>
      <c r="Q227" s="1"/>
      <c r="R227" s="5">
        <f t="shared" ref="R227:R241" si="88">IF(P$12=0,0,P227/P$12)</f>
        <v>1.4088120344600091E-4</v>
      </c>
      <c r="S227" s="1"/>
      <c r="T227" s="1">
        <f>SUM(OSRRefT22_11x_0)</f>
        <v>-3452.97</v>
      </c>
      <c r="U227" s="1"/>
      <c r="V227" s="5">
        <f t="shared" ref="V227:V241" si="89">IF(T$12=0,0,T227/T$12)</f>
        <v>-5.2556108562509221E-4</v>
      </c>
      <c r="W227" s="1"/>
      <c r="X227" s="1">
        <f t="shared" ref="X227:X241" si="90">+P227-T227</f>
        <v>3968.72</v>
      </c>
      <c r="Y227" s="1"/>
      <c r="Z227" s="5">
        <f t="shared" ref="Z227:Z241" si="91">IF(T227=0,0,X227/T227)</f>
        <v>-1.149364170554624</v>
      </c>
    </row>
    <row r="228" spans="1:26" s="24" customFormat="1" hidden="1" outlineLevel="2" x14ac:dyDescent="0.25">
      <c r="A228" s="25"/>
      <c r="B228" s="11" t="str">
        <f>CONCATENATE("          ", "6279", " - ", "GENERAL EXPENSE")</f>
        <v xml:space="preserve">          6279 - GENERAL EXPENSE</v>
      </c>
      <c r="C228" s="11"/>
      <c r="D228" s="6">
        <v>3792.73</v>
      </c>
      <c r="E228" s="2"/>
      <c r="F228" s="7">
        <f t="shared" si="84"/>
        <v>2.2211657317839004E-2</v>
      </c>
      <c r="G228" s="2"/>
      <c r="H228" s="6">
        <v>12059.82</v>
      </c>
      <c r="I228" s="2"/>
      <c r="J228" s="7">
        <f t="shared" si="85"/>
        <v>1.9742906522376067E-2</v>
      </c>
      <c r="K228" s="2"/>
      <c r="L228" s="6">
        <f t="shared" si="86"/>
        <v>-8267.09</v>
      </c>
      <c r="M228" s="2"/>
      <c r="N228" s="7">
        <f t="shared" si="87"/>
        <v>-0.68550691469690261</v>
      </c>
      <c r="O228" s="11"/>
      <c r="P228" s="6">
        <v>515.75</v>
      </c>
      <c r="Q228" s="2"/>
      <c r="R228" s="7">
        <f t="shared" si="88"/>
        <v>1.4088120344600091E-4</v>
      </c>
      <c r="S228" s="2"/>
      <c r="T228" s="6">
        <v>-3452.97</v>
      </c>
      <c r="U228" s="2"/>
      <c r="V228" s="7">
        <f t="shared" si="89"/>
        <v>-5.2556108562509221E-4</v>
      </c>
      <c r="W228" s="2"/>
      <c r="X228" s="6">
        <f t="shared" si="90"/>
        <v>3968.72</v>
      </c>
      <c r="Y228" s="2"/>
      <c r="Z228" s="7">
        <f t="shared" si="91"/>
        <v>-1.149364170554624</v>
      </c>
    </row>
    <row r="229" spans="1:26" s="26" customFormat="1" outlineLevel="1" collapsed="1" x14ac:dyDescent="0.25">
      <c r="A229" s="27"/>
      <c r="B229" s="13" t="str">
        <f>CONCATENATE("     ","Insurance                                         ")</f>
        <v xml:space="preserve">     Insurance                                         </v>
      </c>
      <c r="C229" s="13"/>
      <c r="D229" s="1">
        <f>SUM(OSRRefD22_12x_0)</f>
        <v>4044.74</v>
      </c>
      <c r="E229" s="1"/>
      <c r="F229" s="5">
        <f t="shared" si="84"/>
        <v>2.368752292405632E-2</v>
      </c>
      <c r="G229" s="1"/>
      <c r="H229" s="1">
        <f>SUM(OSRRefH22_12x_0)</f>
        <v>4044.74</v>
      </c>
      <c r="I229" s="1"/>
      <c r="J229" s="5">
        <f t="shared" si="85"/>
        <v>6.6215684585106058E-3</v>
      </c>
      <c r="K229" s="1"/>
      <c r="L229" s="1">
        <f t="shared" si="86"/>
        <v>0</v>
      </c>
      <c r="M229" s="1"/>
      <c r="N229" s="5">
        <f t="shared" si="87"/>
        <v>0</v>
      </c>
      <c r="O229" s="13"/>
      <c r="P229" s="1">
        <f>SUM(OSRRefP22_12x_0)</f>
        <v>20223.7</v>
      </c>
      <c r="Q229" s="1"/>
      <c r="R229" s="5">
        <f t="shared" si="88"/>
        <v>5.5242640700550434E-3</v>
      </c>
      <c r="S229" s="1"/>
      <c r="T229" s="1">
        <f>SUM(OSRRefT22_12x_0)</f>
        <v>20223.7</v>
      </c>
      <c r="U229" s="1"/>
      <c r="V229" s="5">
        <f t="shared" si="89"/>
        <v>3.0781587234630413E-3</v>
      </c>
      <c r="W229" s="1"/>
      <c r="X229" s="1">
        <f t="shared" si="90"/>
        <v>0</v>
      </c>
      <c r="Y229" s="1"/>
      <c r="Z229" s="5">
        <f t="shared" si="91"/>
        <v>0</v>
      </c>
    </row>
    <row r="230" spans="1:26" s="24" customFormat="1" hidden="1" outlineLevel="2" x14ac:dyDescent="0.25">
      <c r="A230" s="25"/>
      <c r="B230" s="11" t="str">
        <f>CONCATENATE("          ", "6314", " - ", "LIABILITY INSURANCE")</f>
        <v xml:space="preserve">          6314 - LIABILITY INSURANCE</v>
      </c>
      <c r="C230" s="11"/>
      <c r="D230" s="6">
        <v>4044.74</v>
      </c>
      <c r="E230" s="2"/>
      <c r="F230" s="7">
        <f t="shared" si="84"/>
        <v>2.368752292405632E-2</v>
      </c>
      <c r="G230" s="2"/>
      <c r="H230" s="6">
        <v>4044.74</v>
      </c>
      <c r="I230" s="2"/>
      <c r="J230" s="7">
        <f t="shared" si="85"/>
        <v>6.6215684585106058E-3</v>
      </c>
      <c r="K230" s="2"/>
      <c r="L230" s="6">
        <f t="shared" si="86"/>
        <v>0</v>
      </c>
      <c r="M230" s="2"/>
      <c r="N230" s="7">
        <f t="shared" si="87"/>
        <v>0</v>
      </c>
      <c r="O230" s="11"/>
      <c r="P230" s="6">
        <v>20223.7</v>
      </c>
      <c r="Q230" s="2"/>
      <c r="R230" s="7">
        <f t="shared" si="88"/>
        <v>5.5242640700550434E-3</v>
      </c>
      <c r="S230" s="2"/>
      <c r="T230" s="6">
        <v>20223.7</v>
      </c>
      <c r="U230" s="2"/>
      <c r="V230" s="7">
        <f t="shared" si="89"/>
        <v>3.0781587234630413E-3</v>
      </c>
      <c r="W230" s="2"/>
      <c r="X230" s="6">
        <f t="shared" si="90"/>
        <v>0</v>
      </c>
      <c r="Y230" s="2"/>
      <c r="Z230" s="7">
        <f t="shared" si="91"/>
        <v>0</v>
      </c>
    </row>
    <row r="231" spans="1:26" s="26" customFormat="1" outlineLevel="1" collapsed="1" x14ac:dyDescent="0.25">
      <c r="A231" s="27"/>
      <c r="B231" s="13" t="str">
        <f>CONCATENATE("     ","Inventory Adjustment                              ")</f>
        <v xml:space="preserve">     Inventory Adjustment                              </v>
      </c>
      <c r="C231" s="13"/>
      <c r="D231" s="1">
        <f>SUM(OSRRefD22_13x_0)</f>
        <v>3350</v>
      </c>
      <c r="E231" s="1"/>
      <c r="F231" s="5">
        <f t="shared" si="84"/>
        <v>1.9618863461084934E-2</v>
      </c>
      <c r="G231" s="1"/>
      <c r="H231" s="1">
        <f>SUM(OSRRefH22_13x_0)</f>
        <v>4250</v>
      </c>
      <c r="I231" s="1"/>
      <c r="J231" s="5">
        <f t="shared" si="85"/>
        <v>6.9575957783862682E-3</v>
      </c>
      <c r="K231" s="1"/>
      <c r="L231" s="1">
        <f t="shared" si="86"/>
        <v>-900</v>
      </c>
      <c r="M231" s="1"/>
      <c r="N231" s="5">
        <f t="shared" si="87"/>
        <v>-0.21176470588235294</v>
      </c>
      <c r="O231" s="13"/>
      <c r="P231" s="1">
        <f>SUM(OSRRefP22_13x_0)</f>
        <v>16750</v>
      </c>
      <c r="Q231" s="1"/>
      <c r="R231" s="5">
        <f t="shared" si="88"/>
        <v>4.5753953615521384E-3</v>
      </c>
      <c r="S231" s="1"/>
      <c r="T231" s="1">
        <f>SUM(OSRRefT22_13x_0)</f>
        <v>21150</v>
      </c>
      <c r="U231" s="1"/>
      <c r="V231" s="5">
        <f t="shared" si="89"/>
        <v>3.2191466942865709E-3</v>
      </c>
      <c r="W231" s="1"/>
      <c r="X231" s="1">
        <f t="shared" si="90"/>
        <v>-4400</v>
      </c>
      <c r="Y231" s="1"/>
      <c r="Z231" s="5">
        <f t="shared" si="91"/>
        <v>-0.20803782505910165</v>
      </c>
    </row>
    <row r="232" spans="1:26" s="24" customFormat="1" hidden="1" outlineLevel="2" x14ac:dyDescent="0.25">
      <c r="A232" s="25"/>
      <c r="B232" s="11" t="str">
        <f>CONCATENATE("          ", "6408", " - ", "INVENTORY ADJUSTMENT")</f>
        <v xml:space="preserve">          6408 - INVENTORY ADJUSTMENT</v>
      </c>
      <c r="C232" s="11"/>
      <c r="D232" s="6">
        <v>3350</v>
      </c>
      <c r="E232" s="2"/>
      <c r="F232" s="7">
        <f t="shared" si="84"/>
        <v>1.9618863461084934E-2</v>
      </c>
      <c r="G232" s="2"/>
      <c r="H232" s="6">
        <v>4250</v>
      </c>
      <c r="I232" s="2"/>
      <c r="J232" s="7">
        <f t="shared" si="85"/>
        <v>6.9575957783862682E-3</v>
      </c>
      <c r="K232" s="2"/>
      <c r="L232" s="6">
        <f t="shared" si="86"/>
        <v>-900</v>
      </c>
      <c r="M232" s="2"/>
      <c r="N232" s="7">
        <f t="shared" si="87"/>
        <v>-0.21176470588235294</v>
      </c>
      <c r="O232" s="11"/>
      <c r="P232" s="6">
        <v>16750</v>
      </c>
      <c r="Q232" s="2"/>
      <c r="R232" s="7">
        <f t="shared" si="88"/>
        <v>4.5753953615521384E-3</v>
      </c>
      <c r="S232" s="2"/>
      <c r="T232" s="6">
        <v>21150</v>
      </c>
      <c r="U232" s="2"/>
      <c r="V232" s="7">
        <f t="shared" si="89"/>
        <v>3.2191466942865709E-3</v>
      </c>
      <c r="W232" s="2"/>
      <c r="X232" s="6">
        <f t="shared" si="90"/>
        <v>-4400</v>
      </c>
      <c r="Y232" s="2"/>
      <c r="Z232" s="7">
        <f t="shared" si="91"/>
        <v>-0.20803782505910165</v>
      </c>
    </row>
    <row r="233" spans="1:26" s="26" customFormat="1" outlineLevel="1" collapsed="1" x14ac:dyDescent="0.25">
      <c r="A233" s="27"/>
      <c r="B233" s="13" t="str">
        <f>CONCATENATE("     ","Professional Services                             ")</f>
        <v xml:space="preserve">     Professional Services                             </v>
      </c>
      <c r="C233" s="13"/>
      <c r="D233" s="1">
        <f>SUM(OSRRefD22_14x_0)</f>
        <v>0</v>
      </c>
      <c r="E233" s="1"/>
      <c r="F233" s="5">
        <f t="shared" si="84"/>
        <v>0</v>
      </c>
      <c r="G233" s="1"/>
      <c r="H233" s="1">
        <f>SUM(OSRRefH22_14x_0)</f>
        <v>0</v>
      </c>
      <c r="I233" s="1"/>
      <c r="J233" s="5">
        <f t="shared" si="85"/>
        <v>0</v>
      </c>
      <c r="K233" s="1"/>
      <c r="L233" s="1">
        <f t="shared" si="86"/>
        <v>0</v>
      </c>
      <c r="M233" s="1"/>
      <c r="N233" s="5">
        <f t="shared" si="87"/>
        <v>0</v>
      </c>
      <c r="O233" s="13"/>
      <c r="P233" s="1">
        <f>SUM(OSRRefP22_14x_0)</f>
        <v>0</v>
      </c>
      <c r="Q233" s="1"/>
      <c r="R233" s="5">
        <f t="shared" si="88"/>
        <v>0</v>
      </c>
      <c r="S233" s="1"/>
      <c r="T233" s="1">
        <f>SUM(OSRRefT22_14x_0)</f>
        <v>6158.41</v>
      </c>
      <c r="U233" s="1"/>
      <c r="V233" s="5">
        <f t="shared" si="89"/>
        <v>9.3734398078304309E-4</v>
      </c>
      <c r="W233" s="1"/>
      <c r="X233" s="1">
        <f t="shared" si="90"/>
        <v>-6158.41</v>
      </c>
      <c r="Y233" s="1"/>
      <c r="Z233" s="5">
        <f t="shared" si="91"/>
        <v>-1</v>
      </c>
    </row>
    <row r="234" spans="1:26" s="24" customFormat="1" hidden="1" outlineLevel="2" x14ac:dyDescent="0.25">
      <c r="A234" s="25"/>
      <c r="B234" s="11" t="str">
        <f>CONCATENATE("          ", "6336", " - ", "PROFESSIONAL SERVICES")</f>
        <v xml:space="preserve">          6336 - PROFESSIONAL SERVICES</v>
      </c>
      <c r="C234" s="11"/>
      <c r="D234" s="6"/>
      <c r="E234" s="2"/>
      <c r="F234" s="7">
        <f t="shared" si="84"/>
        <v>0</v>
      </c>
      <c r="G234" s="2"/>
      <c r="H234" s="6"/>
      <c r="I234" s="2"/>
      <c r="J234" s="7">
        <f t="shared" si="85"/>
        <v>0</v>
      </c>
      <c r="K234" s="2"/>
      <c r="L234" s="6">
        <f t="shared" si="86"/>
        <v>0</v>
      </c>
      <c r="M234" s="2"/>
      <c r="N234" s="7">
        <f t="shared" si="87"/>
        <v>0</v>
      </c>
      <c r="O234" s="11"/>
      <c r="P234" s="6"/>
      <c r="Q234" s="2"/>
      <c r="R234" s="7">
        <f t="shared" si="88"/>
        <v>0</v>
      </c>
      <c r="S234" s="2"/>
      <c r="T234" s="6">
        <v>6158.41</v>
      </c>
      <c r="U234" s="2"/>
      <c r="V234" s="7">
        <f t="shared" si="89"/>
        <v>9.3734398078304309E-4</v>
      </c>
      <c r="W234" s="2"/>
      <c r="X234" s="6">
        <f t="shared" si="90"/>
        <v>-6158.41</v>
      </c>
      <c r="Y234" s="2"/>
      <c r="Z234" s="7">
        <f t="shared" si="91"/>
        <v>-1</v>
      </c>
    </row>
    <row r="235" spans="1:26" s="26" customFormat="1" outlineLevel="1" collapsed="1" x14ac:dyDescent="0.25">
      <c r="A235" s="27"/>
      <c r="B235" s="13" t="str">
        <f>CONCATENATE("     ","Rent                                              ")</f>
        <v xml:space="preserve">     Rent                                              </v>
      </c>
      <c r="C235" s="13"/>
      <c r="D235" s="1">
        <f>SUM(OSRRefD22_15x_0)</f>
        <v>6100</v>
      </c>
      <c r="E235" s="1"/>
      <c r="F235" s="5">
        <f t="shared" si="84"/>
        <v>3.5723900630632265E-2</v>
      </c>
      <c r="G235" s="1"/>
      <c r="H235" s="1">
        <f>SUM(OSRRefH22_15x_0)</f>
        <v>6100</v>
      </c>
      <c r="I235" s="1"/>
      <c r="J235" s="5">
        <f t="shared" si="85"/>
        <v>9.9861962936838196E-3</v>
      </c>
      <c r="K235" s="1"/>
      <c r="L235" s="1">
        <f t="shared" si="86"/>
        <v>0</v>
      </c>
      <c r="M235" s="1"/>
      <c r="N235" s="5">
        <f t="shared" si="87"/>
        <v>0</v>
      </c>
      <c r="O235" s="13"/>
      <c r="P235" s="1">
        <f>SUM(OSRRefP22_15x_0)</f>
        <v>30500</v>
      </c>
      <c r="Q235" s="1"/>
      <c r="R235" s="5">
        <f t="shared" si="88"/>
        <v>8.3313169270053857E-3</v>
      </c>
      <c r="S235" s="1"/>
      <c r="T235" s="1">
        <f>SUM(OSRRefT22_15x_0)</f>
        <v>30500</v>
      </c>
      <c r="U235" s="1"/>
      <c r="V235" s="5">
        <f t="shared" si="89"/>
        <v>4.6422682825409184E-3</v>
      </c>
      <c r="W235" s="1"/>
      <c r="X235" s="1">
        <f t="shared" si="90"/>
        <v>0</v>
      </c>
      <c r="Y235" s="1"/>
      <c r="Z235" s="5">
        <f t="shared" si="91"/>
        <v>0</v>
      </c>
    </row>
    <row r="236" spans="1:26" s="24" customFormat="1" hidden="1" outlineLevel="2" x14ac:dyDescent="0.25">
      <c r="A236" s="25"/>
      <c r="B236" s="11" t="str">
        <f>CONCATENATE("          ", "6273", " - ", "RENT")</f>
        <v xml:space="preserve">          6273 - RENT</v>
      </c>
      <c r="C236" s="11"/>
      <c r="D236" s="6">
        <v>6100</v>
      </c>
      <c r="E236" s="2"/>
      <c r="F236" s="7">
        <f t="shared" si="84"/>
        <v>3.5723900630632265E-2</v>
      </c>
      <c r="G236" s="2"/>
      <c r="H236" s="6">
        <v>6100</v>
      </c>
      <c r="I236" s="2"/>
      <c r="J236" s="7">
        <f t="shared" si="85"/>
        <v>9.9861962936838196E-3</v>
      </c>
      <c r="K236" s="2"/>
      <c r="L236" s="6">
        <f t="shared" si="86"/>
        <v>0</v>
      </c>
      <c r="M236" s="2"/>
      <c r="N236" s="7">
        <f t="shared" si="87"/>
        <v>0</v>
      </c>
      <c r="O236" s="11"/>
      <c r="P236" s="6">
        <v>30500</v>
      </c>
      <c r="Q236" s="2"/>
      <c r="R236" s="7">
        <f t="shared" si="88"/>
        <v>8.3313169270053857E-3</v>
      </c>
      <c r="S236" s="2"/>
      <c r="T236" s="6">
        <v>30500</v>
      </c>
      <c r="U236" s="2"/>
      <c r="V236" s="7">
        <f t="shared" si="89"/>
        <v>4.6422682825409184E-3</v>
      </c>
      <c r="W236" s="2"/>
      <c r="X236" s="6">
        <f t="shared" si="90"/>
        <v>0</v>
      </c>
      <c r="Y236" s="2"/>
      <c r="Z236" s="7">
        <f t="shared" si="91"/>
        <v>0</v>
      </c>
    </row>
    <row r="237" spans="1:26" s="26" customFormat="1" outlineLevel="1" collapsed="1" x14ac:dyDescent="0.25">
      <c r="A237" s="27"/>
      <c r="B237" s="13" t="str">
        <f>CONCATENATE("     ","Repair and Maintenance                            ")</f>
        <v xml:space="preserve">     Repair and Maintenance                            </v>
      </c>
      <c r="C237" s="13"/>
      <c r="D237" s="1">
        <f>SUM(OSRRefD22_16x_0)</f>
        <v>3234.7799999999997</v>
      </c>
      <c r="E237" s="1"/>
      <c r="F237" s="5">
        <f t="shared" si="84"/>
        <v>1.8944091685566662E-2</v>
      </c>
      <c r="G237" s="1"/>
      <c r="H237" s="1">
        <f>SUM(OSRRefH22_16x_0)</f>
        <v>5260.4400000000005</v>
      </c>
      <c r="I237" s="1"/>
      <c r="J237" s="5">
        <f t="shared" si="85"/>
        <v>8.6117682674010029E-3</v>
      </c>
      <c r="K237" s="1"/>
      <c r="L237" s="1">
        <f t="shared" si="86"/>
        <v>-2025.6600000000008</v>
      </c>
      <c r="M237" s="1"/>
      <c r="N237" s="5">
        <f t="shared" si="87"/>
        <v>-0.38507425234391052</v>
      </c>
      <c r="O237" s="13"/>
      <c r="P237" s="1">
        <f>SUM(OSRRefP22_16x_0)</f>
        <v>101179.15</v>
      </c>
      <c r="Q237" s="1"/>
      <c r="R237" s="5">
        <f t="shared" si="88"/>
        <v>2.7637887378853015E-2</v>
      </c>
      <c r="S237" s="1"/>
      <c r="T237" s="1">
        <f>SUM(OSRRefT22_16x_0)</f>
        <v>70201.75</v>
      </c>
      <c r="U237" s="1"/>
      <c r="V237" s="5">
        <f t="shared" si="89"/>
        <v>1.0685093685372685E-2</v>
      </c>
      <c r="W237" s="1"/>
      <c r="X237" s="1">
        <f t="shared" si="90"/>
        <v>30977.399999999994</v>
      </c>
      <c r="Y237" s="1"/>
      <c r="Z237" s="5">
        <f t="shared" si="91"/>
        <v>0.44126250413985396</v>
      </c>
    </row>
    <row r="238" spans="1:26" s="24" customFormat="1" hidden="1" outlineLevel="2" x14ac:dyDescent="0.25">
      <c r="A238" s="25"/>
      <c r="B238" s="11" t="str">
        <f>CONCATENATE("          ", "6371", " - ", "COMPUTER SOFTWARE MAINTENANCE")</f>
        <v xml:space="preserve">          6371 - COMPUTER SOFTWARE MAINTENANCE</v>
      </c>
      <c r="C238" s="11"/>
      <c r="D238" s="6"/>
      <c r="E238" s="2"/>
      <c r="F238" s="7">
        <f t="shared" si="84"/>
        <v>0</v>
      </c>
      <c r="G238" s="2"/>
      <c r="H238" s="6">
        <v>601</v>
      </c>
      <c r="I238" s="2"/>
      <c r="J238" s="7">
        <f t="shared" si="85"/>
        <v>9.8388589713179929E-4</v>
      </c>
      <c r="K238" s="2"/>
      <c r="L238" s="6">
        <f t="shared" si="86"/>
        <v>-601</v>
      </c>
      <c r="M238" s="2"/>
      <c r="N238" s="7">
        <f t="shared" si="87"/>
        <v>-1</v>
      </c>
      <c r="O238" s="11"/>
      <c r="P238" s="6">
        <v>58436.47</v>
      </c>
      <c r="Q238" s="2"/>
      <c r="R238" s="7">
        <f t="shared" si="88"/>
        <v>1.596238530050631E-2</v>
      </c>
      <c r="S238" s="2"/>
      <c r="T238" s="6">
        <v>13352.4</v>
      </c>
      <c r="U238" s="2"/>
      <c r="V238" s="7">
        <f t="shared" si="89"/>
        <v>2.0323089513376836E-3</v>
      </c>
      <c r="W238" s="2"/>
      <c r="X238" s="6">
        <f t="shared" si="90"/>
        <v>45084.07</v>
      </c>
      <c r="Y238" s="2"/>
      <c r="Z238" s="7">
        <f t="shared" si="91"/>
        <v>3.3764768880500884</v>
      </c>
    </row>
    <row r="239" spans="1:26" s="24" customFormat="1" hidden="1" outlineLevel="2" x14ac:dyDescent="0.25">
      <c r="A239" s="25"/>
      <c r="B239" s="11" t="str">
        <f>CONCATENATE("          ", "6372", " - ", "COMPUTER HARDWARE MAINTENANCE")</f>
        <v xml:space="preserve">          6372 - COMPUTER HARDWARE MAINTENANCE</v>
      </c>
      <c r="C239" s="11"/>
      <c r="D239" s="6"/>
      <c r="E239" s="2"/>
      <c r="F239" s="7">
        <f t="shared" si="84"/>
        <v>0</v>
      </c>
      <c r="G239" s="2"/>
      <c r="H239" s="6"/>
      <c r="I239" s="2"/>
      <c r="J239" s="7">
        <f t="shared" si="85"/>
        <v>0</v>
      </c>
      <c r="K239" s="2"/>
      <c r="L239" s="6">
        <f t="shared" si="86"/>
        <v>0</v>
      </c>
      <c r="M239" s="2"/>
      <c r="N239" s="7">
        <f t="shared" si="87"/>
        <v>0</v>
      </c>
      <c r="O239" s="11"/>
      <c r="P239" s="6">
        <v>0</v>
      </c>
      <c r="Q239" s="2"/>
      <c r="R239" s="7">
        <f t="shared" si="88"/>
        <v>0</v>
      </c>
      <c r="S239" s="2"/>
      <c r="T239" s="6"/>
      <c r="U239" s="2"/>
      <c r="V239" s="7">
        <f t="shared" si="89"/>
        <v>0</v>
      </c>
      <c r="W239" s="2"/>
      <c r="X239" s="6">
        <f t="shared" si="90"/>
        <v>0</v>
      </c>
      <c r="Y239" s="2"/>
      <c r="Z239" s="7">
        <f t="shared" si="91"/>
        <v>0</v>
      </c>
    </row>
    <row r="240" spans="1:26" s="24" customFormat="1" hidden="1" outlineLevel="2" x14ac:dyDescent="0.25">
      <c r="A240" s="25"/>
      <c r="B240" s="11" t="str">
        <f>CONCATENATE("          ", "6373", " - ", "MAINTENANCE CONTRACTS")</f>
        <v xml:space="preserve">          6373 - MAINTENANCE CONTRACTS</v>
      </c>
      <c r="C240" s="11"/>
      <c r="D240" s="6">
        <v>440.29</v>
      </c>
      <c r="E240" s="2"/>
      <c r="F240" s="7">
        <f t="shared" si="84"/>
        <v>2.5785042965018167E-3</v>
      </c>
      <c r="G240" s="2"/>
      <c r="H240" s="6">
        <v>1461.73</v>
      </c>
      <c r="I240" s="2"/>
      <c r="J240" s="7">
        <f t="shared" si="85"/>
        <v>2.392970935797779E-3</v>
      </c>
      <c r="K240" s="2"/>
      <c r="L240" s="6">
        <f t="shared" si="86"/>
        <v>-1021.44</v>
      </c>
      <c r="M240" s="2"/>
      <c r="N240" s="7">
        <f t="shared" si="87"/>
        <v>-0.69878842193838808</v>
      </c>
      <c r="O240" s="11"/>
      <c r="P240" s="6">
        <v>31026.01</v>
      </c>
      <c r="Q240" s="2"/>
      <c r="R240" s="7">
        <f t="shared" si="88"/>
        <v>8.4750007308340442E-3</v>
      </c>
      <c r="S240" s="2"/>
      <c r="T240" s="6">
        <v>31837.919999999998</v>
      </c>
      <c r="U240" s="2"/>
      <c r="V240" s="7">
        <f t="shared" si="89"/>
        <v>4.8459070884614795E-3</v>
      </c>
      <c r="W240" s="2"/>
      <c r="X240" s="6">
        <f t="shared" si="90"/>
        <v>-811.90999999999985</v>
      </c>
      <c r="Y240" s="2"/>
      <c r="Z240" s="7">
        <f t="shared" si="91"/>
        <v>-2.5501351847105586E-2</v>
      </c>
    </row>
    <row r="241" spans="1:26" s="24" customFormat="1" hidden="1" outlineLevel="2" x14ac:dyDescent="0.25">
      <c r="A241" s="25"/>
      <c r="B241" s="11" t="str">
        <f>CONCATENATE("          ", "6375", " - ", "OUTSIDE REPAIRS &amp; MAINTENANCE")</f>
        <v xml:space="preserve">          6375 - OUTSIDE REPAIRS &amp; MAINTENANCE</v>
      </c>
      <c r="C241" s="11"/>
      <c r="D241" s="6">
        <v>2794.49</v>
      </c>
      <c r="E241" s="2"/>
      <c r="F241" s="7">
        <f t="shared" si="84"/>
        <v>1.6365587389064844E-2</v>
      </c>
      <c r="G241" s="2"/>
      <c r="H241" s="6">
        <v>3197.71</v>
      </c>
      <c r="I241" s="2"/>
      <c r="J241" s="7">
        <f t="shared" si="85"/>
        <v>5.2349114344714242E-3</v>
      </c>
      <c r="K241" s="2"/>
      <c r="L241" s="6">
        <f t="shared" si="86"/>
        <v>-403.22000000000025</v>
      </c>
      <c r="M241" s="2"/>
      <c r="N241" s="7">
        <f t="shared" si="87"/>
        <v>-0.12609648779908131</v>
      </c>
      <c r="O241" s="11"/>
      <c r="P241" s="6">
        <v>11716.67</v>
      </c>
      <c r="Q241" s="2"/>
      <c r="R241" s="7">
        <f t="shared" si="88"/>
        <v>3.2005013475126624E-3</v>
      </c>
      <c r="S241" s="2"/>
      <c r="T241" s="6">
        <v>25011.43</v>
      </c>
      <c r="U241" s="2"/>
      <c r="V241" s="7">
        <f t="shared" si="89"/>
        <v>3.806877645573521E-3</v>
      </c>
      <c r="W241" s="2"/>
      <c r="X241" s="6">
        <f t="shared" si="90"/>
        <v>-13294.76</v>
      </c>
      <c r="Y241" s="2"/>
      <c r="Z241" s="7">
        <f t="shared" si="91"/>
        <v>-0.53154737653944617</v>
      </c>
    </row>
    <row r="242" spans="1:26" s="26" customFormat="1" outlineLevel="1" collapsed="1" x14ac:dyDescent="0.25">
      <c r="A242" s="27"/>
      <c r="B242" s="13" t="str">
        <f>CONCATENATE("     ","Royalty &amp; Commissions                             ")</f>
        <v xml:space="preserve">     Royalty &amp; Commissions                             </v>
      </c>
      <c r="C242" s="13"/>
      <c r="D242" s="1">
        <f>SUM(OSRRefD22_17x_0)</f>
        <v>4453.09</v>
      </c>
      <c r="E242" s="1"/>
      <c r="F242" s="5">
        <f t="shared" ref="F242:F245" si="92">IF(D$12=0,0,D242/D$12)</f>
        <v>2.6078974534305285E-2</v>
      </c>
      <c r="G242" s="1"/>
      <c r="H242" s="1">
        <f>SUM(OSRRefH22_17x_0)</f>
        <v>18456.649999999998</v>
      </c>
      <c r="I242" s="1"/>
      <c r="J242" s="5">
        <f t="shared" ref="J242:J245" si="93">IF(H$12=0,0,H242/H$12)</f>
        <v>3.0215037676035977E-2</v>
      </c>
      <c r="K242" s="1"/>
      <c r="L242" s="1">
        <f t="shared" ref="L242:L245" si="94">+D242-H242</f>
        <v>-14003.559999999998</v>
      </c>
      <c r="M242" s="1"/>
      <c r="N242" s="5">
        <f t="shared" ref="N242:N245" si="95">IF(H242=0,0,L242/H242)</f>
        <v>-0.75872707127241401</v>
      </c>
      <c r="O242" s="13"/>
      <c r="P242" s="1">
        <f>SUM(OSRRefP22_17x_0)</f>
        <v>28570.09</v>
      </c>
      <c r="Q242" s="1"/>
      <c r="R242" s="5">
        <f t="shared" ref="R242:R245" si="96">IF(P$12=0,0,P242/P$12)</f>
        <v>7.80414670239565E-3</v>
      </c>
      <c r="S242" s="1"/>
      <c r="T242" s="1">
        <f>SUM(OSRRefT22_17x_0)</f>
        <v>50535.75</v>
      </c>
      <c r="U242" s="1"/>
      <c r="V242" s="5">
        <f t="shared" ref="V242:V245" si="97">IF(T$12=0,0,T242/T$12)</f>
        <v>7.6918199789972851E-3</v>
      </c>
      <c r="W242" s="1"/>
      <c r="X242" s="1">
        <f t="shared" ref="X242:X245" si="98">+P242-T242</f>
        <v>-21965.66</v>
      </c>
      <c r="Y242" s="1"/>
      <c r="Z242" s="5">
        <f t="shared" ref="Z242:Z245" si="99">IF(T242=0,0,X242/T242)</f>
        <v>-0.43465586243401949</v>
      </c>
    </row>
    <row r="243" spans="1:26" s="24" customFormat="1" hidden="1" outlineLevel="2" x14ac:dyDescent="0.25">
      <c r="A243" s="25"/>
      <c r="B243" s="11" t="str">
        <f>CONCATENATE("          ", "6253", " - ", "ROYALTY DUE ATHLETICS-LRG")</f>
        <v xml:space="preserve">          6253 - ROYALTY DUE ATHLETICS-LRG</v>
      </c>
      <c r="C243" s="11"/>
      <c r="D243" s="6"/>
      <c r="E243" s="2"/>
      <c r="F243" s="7">
        <f t="shared" si="92"/>
        <v>0</v>
      </c>
      <c r="G243" s="2"/>
      <c r="H243" s="6"/>
      <c r="I243" s="2"/>
      <c r="J243" s="7">
        <f t="shared" si="93"/>
        <v>0</v>
      </c>
      <c r="K243" s="2"/>
      <c r="L243" s="6">
        <f t="shared" si="94"/>
        <v>0</v>
      </c>
      <c r="M243" s="2"/>
      <c r="N243" s="7">
        <f t="shared" si="95"/>
        <v>0</v>
      </c>
      <c r="O243" s="11"/>
      <c r="P243" s="6">
        <v>18411.8</v>
      </c>
      <c r="Q243" s="2"/>
      <c r="R243" s="7">
        <f t="shared" si="96"/>
        <v>5.0293292130045167E-3</v>
      </c>
      <c r="S243" s="2"/>
      <c r="T243" s="6">
        <v>4366.95</v>
      </c>
      <c r="U243" s="2"/>
      <c r="V243" s="7">
        <f t="shared" si="97"/>
        <v>6.6467388447351023E-4</v>
      </c>
      <c r="W243" s="2"/>
      <c r="X243" s="6">
        <f t="shared" si="98"/>
        <v>14044.849999999999</v>
      </c>
      <c r="Y243" s="2"/>
      <c r="Z243" s="7">
        <f t="shared" si="99"/>
        <v>3.216169179862375</v>
      </c>
    </row>
    <row r="244" spans="1:26" s="24" customFormat="1" hidden="1" outlineLevel="2" x14ac:dyDescent="0.25">
      <c r="A244" s="25"/>
      <c r="B244" s="11" t="str">
        <f>CONCATENATE("          ", "6254", " - ", "ROYALTY &amp; COMMISSIONS")</f>
        <v xml:space="preserve">          6254 - ROYALTY &amp; COMMISSIONS</v>
      </c>
      <c r="C244" s="11"/>
      <c r="D244" s="6"/>
      <c r="E244" s="2"/>
      <c r="F244" s="7">
        <f t="shared" si="92"/>
        <v>0</v>
      </c>
      <c r="G244" s="2"/>
      <c r="H244" s="6">
        <v>803.23</v>
      </c>
      <c r="I244" s="2"/>
      <c r="J244" s="7">
        <f t="shared" si="93"/>
        <v>1.3149528604878124E-3</v>
      </c>
      <c r="K244" s="2"/>
      <c r="L244" s="6">
        <f t="shared" si="94"/>
        <v>-803.23</v>
      </c>
      <c r="M244" s="2"/>
      <c r="N244" s="7">
        <f t="shared" si="95"/>
        <v>-1</v>
      </c>
      <c r="O244" s="11"/>
      <c r="P244" s="6"/>
      <c r="Q244" s="2"/>
      <c r="R244" s="7">
        <f t="shared" si="96"/>
        <v>0</v>
      </c>
      <c r="S244" s="2"/>
      <c r="T244" s="6">
        <v>2301.12</v>
      </c>
      <c r="U244" s="2"/>
      <c r="V244" s="7">
        <f t="shared" si="97"/>
        <v>3.5024316033837889E-4</v>
      </c>
      <c r="W244" s="2"/>
      <c r="X244" s="6">
        <f t="shared" si="98"/>
        <v>-2301.12</v>
      </c>
      <c r="Y244" s="2"/>
      <c r="Z244" s="7">
        <f t="shared" si="99"/>
        <v>-1</v>
      </c>
    </row>
    <row r="245" spans="1:26" s="24" customFormat="1" hidden="1" outlineLevel="2" x14ac:dyDescent="0.25">
      <c r="A245" s="25"/>
      <c r="B245" s="11" t="str">
        <f>CONCATENATE("          ", "6259", " - ", "ROYALTY &amp; COMMISSIONS")</f>
        <v xml:space="preserve">          6259 - ROYALTY &amp; COMMISSIONS</v>
      </c>
      <c r="C245" s="11"/>
      <c r="D245" s="6">
        <v>4453.09</v>
      </c>
      <c r="E245" s="2"/>
      <c r="F245" s="7">
        <f t="shared" si="92"/>
        <v>2.6078974534305285E-2</v>
      </c>
      <c r="G245" s="2"/>
      <c r="H245" s="6">
        <v>17653.419999999998</v>
      </c>
      <c r="I245" s="2"/>
      <c r="J245" s="7">
        <f t="shared" si="93"/>
        <v>2.8900084815548167E-2</v>
      </c>
      <c r="K245" s="2"/>
      <c r="L245" s="6">
        <f t="shared" si="94"/>
        <v>-13200.329999999998</v>
      </c>
      <c r="M245" s="2"/>
      <c r="N245" s="7">
        <f t="shared" si="95"/>
        <v>-0.74774916135230451</v>
      </c>
      <c r="O245" s="11"/>
      <c r="P245" s="6">
        <v>10158.290000000001</v>
      </c>
      <c r="Q245" s="2"/>
      <c r="R245" s="7">
        <f t="shared" si="96"/>
        <v>2.7748174893911328E-3</v>
      </c>
      <c r="S245" s="2"/>
      <c r="T245" s="6">
        <v>43867.68</v>
      </c>
      <c r="U245" s="2"/>
      <c r="V245" s="7">
        <f t="shared" si="97"/>
        <v>6.6769029341853959E-3</v>
      </c>
      <c r="W245" s="2"/>
      <c r="X245" s="6">
        <f t="shared" si="98"/>
        <v>-33709.39</v>
      </c>
      <c r="Y245" s="2"/>
      <c r="Z245" s="7">
        <f t="shared" si="99"/>
        <v>-0.76843338877278211</v>
      </c>
    </row>
    <row r="246" spans="1:26" s="26" customFormat="1" outlineLevel="1" collapsed="1" x14ac:dyDescent="0.25">
      <c r="A246" s="27"/>
      <c r="B246" s="13" t="str">
        <f>CONCATENATE("     ","Services                                          ")</f>
        <v xml:space="preserve">     Services                                          </v>
      </c>
      <c r="C246" s="13"/>
      <c r="D246" s="1">
        <f>SUM(OSRRefD22_18x_0)</f>
        <v>3898.5299999999997</v>
      </c>
      <c r="E246" s="1"/>
      <c r="F246" s="5">
        <f t="shared" ref="F246:F250" si="100">IF(D$12=0,0,D246/D$12)</f>
        <v>2.2831262020580133E-2</v>
      </c>
      <c r="G246" s="1"/>
      <c r="H246" s="1">
        <f>SUM(OSRRefH22_18x_0)</f>
        <v>4391.5599999999995</v>
      </c>
      <c r="I246" s="1"/>
      <c r="J246" s="5">
        <f t="shared" ref="J246:J250" si="101">IF(H$12=0,0,H246/H$12)</f>
        <v>7.189341015654117E-3</v>
      </c>
      <c r="K246" s="1"/>
      <c r="L246" s="1">
        <f t="shared" ref="L246:L250" si="102">+D246-H246</f>
        <v>-493.02999999999975</v>
      </c>
      <c r="M246" s="1"/>
      <c r="N246" s="5">
        <f t="shared" ref="N246:N250" si="103">IF(H246=0,0,L246/H246)</f>
        <v>-0.11226762243940645</v>
      </c>
      <c r="O246" s="13"/>
      <c r="P246" s="1">
        <f>SUM(OSRRefP22_18x_0)</f>
        <v>16689.72</v>
      </c>
      <c r="Q246" s="1"/>
      <c r="R246" s="5">
        <f t="shared" ref="R246:R250" si="104">IF(P$12=0,0,P246/P$12)</f>
        <v>4.5589294014091912E-3</v>
      </c>
      <c r="S246" s="1"/>
      <c r="T246" s="1">
        <f>SUM(OSRRefT22_18x_0)</f>
        <v>22866.47</v>
      </c>
      <c r="U246" s="1"/>
      <c r="V246" s="5">
        <f t="shared" ref="V246:V250" si="105">IF(T$12=0,0,T246/T$12)</f>
        <v>3.480402898841752E-3</v>
      </c>
      <c r="W246" s="1"/>
      <c r="X246" s="1">
        <f t="shared" ref="X246:X250" si="106">+P246-T246</f>
        <v>-6176.75</v>
      </c>
      <c r="Y246" s="1"/>
      <c r="Z246" s="5">
        <f t="shared" ref="Z246:Z250" si="107">IF(T246=0,0,X246/T246)</f>
        <v>-0.27012258560241259</v>
      </c>
    </row>
    <row r="247" spans="1:26" s="24" customFormat="1" hidden="1" outlineLevel="2" x14ac:dyDescent="0.25">
      <c r="A247" s="25"/>
      <c r="B247" s="11" t="str">
        <f>CONCATENATE("          ", "6282", " - ", "JANITORIAL/EXTERMINATOR EXPENS")</f>
        <v xml:space="preserve">          6282 - JANITORIAL/EXTERMINATOR EXPENS</v>
      </c>
      <c r="C247" s="11"/>
      <c r="D247" s="6">
        <v>266.5</v>
      </c>
      <c r="E247" s="2"/>
      <c r="F247" s="7">
        <f t="shared" si="100"/>
        <v>1.5607245111579507E-3</v>
      </c>
      <c r="G247" s="2"/>
      <c r="H247" s="6">
        <v>266.5</v>
      </c>
      <c r="I247" s="2"/>
      <c r="J247" s="7">
        <f t="shared" si="101"/>
        <v>4.3628218233880955E-4</v>
      </c>
      <c r="K247" s="2"/>
      <c r="L247" s="6">
        <f t="shared" si="102"/>
        <v>0</v>
      </c>
      <c r="M247" s="2"/>
      <c r="N247" s="7">
        <f t="shared" si="103"/>
        <v>0</v>
      </c>
      <c r="O247" s="11"/>
      <c r="P247" s="6">
        <v>5340.12</v>
      </c>
      <c r="Q247" s="2"/>
      <c r="R247" s="7">
        <f t="shared" si="104"/>
        <v>1.458696136007869E-3</v>
      </c>
      <c r="S247" s="2"/>
      <c r="T247" s="6">
        <v>1332.5</v>
      </c>
      <c r="U247" s="2"/>
      <c r="V247" s="7">
        <f t="shared" si="105"/>
        <v>2.0281385201592698E-4</v>
      </c>
      <c r="W247" s="2"/>
      <c r="X247" s="6">
        <f t="shared" si="106"/>
        <v>4007.62</v>
      </c>
      <c r="Y247" s="2"/>
      <c r="Z247" s="7">
        <f t="shared" si="107"/>
        <v>3.0075947467166979</v>
      </c>
    </row>
    <row r="248" spans="1:26" s="24" customFormat="1" hidden="1" outlineLevel="2" x14ac:dyDescent="0.25">
      <c r="A248" s="25"/>
      <c r="B248" s="11" t="str">
        <f>CONCATENATE("          ", "6283", " - ", "PLANT SERVICE")</f>
        <v xml:space="preserve">          6283 - PLANT SERVICE</v>
      </c>
      <c r="C248" s="11"/>
      <c r="D248" s="6">
        <v>41.31</v>
      </c>
      <c r="E248" s="2"/>
      <c r="F248" s="7">
        <f t="shared" si="100"/>
        <v>2.4192694017236379E-4</v>
      </c>
      <c r="G248" s="2"/>
      <c r="H248" s="6"/>
      <c r="I248" s="2"/>
      <c r="J248" s="7">
        <f t="shared" si="101"/>
        <v>0</v>
      </c>
      <c r="K248" s="2"/>
      <c r="L248" s="6">
        <f t="shared" si="102"/>
        <v>41.31</v>
      </c>
      <c r="M248" s="2"/>
      <c r="N248" s="7">
        <f t="shared" si="103"/>
        <v>0</v>
      </c>
      <c r="O248" s="11"/>
      <c r="P248" s="6">
        <v>171.31</v>
      </c>
      <c r="Q248" s="2"/>
      <c r="R248" s="7">
        <f t="shared" si="104"/>
        <v>4.6794685336566976E-5</v>
      </c>
      <c r="S248" s="2"/>
      <c r="T248" s="6">
        <v>541.98</v>
      </c>
      <c r="U248" s="2"/>
      <c r="V248" s="7">
        <f t="shared" si="105"/>
        <v>8.2492346353164813E-5</v>
      </c>
      <c r="W248" s="2"/>
      <c r="X248" s="6">
        <f t="shared" si="106"/>
        <v>-370.67</v>
      </c>
      <c r="Y248" s="2"/>
      <c r="Z248" s="7">
        <f t="shared" si="107"/>
        <v>-0.68391822576478833</v>
      </c>
    </row>
    <row r="249" spans="1:26" s="24" customFormat="1" hidden="1" outlineLevel="2" x14ac:dyDescent="0.25">
      <c r="A249" s="25"/>
      <c r="B249" s="11" t="str">
        <f>CONCATENATE("          ", "6284", " - ", "TRASH REMOVAL EXPENSE")</f>
        <v xml:space="preserve">          6284 - TRASH REMOVAL EXPENSE</v>
      </c>
      <c r="C249" s="11"/>
      <c r="D249" s="6"/>
      <c r="E249" s="2"/>
      <c r="F249" s="7">
        <f t="shared" si="100"/>
        <v>0</v>
      </c>
      <c r="G249" s="2"/>
      <c r="H249" s="6">
        <v>134.82</v>
      </c>
      <c r="I249" s="2"/>
      <c r="J249" s="7">
        <f t="shared" si="101"/>
        <v>2.2071130890400864E-4</v>
      </c>
      <c r="K249" s="2"/>
      <c r="L249" s="6">
        <f t="shared" si="102"/>
        <v>-134.82</v>
      </c>
      <c r="M249" s="2"/>
      <c r="N249" s="7">
        <f t="shared" si="103"/>
        <v>-1</v>
      </c>
      <c r="O249" s="11"/>
      <c r="P249" s="6">
        <v>585.29999999999995</v>
      </c>
      <c r="Q249" s="2"/>
      <c r="R249" s="7">
        <f t="shared" si="104"/>
        <v>1.5987933761889351E-4</v>
      </c>
      <c r="S249" s="2"/>
      <c r="T249" s="6">
        <v>674.1</v>
      </c>
      <c r="U249" s="2"/>
      <c r="V249" s="7">
        <f t="shared" si="105"/>
        <v>1.0260173932002731E-4</v>
      </c>
      <c r="W249" s="2"/>
      <c r="X249" s="6">
        <f t="shared" si="106"/>
        <v>-88.800000000000068</v>
      </c>
      <c r="Y249" s="2"/>
      <c r="Z249" s="7">
        <f t="shared" si="107"/>
        <v>-0.13173119715175799</v>
      </c>
    </row>
    <row r="250" spans="1:26" s="24" customFormat="1" hidden="1" outlineLevel="2" x14ac:dyDescent="0.25">
      <c r="A250" s="25"/>
      <c r="B250" s="11" t="str">
        <f>CONCATENATE("          ", "6285", " - ", "JANITORIAL SERVICES")</f>
        <v xml:space="preserve">          6285 - JANITORIAL SERVICES</v>
      </c>
      <c r="C250" s="11"/>
      <c r="D250" s="6">
        <v>3590.72</v>
      </c>
      <c r="E250" s="2"/>
      <c r="F250" s="7">
        <f t="shared" si="100"/>
        <v>2.1028610569249817E-2</v>
      </c>
      <c r="G250" s="2"/>
      <c r="H250" s="6">
        <v>3990.24</v>
      </c>
      <c r="I250" s="2"/>
      <c r="J250" s="7">
        <f t="shared" si="101"/>
        <v>6.5323475244112991E-3</v>
      </c>
      <c r="K250" s="2"/>
      <c r="L250" s="6">
        <f t="shared" si="102"/>
        <v>-399.52</v>
      </c>
      <c r="M250" s="2"/>
      <c r="N250" s="7">
        <f t="shared" si="103"/>
        <v>-0.10012430330005213</v>
      </c>
      <c r="O250" s="11"/>
      <c r="P250" s="6">
        <v>10592.99</v>
      </c>
      <c r="Q250" s="2"/>
      <c r="R250" s="7">
        <f t="shared" si="104"/>
        <v>2.893559242445862E-3</v>
      </c>
      <c r="S250" s="2"/>
      <c r="T250" s="6">
        <v>20317.89</v>
      </c>
      <c r="U250" s="2"/>
      <c r="V250" s="7">
        <f t="shared" si="105"/>
        <v>3.0924949611526326E-3</v>
      </c>
      <c r="W250" s="2"/>
      <c r="X250" s="6">
        <f t="shared" si="106"/>
        <v>-9724.9</v>
      </c>
      <c r="Y250" s="2"/>
      <c r="Z250" s="7">
        <f t="shared" si="107"/>
        <v>-0.47863729944398753</v>
      </c>
    </row>
    <row r="251" spans="1:26" s="26" customFormat="1" outlineLevel="1" collapsed="1" x14ac:dyDescent="0.25">
      <c r="A251" s="27"/>
      <c r="B251" s="13" t="str">
        <f>CONCATENATE("     ","Subscriptions &amp; Dues                              ")</f>
        <v xml:space="preserve">     Subscriptions &amp; Dues                              </v>
      </c>
      <c r="C251" s="13"/>
      <c r="D251" s="1">
        <f>SUM(OSRRefD22_19x_0)</f>
        <v>-274.08</v>
      </c>
      <c r="E251" s="1"/>
      <c r="F251" s="5">
        <f t="shared" ref="F251:F253" si="108">IF(D$12=0,0,D251/D$12)</f>
        <v>-1.6051158499743757E-3</v>
      </c>
      <c r="G251" s="1"/>
      <c r="H251" s="1">
        <f>SUM(OSRRefH22_19x_0)</f>
        <v>175.36</v>
      </c>
      <c r="I251" s="1"/>
      <c r="J251" s="5">
        <f t="shared" ref="J251:J253" si="109">IF(H$12=0,0,H251/H$12)</f>
        <v>2.8707858722301557E-4</v>
      </c>
      <c r="K251" s="1"/>
      <c r="L251" s="1">
        <f t="shared" ref="L251:L253" si="110">+D251-H251</f>
        <v>-449.44</v>
      </c>
      <c r="M251" s="1"/>
      <c r="N251" s="5">
        <f t="shared" ref="N251:N253" si="111">IF(H251=0,0,L251/H251)</f>
        <v>-2.562956204379562</v>
      </c>
      <c r="O251" s="13"/>
      <c r="P251" s="1">
        <f>SUM(OSRRefP22_19x_0)</f>
        <v>1375.01</v>
      </c>
      <c r="Q251" s="1"/>
      <c r="R251" s="5">
        <f t="shared" ref="R251:R253" si="112">IF(P$12=0,0,P251/P$12)</f>
        <v>3.755948881246451E-4</v>
      </c>
      <c r="S251" s="1"/>
      <c r="T251" s="1">
        <f>SUM(OSRRefT22_19x_0)</f>
        <v>-2782.24</v>
      </c>
      <c r="U251" s="1"/>
      <c r="V251" s="5">
        <f t="shared" ref="V251:V253" si="113">IF(T$12=0,0,T251/T$12)</f>
        <v>-4.2347227889890629E-4</v>
      </c>
      <c r="W251" s="1"/>
      <c r="X251" s="1">
        <f t="shared" ref="X251:X253" si="114">+P251-T251</f>
        <v>4157.25</v>
      </c>
      <c r="Y251" s="1"/>
      <c r="Z251" s="5">
        <f t="shared" ref="Z251:Z253" si="115">IF(T251=0,0,X251/T251)</f>
        <v>-1.4942097015354536</v>
      </c>
    </row>
    <row r="252" spans="1:26" s="24" customFormat="1" hidden="1" outlineLevel="2" x14ac:dyDescent="0.25">
      <c r="A252" s="25"/>
      <c r="B252" s="11" t="str">
        <f>CONCATENATE("          ", "6258", " - ", "MEMBERSHIP DUES")</f>
        <v xml:space="preserve">          6258 - MEMBERSHIP DUES</v>
      </c>
      <c r="C252" s="11"/>
      <c r="D252" s="6">
        <v>-274.08</v>
      </c>
      <c r="E252" s="2"/>
      <c r="F252" s="7">
        <f t="shared" si="108"/>
        <v>-1.6051158499743757E-3</v>
      </c>
      <c r="G252" s="2"/>
      <c r="H252" s="6">
        <v>250</v>
      </c>
      <c r="I252" s="2"/>
      <c r="J252" s="7">
        <f t="shared" si="109"/>
        <v>4.0927033990507462E-4</v>
      </c>
      <c r="K252" s="2"/>
      <c r="L252" s="6">
        <f t="shared" si="110"/>
        <v>-524.07999999999993</v>
      </c>
      <c r="M252" s="2"/>
      <c r="N252" s="7">
        <f t="shared" si="111"/>
        <v>-2.0963199999999995</v>
      </c>
      <c r="O252" s="11"/>
      <c r="P252" s="6">
        <v>1149.28</v>
      </c>
      <c r="Q252" s="2"/>
      <c r="R252" s="7">
        <f t="shared" si="112"/>
        <v>3.1393494812684427E-4</v>
      </c>
      <c r="S252" s="2"/>
      <c r="T252" s="6">
        <v>-3572.6</v>
      </c>
      <c r="U252" s="2"/>
      <c r="V252" s="7">
        <f t="shared" si="113"/>
        <v>-5.4376943167887487E-4</v>
      </c>
      <c r="W252" s="2"/>
      <c r="X252" s="6">
        <f t="shared" si="114"/>
        <v>4721.88</v>
      </c>
      <c r="Y252" s="2"/>
      <c r="Z252" s="7">
        <f t="shared" si="115"/>
        <v>-1.3216928847338074</v>
      </c>
    </row>
    <row r="253" spans="1:26" s="24" customFormat="1" hidden="1" outlineLevel="2" x14ac:dyDescent="0.25">
      <c r="A253" s="25"/>
      <c r="B253" s="11" t="str">
        <f>CONCATENATE("          ", "6275", " - ", "SUBSCRIPTIONS")</f>
        <v xml:space="preserve">          6275 - SUBSCRIPTIONS</v>
      </c>
      <c r="C253" s="11"/>
      <c r="D253" s="6"/>
      <c r="E253" s="2"/>
      <c r="F253" s="7">
        <f t="shared" si="108"/>
        <v>0</v>
      </c>
      <c r="G253" s="2"/>
      <c r="H253" s="6">
        <v>-74.64</v>
      </c>
      <c r="I253" s="2"/>
      <c r="J253" s="7">
        <f t="shared" si="109"/>
        <v>-1.2219175268205908E-4</v>
      </c>
      <c r="K253" s="2"/>
      <c r="L253" s="6">
        <f t="shared" si="110"/>
        <v>74.64</v>
      </c>
      <c r="M253" s="2"/>
      <c r="N253" s="7">
        <f t="shared" si="111"/>
        <v>-1</v>
      </c>
      <c r="O253" s="11"/>
      <c r="P253" s="6">
        <v>225.73</v>
      </c>
      <c r="Q253" s="2"/>
      <c r="R253" s="7">
        <f t="shared" si="112"/>
        <v>6.1659939997800843E-5</v>
      </c>
      <c r="S253" s="2"/>
      <c r="T253" s="6">
        <v>790.36</v>
      </c>
      <c r="U253" s="2"/>
      <c r="V253" s="7">
        <f t="shared" si="113"/>
        <v>1.2029715277996853E-4</v>
      </c>
      <c r="W253" s="2"/>
      <c r="X253" s="6">
        <f t="shared" si="114"/>
        <v>-564.63</v>
      </c>
      <c r="Y253" s="2"/>
      <c r="Z253" s="7">
        <f t="shared" si="115"/>
        <v>-0.71439597145604528</v>
      </c>
    </row>
    <row r="254" spans="1:26" s="26" customFormat="1" outlineLevel="1" collapsed="1" x14ac:dyDescent="0.25">
      <c r="A254" s="27"/>
      <c r="B254" s="13" t="str">
        <f>CONCATENATE("     ","Supplies                                          ")</f>
        <v xml:space="preserve">     Supplies                                          </v>
      </c>
      <c r="C254" s="13"/>
      <c r="D254" s="1">
        <f>SUM(OSRRefD22_20x_0)</f>
        <v>14973.19</v>
      </c>
      <c r="E254" s="1"/>
      <c r="F254" s="5">
        <f t="shared" ref="F254:F261" si="116">IF(D$12=0,0,D254/D$12)</f>
        <v>8.7688647816979798E-2</v>
      </c>
      <c r="G254" s="1"/>
      <c r="H254" s="1">
        <f>SUM(OSRRefH22_20x_0)</f>
        <v>5254.77</v>
      </c>
      <c r="I254" s="1"/>
      <c r="J254" s="5">
        <f t="shared" ref="J254:J261" si="117">IF(H$12=0,0,H254/H$12)</f>
        <v>8.6024860160919571E-3</v>
      </c>
      <c r="K254" s="1"/>
      <c r="L254" s="1">
        <f t="shared" ref="L254:L261" si="118">+D254-H254</f>
        <v>9718.42</v>
      </c>
      <c r="M254" s="1"/>
      <c r="N254" s="5">
        <f t="shared" ref="N254:N261" si="119">IF(H254=0,0,L254/H254)</f>
        <v>1.8494472641048036</v>
      </c>
      <c r="O254" s="13"/>
      <c r="P254" s="1">
        <f>SUM(OSRRefP22_20x_0)</f>
        <v>73096.63</v>
      </c>
      <c r="Q254" s="1"/>
      <c r="R254" s="5">
        <f t="shared" ref="R254:R261" si="120">IF(P$12=0,0,P254/P$12)</f>
        <v>1.9966924289378681E-2</v>
      </c>
      <c r="S254" s="1"/>
      <c r="T254" s="1">
        <f>SUM(OSRRefT22_20x_0)</f>
        <v>45885.55</v>
      </c>
      <c r="U254" s="1"/>
      <c r="V254" s="5">
        <f t="shared" ref="V254:V261" si="121">IF(T$12=0,0,T254/T$12)</f>
        <v>6.9840338817031286E-3</v>
      </c>
      <c r="W254" s="1"/>
      <c r="X254" s="1">
        <f t="shared" ref="X254:X261" si="122">+P254-T254</f>
        <v>27211.08</v>
      </c>
      <c r="Y254" s="1"/>
      <c r="Z254" s="5">
        <f t="shared" ref="Z254:Z261" si="123">IF(T254=0,0,X254/T254)</f>
        <v>0.59302067862322672</v>
      </c>
    </row>
    <row r="255" spans="1:26" s="24" customFormat="1" hidden="1" outlineLevel="2" x14ac:dyDescent="0.25">
      <c r="A255" s="25"/>
      <c r="B255" s="11" t="str">
        <f>CONCATENATE("          ", "6234", " - ", "EXPENDABLE SUPPLIES &amp; EQUIPMEN")</f>
        <v xml:space="preserve">          6234 - EXPENDABLE SUPPLIES &amp; EQUIPMEN</v>
      </c>
      <c r="C255" s="11"/>
      <c r="D255" s="6">
        <v>-550.67999999999995</v>
      </c>
      <c r="E255" s="2"/>
      <c r="F255" s="7">
        <f t="shared" si="116"/>
        <v>-3.224989770373209E-3</v>
      </c>
      <c r="G255" s="2"/>
      <c r="H255" s="6">
        <v>106.65</v>
      </c>
      <c r="I255" s="2"/>
      <c r="J255" s="7">
        <f t="shared" si="117"/>
        <v>1.7459472700350484E-4</v>
      </c>
      <c r="K255" s="2"/>
      <c r="L255" s="6">
        <f t="shared" si="118"/>
        <v>-657.32999999999993</v>
      </c>
      <c r="M255" s="2"/>
      <c r="N255" s="7">
        <f t="shared" si="119"/>
        <v>-6.163431786216595</v>
      </c>
      <c r="O255" s="11"/>
      <c r="P255" s="6">
        <v>-449.34</v>
      </c>
      <c r="Q255" s="2"/>
      <c r="R255" s="7">
        <f t="shared" si="120"/>
        <v>-1.2274078517969181E-4</v>
      </c>
      <c r="S255" s="2"/>
      <c r="T255" s="6">
        <v>1822.75</v>
      </c>
      <c r="U255" s="2"/>
      <c r="V255" s="7">
        <f t="shared" si="121"/>
        <v>2.7743260695086748E-4</v>
      </c>
      <c r="W255" s="2"/>
      <c r="X255" s="6">
        <f t="shared" si="122"/>
        <v>-2272.09</v>
      </c>
      <c r="Y255" s="2"/>
      <c r="Z255" s="7">
        <f t="shared" si="123"/>
        <v>-1.246517624468523</v>
      </c>
    </row>
    <row r="256" spans="1:26" s="24" customFormat="1" hidden="1" outlineLevel="2" x14ac:dyDescent="0.25">
      <c r="A256" s="25"/>
      <c r="B256" s="11" t="str">
        <f>CONCATENATE("          ", "6235", " - ", "COVID-19 EXPENSES")</f>
        <v xml:space="preserve">          6235 - COVID-19 EXPENSES</v>
      </c>
      <c r="C256" s="11"/>
      <c r="D256" s="6">
        <v>2556.84</v>
      </c>
      <c r="E256" s="2"/>
      <c r="F256" s="7">
        <f t="shared" si="116"/>
        <v>1.497381935875833E-2</v>
      </c>
      <c r="G256" s="2"/>
      <c r="H256" s="6"/>
      <c r="I256" s="2"/>
      <c r="J256" s="7">
        <f t="shared" si="117"/>
        <v>0</v>
      </c>
      <c r="K256" s="2"/>
      <c r="L256" s="6">
        <f t="shared" si="118"/>
        <v>2556.84</v>
      </c>
      <c r="M256" s="2"/>
      <c r="N256" s="7">
        <f t="shared" si="119"/>
        <v>0</v>
      </c>
      <c r="O256" s="11"/>
      <c r="P256" s="6">
        <v>29124.75</v>
      </c>
      <c r="Q256" s="2"/>
      <c r="R256" s="7">
        <f t="shared" si="120"/>
        <v>7.9556564809770535E-3</v>
      </c>
      <c r="S256" s="2"/>
      <c r="T256" s="6"/>
      <c r="U256" s="2"/>
      <c r="V256" s="7">
        <f t="shared" si="121"/>
        <v>0</v>
      </c>
      <c r="W256" s="2"/>
      <c r="X256" s="6">
        <f t="shared" si="122"/>
        <v>29124.75</v>
      </c>
      <c r="Y256" s="2"/>
      <c r="Z256" s="7">
        <f t="shared" si="123"/>
        <v>0</v>
      </c>
    </row>
    <row r="257" spans="1:26" s="24" customFormat="1" hidden="1" outlineLevel="2" x14ac:dyDescent="0.25">
      <c r="A257" s="25"/>
      <c r="B257" s="11" t="str">
        <f>CONCATENATE("          ", "6237", " - ", "JANITORIAL SUPPLIES")</f>
        <v xml:space="preserve">          6237 - JANITORIAL SUPPLIES</v>
      </c>
      <c r="C257" s="11"/>
      <c r="D257" s="6">
        <v>246.99</v>
      </c>
      <c r="E257" s="2"/>
      <c r="F257" s="7">
        <f t="shared" si="116"/>
        <v>1.4464665929114532E-3</v>
      </c>
      <c r="G257" s="2"/>
      <c r="H257" s="6">
        <v>691.53</v>
      </c>
      <c r="I257" s="2"/>
      <c r="J257" s="7">
        <f t="shared" si="117"/>
        <v>1.132090872618225E-3</v>
      </c>
      <c r="K257" s="2"/>
      <c r="L257" s="6">
        <f t="shared" si="118"/>
        <v>-444.53999999999996</v>
      </c>
      <c r="M257" s="2"/>
      <c r="N257" s="7">
        <f t="shared" si="119"/>
        <v>-0.64283545182421586</v>
      </c>
      <c r="O257" s="11"/>
      <c r="P257" s="6">
        <v>1495.35</v>
      </c>
      <c r="Q257" s="2"/>
      <c r="R257" s="7">
        <f t="shared" si="120"/>
        <v>4.084667136654919E-4</v>
      </c>
      <c r="S257" s="2"/>
      <c r="T257" s="6">
        <v>2857.75</v>
      </c>
      <c r="U257" s="2"/>
      <c r="V257" s="7">
        <f t="shared" si="121"/>
        <v>4.3496531752233795E-4</v>
      </c>
      <c r="W257" s="2"/>
      <c r="X257" s="6">
        <f t="shared" si="122"/>
        <v>-1362.4</v>
      </c>
      <c r="Y257" s="2"/>
      <c r="Z257" s="7">
        <f t="shared" si="123"/>
        <v>-0.47673869302773164</v>
      </c>
    </row>
    <row r="258" spans="1:26" s="24" customFormat="1" hidden="1" outlineLevel="2" x14ac:dyDescent="0.25">
      <c r="A258" s="25"/>
      <c r="B258" s="11" t="str">
        <f>CONCATENATE("          ", "6241", " - ", "OFFICE EXPENSE")</f>
        <v xml:space="preserve">          6241 - OFFICE EXPENSE</v>
      </c>
      <c r="C258" s="11"/>
      <c r="D258" s="6">
        <v>845.39</v>
      </c>
      <c r="E258" s="2"/>
      <c r="F258" s="7">
        <f t="shared" si="116"/>
        <v>4.9509226810049529E-3</v>
      </c>
      <c r="G258" s="2"/>
      <c r="H258" s="6">
        <v>2341.3000000000002</v>
      </c>
      <c r="I258" s="2"/>
      <c r="J258" s="7">
        <f t="shared" si="117"/>
        <v>3.8328985872790049E-3</v>
      </c>
      <c r="K258" s="2"/>
      <c r="L258" s="6">
        <f t="shared" si="118"/>
        <v>-1495.9100000000003</v>
      </c>
      <c r="M258" s="2"/>
      <c r="N258" s="7">
        <f t="shared" si="119"/>
        <v>-0.63892282065519168</v>
      </c>
      <c r="O258" s="11"/>
      <c r="P258" s="6">
        <v>9511.4500000000007</v>
      </c>
      <c r="Q258" s="2"/>
      <c r="R258" s="7">
        <f t="shared" si="120"/>
        <v>2.5981280126349308E-3</v>
      </c>
      <c r="S258" s="2"/>
      <c r="T258" s="6">
        <v>15256.12</v>
      </c>
      <c r="U258" s="2"/>
      <c r="V258" s="7">
        <f t="shared" si="121"/>
        <v>2.3220656390373164E-3</v>
      </c>
      <c r="W258" s="2"/>
      <c r="X258" s="6">
        <f t="shared" si="122"/>
        <v>-5744.67</v>
      </c>
      <c r="Y258" s="2"/>
      <c r="Z258" s="7">
        <f t="shared" si="123"/>
        <v>-0.37654855887342259</v>
      </c>
    </row>
    <row r="259" spans="1:26" s="24" customFormat="1" hidden="1" outlineLevel="2" x14ac:dyDescent="0.25">
      <c r="A259" s="25"/>
      <c r="B259" s="11" t="str">
        <f>CONCATENATE("          ", "6243", " - ", "PAPER SUPPLIES")</f>
        <v xml:space="preserve">          6243 - PAPER SUPPLIES</v>
      </c>
      <c r="C259" s="11"/>
      <c r="D259" s="6">
        <v>1108.5999999999999</v>
      </c>
      <c r="E259" s="2"/>
      <c r="F259" s="7">
        <f t="shared" si="116"/>
        <v>6.4923797113309719E-3</v>
      </c>
      <c r="G259" s="2"/>
      <c r="H259" s="6">
        <v>1423.15</v>
      </c>
      <c r="I259" s="2"/>
      <c r="J259" s="7">
        <f t="shared" si="117"/>
        <v>2.3298123369436281E-3</v>
      </c>
      <c r="K259" s="2"/>
      <c r="L259" s="6">
        <f t="shared" si="118"/>
        <v>-314.55000000000018</v>
      </c>
      <c r="M259" s="2"/>
      <c r="N259" s="7">
        <f t="shared" si="119"/>
        <v>-0.2210237852650811</v>
      </c>
      <c r="O259" s="11"/>
      <c r="P259" s="6">
        <v>4682.3</v>
      </c>
      <c r="Q259" s="2"/>
      <c r="R259" s="7">
        <f t="shared" si="120"/>
        <v>1.279007385157945E-3</v>
      </c>
      <c r="S259" s="2"/>
      <c r="T259" s="6">
        <v>6329.48</v>
      </c>
      <c r="U259" s="2"/>
      <c r="V259" s="7">
        <f t="shared" si="121"/>
        <v>9.6338177865498643E-4</v>
      </c>
      <c r="W259" s="2"/>
      <c r="X259" s="6">
        <f t="shared" si="122"/>
        <v>-1647.1799999999994</v>
      </c>
      <c r="Y259" s="2"/>
      <c r="Z259" s="7">
        <f t="shared" si="123"/>
        <v>-0.26023938775381222</v>
      </c>
    </row>
    <row r="260" spans="1:26" s="24" customFormat="1" hidden="1" outlineLevel="2" x14ac:dyDescent="0.25">
      <c r="A260" s="25"/>
      <c r="B260" s="11" t="str">
        <f>CONCATENATE("          ", "6245", " - ", "PRINTING")</f>
        <v xml:space="preserve">          6245 - PRINTING</v>
      </c>
      <c r="C260" s="11"/>
      <c r="D260" s="6">
        <v>93.72</v>
      </c>
      <c r="E260" s="2"/>
      <c r="F260" s="7">
        <f t="shared" si="116"/>
        <v>5.4885966673817309E-4</v>
      </c>
      <c r="G260" s="2"/>
      <c r="H260" s="6">
        <v>-402.2</v>
      </c>
      <c r="I260" s="2"/>
      <c r="J260" s="7">
        <f t="shared" si="117"/>
        <v>-6.5843412283928405E-4</v>
      </c>
      <c r="K260" s="2"/>
      <c r="L260" s="6">
        <f t="shared" si="118"/>
        <v>495.91999999999996</v>
      </c>
      <c r="M260" s="2"/>
      <c r="N260" s="7">
        <f t="shared" si="119"/>
        <v>-1.2330183988065639</v>
      </c>
      <c r="O260" s="11"/>
      <c r="P260" s="6">
        <v>508.27</v>
      </c>
      <c r="Q260" s="2"/>
      <c r="R260" s="7">
        <f t="shared" si="120"/>
        <v>1.3883798211439434E-4</v>
      </c>
      <c r="S260" s="2"/>
      <c r="T260" s="6">
        <v>4845.05</v>
      </c>
      <c r="U260" s="2"/>
      <c r="V260" s="7">
        <f t="shared" si="121"/>
        <v>7.3744334237130736E-4</v>
      </c>
      <c r="W260" s="2"/>
      <c r="X260" s="6">
        <f t="shared" si="122"/>
        <v>-4336.7800000000007</v>
      </c>
      <c r="Y260" s="2"/>
      <c r="Z260" s="7">
        <f t="shared" si="123"/>
        <v>-0.89509499385971258</v>
      </c>
    </row>
    <row r="261" spans="1:26" s="24" customFormat="1" hidden="1" outlineLevel="2" x14ac:dyDescent="0.25">
      <c r="A261" s="25"/>
      <c r="B261" s="11" t="str">
        <f>CONCATENATE("          ", "6247", " - ", "STORE SUPPLIES")</f>
        <v xml:space="preserve">          6247 - STORE SUPPLIES</v>
      </c>
      <c r="C261" s="11"/>
      <c r="D261" s="6">
        <v>10672.33</v>
      </c>
      <c r="E261" s="2"/>
      <c r="F261" s="7">
        <f t="shared" si="116"/>
        <v>6.250118957660912E-2</v>
      </c>
      <c r="G261" s="2"/>
      <c r="H261" s="6">
        <v>1094.3399999999999</v>
      </c>
      <c r="I261" s="2"/>
      <c r="J261" s="7">
        <f t="shared" si="117"/>
        <v>1.7915236150868772E-3</v>
      </c>
      <c r="K261" s="2"/>
      <c r="L261" s="6">
        <f t="shared" si="118"/>
        <v>9577.99</v>
      </c>
      <c r="M261" s="2"/>
      <c r="N261" s="7">
        <f t="shared" si="119"/>
        <v>8.7522981888626941</v>
      </c>
      <c r="O261" s="11"/>
      <c r="P261" s="6">
        <v>28223.85</v>
      </c>
      <c r="Q261" s="2"/>
      <c r="R261" s="7">
        <f t="shared" si="120"/>
        <v>7.7095685000085562E-3</v>
      </c>
      <c r="S261" s="2"/>
      <c r="T261" s="6">
        <v>14774.4</v>
      </c>
      <c r="U261" s="2"/>
      <c r="V261" s="7">
        <f t="shared" si="121"/>
        <v>2.2487451971663127E-3</v>
      </c>
      <c r="W261" s="2"/>
      <c r="X261" s="6">
        <f t="shared" si="122"/>
        <v>13449.449999999999</v>
      </c>
      <c r="Y261" s="2"/>
      <c r="Z261" s="7">
        <f t="shared" si="123"/>
        <v>0.9103212313190383</v>
      </c>
    </row>
    <row r="262" spans="1:26" s="26" customFormat="1" outlineLevel="1" collapsed="1" x14ac:dyDescent="0.25">
      <c r="A262" s="27"/>
      <c r="B262" s="13" t="str">
        <f>CONCATENATE("     ","Telephone/Data Lines                              ")</f>
        <v xml:space="preserve">     Telephone/Data Lines                              </v>
      </c>
      <c r="C262" s="13"/>
      <c r="D262" s="1">
        <f>SUM(OSRRefD22_21x_0)</f>
        <v>2981.03</v>
      </c>
      <c r="E262" s="1"/>
      <c r="F262" s="5">
        <f t="shared" ref="F262:F264" si="124">IF(D$12=0,0,D262/D$12)</f>
        <v>1.7458035983103887E-2</v>
      </c>
      <c r="G262" s="1"/>
      <c r="H262" s="1">
        <f>SUM(OSRRefH22_21x_0)</f>
        <v>2625.75</v>
      </c>
      <c r="I262" s="1"/>
      <c r="J262" s="5">
        <f t="shared" ref="J262:J264" si="125">IF(H$12=0,0,H262/H$12)</f>
        <v>4.2985663800229985E-3</v>
      </c>
      <c r="K262" s="1"/>
      <c r="L262" s="1">
        <f t="shared" ref="L262:L264" si="126">+D262-H262</f>
        <v>355.2800000000002</v>
      </c>
      <c r="M262" s="1"/>
      <c r="N262" s="5">
        <f t="shared" ref="N262:N264" si="127">IF(H262=0,0,L262/H262)</f>
        <v>0.13530610301818535</v>
      </c>
      <c r="O262" s="13"/>
      <c r="P262" s="1">
        <f>SUM(OSRRefP22_21x_0)</f>
        <v>14627</v>
      </c>
      <c r="Q262" s="1"/>
      <c r="R262" s="5">
        <f t="shared" ref="R262:R264" si="128">IF(P$12=0,0,P262/P$12)</f>
        <v>3.995481071846157E-3</v>
      </c>
      <c r="S262" s="1"/>
      <c r="T262" s="1">
        <f>SUM(OSRRefT22_21x_0)</f>
        <v>14733.82</v>
      </c>
      <c r="U262" s="1"/>
      <c r="V262" s="5">
        <f t="shared" ref="V262:V264" si="129">IF(T$12=0,0,T262/T$12)</f>
        <v>2.2425686972677712E-3</v>
      </c>
      <c r="W262" s="1"/>
      <c r="X262" s="1">
        <f t="shared" ref="X262:X264" si="130">+P262-T262</f>
        <v>-106.81999999999971</v>
      </c>
      <c r="Y262" s="1"/>
      <c r="Z262" s="5">
        <f t="shared" ref="Z262:Z264" si="131">IF(T262=0,0,X262/T262)</f>
        <v>-7.2499867651430322E-3</v>
      </c>
    </row>
    <row r="263" spans="1:26" s="24" customFormat="1" hidden="1" outlineLevel="2" x14ac:dyDescent="0.25">
      <c r="A263" s="25"/>
      <c r="B263" s="11" t="str">
        <f>CONCATENATE("          ", "6303", " - ", "DATA PHONE LINES")</f>
        <v xml:space="preserve">          6303 - DATA PHONE LINES</v>
      </c>
      <c r="C263" s="11"/>
      <c r="D263" s="6">
        <v>885</v>
      </c>
      <c r="E263" s="2"/>
      <c r="F263" s="7">
        <f t="shared" si="124"/>
        <v>5.18289378001796E-3</v>
      </c>
      <c r="G263" s="2"/>
      <c r="H263" s="6">
        <v>295</v>
      </c>
      <c r="I263" s="2"/>
      <c r="J263" s="7">
        <f t="shared" si="125"/>
        <v>4.8293900108798804E-4</v>
      </c>
      <c r="K263" s="2"/>
      <c r="L263" s="6">
        <f t="shared" si="126"/>
        <v>590</v>
      </c>
      <c r="M263" s="2"/>
      <c r="N263" s="7">
        <f t="shared" si="127"/>
        <v>2</v>
      </c>
      <c r="O263" s="11"/>
      <c r="P263" s="6">
        <v>2065</v>
      </c>
      <c r="Q263" s="2"/>
      <c r="R263" s="7">
        <f t="shared" si="128"/>
        <v>5.640711296480696E-4</v>
      </c>
      <c r="S263" s="2"/>
      <c r="T263" s="6">
        <v>1475</v>
      </c>
      <c r="U263" s="2"/>
      <c r="V263" s="7">
        <f t="shared" si="129"/>
        <v>2.2450313825402799E-4</v>
      </c>
      <c r="W263" s="2"/>
      <c r="X263" s="6">
        <f t="shared" si="130"/>
        <v>590</v>
      </c>
      <c r="Y263" s="2"/>
      <c r="Z263" s="7">
        <f t="shared" si="131"/>
        <v>0.4</v>
      </c>
    </row>
    <row r="264" spans="1:26" s="24" customFormat="1" hidden="1" outlineLevel="2" x14ac:dyDescent="0.25">
      <c r="A264" s="25"/>
      <c r="B264" s="11" t="str">
        <f>CONCATENATE("          ", "6309", " - ", "TELEPHONE")</f>
        <v xml:space="preserve">          6309 - TELEPHONE</v>
      </c>
      <c r="C264" s="11"/>
      <c r="D264" s="6">
        <v>2096.0300000000002</v>
      </c>
      <c r="E264" s="2"/>
      <c r="F264" s="7">
        <f t="shared" si="124"/>
        <v>1.2275142203085928E-2</v>
      </c>
      <c r="G264" s="2"/>
      <c r="H264" s="6">
        <v>2330.75</v>
      </c>
      <c r="I264" s="2"/>
      <c r="J264" s="7">
        <f t="shared" si="125"/>
        <v>3.8156273789350104E-3</v>
      </c>
      <c r="K264" s="2"/>
      <c r="L264" s="6">
        <f t="shared" si="126"/>
        <v>-234.7199999999998</v>
      </c>
      <c r="M264" s="2"/>
      <c r="N264" s="7">
        <f t="shared" si="127"/>
        <v>-0.10070578140083655</v>
      </c>
      <c r="O264" s="11"/>
      <c r="P264" s="6">
        <v>12562</v>
      </c>
      <c r="Q264" s="2"/>
      <c r="R264" s="7">
        <f t="shared" si="128"/>
        <v>3.4314099421980872E-3</v>
      </c>
      <c r="S264" s="2"/>
      <c r="T264" s="6">
        <v>13258.82</v>
      </c>
      <c r="U264" s="2"/>
      <c r="V264" s="7">
        <f t="shared" si="129"/>
        <v>2.0180655590137432E-3</v>
      </c>
      <c r="W264" s="2"/>
      <c r="X264" s="6">
        <f t="shared" si="130"/>
        <v>-696.81999999999971</v>
      </c>
      <c r="Y264" s="2"/>
      <c r="Z264" s="7">
        <f t="shared" si="131"/>
        <v>-5.2555204761811365E-2</v>
      </c>
    </row>
    <row r="265" spans="1:26" s="26" customFormat="1" outlineLevel="1" collapsed="1" x14ac:dyDescent="0.25">
      <c r="A265" s="27"/>
      <c r="B265" s="13" t="str">
        <f>CONCATENATE("     ","Training                                          ")</f>
        <v xml:space="preserve">     Training                                          </v>
      </c>
      <c r="C265" s="13"/>
      <c r="D265" s="1">
        <f>SUM(OSRRefD22_22x_0)</f>
        <v>0</v>
      </c>
      <c r="E265" s="1"/>
      <c r="F265" s="5">
        <f t="shared" ref="F265:F270" si="132">IF(D$12=0,0,D265/D$12)</f>
        <v>0</v>
      </c>
      <c r="G265" s="1"/>
      <c r="H265" s="1">
        <f>SUM(OSRRefH22_22x_0)</f>
        <v>3266.68</v>
      </c>
      <c r="I265" s="1"/>
      <c r="J265" s="5">
        <f t="shared" ref="J265:J270" si="133">IF(H$12=0,0,H265/H$12)</f>
        <v>5.3478209358444363E-3</v>
      </c>
      <c r="K265" s="1"/>
      <c r="L265" s="1">
        <f t="shared" ref="L265:L270" si="134">+D265-H265</f>
        <v>-3266.68</v>
      </c>
      <c r="M265" s="1"/>
      <c r="N265" s="5">
        <f t="shared" ref="N265:N270" si="135">IF(H265=0,0,L265/H265)</f>
        <v>-1</v>
      </c>
      <c r="O265" s="13"/>
      <c r="P265" s="1">
        <f>SUM(OSRRefP22_22x_0)</f>
        <v>245.63</v>
      </c>
      <c r="Q265" s="1"/>
      <c r="R265" s="5">
        <f t="shared" ref="R265:R270" si="136">IF(P$12=0,0,P265/P$12)</f>
        <v>6.709578284525682E-5</v>
      </c>
      <c r="S265" s="1"/>
      <c r="T265" s="1">
        <f>SUM(OSRRefT22_22x_0)</f>
        <v>8727.44</v>
      </c>
      <c r="U265" s="1"/>
      <c r="V265" s="5">
        <f t="shared" ref="V265:V270" si="137">IF(T$12=0,0,T265/T$12)</f>
        <v>1.3283645213042266E-3</v>
      </c>
      <c r="W265" s="1"/>
      <c r="X265" s="1">
        <f t="shared" ref="X265:X270" si="138">+P265-T265</f>
        <v>-8481.8100000000013</v>
      </c>
      <c r="Y265" s="1"/>
      <c r="Z265" s="5">
        <f t="shared" ref="Z265:Z270" si="139">IF(T265=0,0,X265/T265)</f>
        <v>-0.97185543527082408</v>
      </c>
    </row>
    <row r="266" spans="1:26" s="24" customFormat="1" hidden="1" outlineLevel="2" x14ac:dyDescent="0.25">
      <c r="A266" s="25"/>
      <c r="B266" s="11" t="str">
        <f>CONCATENATE("          ", "6376", " - ", "TRAINING")</f>
        <v xml:space="preserve">          6376 - TRAINING</v>
      </c>
      <c r="C266" s="11"/>
      <c r="D266" s="6"/>
      <c r="E266" s="2"/>
      <c r="F266" s="7">
        <f t="shared" si="132"/>
        <v>0</v>
      </c>
      <c r="G266" s="2"/>
      <c r="H266" s="6">
        <v>3266.68</v>
      </c>
      <c r="I266" s="2"/>
      <c r="J266" s="7">
        <f t="shared" si="133"/>
        <v>5.3478209358444363E-3</v>
      </c>
      <c r="K266" s="2"/>
      <c r="L266" s="6">
        <f t="shared" si="134"/>
        <v>-3266.68</v>
      </c>
      <c r="M266" s="2"/>
      <c r="N266" s="7">
        <f t="shared" si="135"/>
        <v>-1</v>
      </c>
      <c r="O266" s="11"/>
      <c r="P266" s="6">
        <v>245.63</v>
      </c>
      <c r="Q266" s="2"/>
      <c r="R266" s="7">
        <f t="shared" si="136"/>
        <v>6.709578284525682E-5</v>
      </c>
      <c r="S266" s="2"/>
      <c r="T266" s="6">
        <v>8727.44</v>
      </c>
      <c r="U266" s="2"/>
      <c r="V266" s="7">
        <f t="shared" si="137"/>
        <v>1.3283645213042266E-3</v>
      </c>
      <c r="W266" s="2"/>
      <c r="X266" s="6">
        <f t="shared" si="138"/>
        <v>-8481.8100000000013</v>
      </c>
      <c r="Y266" s="2"/>
      <c r="Z266" s="7">
        <f t="shared" si="139"/>
        <v>-0.97185543527082408</v>
      </c>
    </row>
    <row r="267" spans="1:26" s="26" customFormat="1" outlineLevel="1" collapsed="1" x14ac:dyDescent="0.25">
      <c r="A267" s="27"/>
      <c r="B267" s="13" t="str">
        <f>CONCATENATE("     ","Travel                                            ")</f>
        <v xml:space="preserve">     Travel                                            </v>
      </c>
      <c r="C267" s="13"/>
      <c r="D267" s="1">
        <f>SUM(OSRRefD22_23x_0)</f>
        <v>299</v>
      </c>
      <c r="E267" s="1"/>
      <c r="F267" s="5">
        <f t="shared" si="132"/>
        <v>1.7510567686162375E-3</v>
      </c>
      <c r="G267" s="1"/>
      <c r="H267" s="1">
        <f>SUM(OSRRefH22_23x_0)</f>
        <v>176.57999999999998</v>
      </c>
      <c r="I267" s="1"/>
      <c r="J267" s="5">
        <f t="shared" si="133"/>
        <v>2.8907582648175225E-4</v>
      </c>
      <c r="K267" s="1"/>
      <c r="L267" s="1">
        <f t="shared" si="134"/>
        <v>122.42000000000002</v>
      </c>
      <c r="M267" s="1"/>
      <c r="N267" s="5">
        <f t="shared" si="135"/>
        <v>0.69328349756484331</v>
      </c>
      <c r="O267" s="13"/>
      <c r="P267" s="1">
        <f>SUM(OSRRefP22_23x_0)</f>
        <v>680.93</v>
      </c>
      <c r="Q267" s="1"/>
      <c r="R267" s="5">
        <f t="shared" si="136"/>
        <v>1.8600143065920582E-4</v>
      </c>
      <c r="S267" s="1"/>
      <c r="T267" s="1">
        <f>SUM(OSRRefT22_23x_0)</f>
        <v>1423.6899999999998</v>
      </c>
      <c r="U267" s="1"/>
      <c r="V267" s="5">
        <f t="shared" si="137"/>
        <v>2.1669347315313701E-4</v>
      </c>
      <c r="W267" s="1"/>
      <c r="X267" s="1">
        <f t="shared" si="138"/>
        <v>-742.75999999999988</v>
      </c>
      <c r="Y267" s="1"/>
      <c r="Z267" s="5">
        <f t="shared" si="139"/>
        <v>-0.5217146991269167</v>
      </c>
    </row>
    <row r="268" spans="1:26" s="24" customFormat="1" hidden="1" outlineLevel="2" x14ac:dyDescent="0.25">
      <c r="A268" s="25"/>
      <c r="B268" s="11" t="str">
        <f>CONCATENATE("          ", "6292", " - ", "TRAVEL/CONFERENCE")</f>
        <v xml:space="preserve">          6292 - TRAVEL/CONFERENCE</v>
      </c>
      <c r="C268" s="11"/>
      <c r="D268" s="6">
        <v>299</v>
      </c>
      <c r="E268" s="2"/>
      <c r="F268" s="7">
        <f t="shared" si="132"/>
        <v>1.7510567686162375E-3</v>
      </c>
      <c r="G268" s="2"/>
      <c r="H268" s="6">
        <v>-130.1</v>
      </c>
      <c r="I268" s="2"/>
      <c r="J268" s="7">
        <f t="shared" si="133"/>
        <v>-2.1298428488660082E-4</v>
      </c>
      <c r="K268" s="2"/>
      <c r="L268" s="6">
        <f t="shared" si="134"/>
        <v>429.1</v>
      </c>
      <c r="M268" s="2"/>
      <c r="N268" s="7">
        <f t="shared" si="135"/>
        <v>-3.2982321291314376</v>
      </c>
      <c r="O268" s="11"/>
      <c r="P268" s="6">
        <v>299.16000000000003</v>
      </c>
      <c r="Q268" s="2"/>
      <c r="R268" s="7">
        <f t="shared" si="136"/>
        <v>8.1717926946981361E-5</v>
      </c>
      <c r="S268" s="2"/>
      <c r="T268" s="6">
        <v>510.55</v>
      </c>
      <c r="U268" s="2"/>
      <c r="V268" s="7">
        <f t="shared" si="137"/>
        <v>7.7708526939385757E-5</v>
      </c>
      <c r="W268" s="2"/>
      <c r="X268" s="6">
        <f t="shared" si="138"/>
        <v>-211.39</v>
      </c>
      <c r="Y268" s="2"/>
      <c r="Z268" s="7">
        <f t="shared" si="139"/>
        <v>-0.41404367838605421</v>
      </c>
    </row>
    <row r="269" spans="1:26" s="24" customFormat="1" hidden="1" outlineLevel="2" x14ac:dyDescent="0.25">
      <c r="A269" s="25"/>
      <c r="B269" s="11" t="str">
        <f>CONCATENATE("          ", "6294", " - ", "TRAVEL OPERATIONAL")</f>
        <v xml:space="preserve">          6294 - TRAVEL OPERATIONAL</v>
      </c>
      <c r="C269" s="11"/>
      <c r="D269" s="6"/>
      <c r="E269" s="2"/>
      <c r="F269" s="7">
        <f t="shared" si="132"/>
        <v>0</v>
      </c>
      <c r="G269" s="2"/>
      <c r="H269" s="6">
        <v>257.33</v>
      </c>
      <c r="I269" s="2"/>
      <c r="J269" s="7">
        <f t="shared" si="133"/>
        <v>4.2127014627109139E-4</v>
      </c>
      <c r="K269" s="2"/>
      <c r="L269" s="6">
        <f t="shared" si="134"/>
        <v>-257.33</v>
      </c>
      <c r="M269" s="2"/>
      <c r="N269" s="7">
        <f t="shared" si="135"/>
        <v>-1</v>
      </c>
      <c r="O269" s="11"/>
      <c r="P269" s="6">
        <v>321.88</v>
      </c>
      <c r="Q269" s="2"/>
      <c r="R269" s="7">
        <f t="shared" si="136"/>
        <v>8.7924075162770289E-5</v>
      </c>
      <c r="S269" s="2"/>
      <c r="T269" s="6">
        <v>693.8</v>
      </c>
      <c r="U269" s="2"/>
      <c r="V269" s="7">
        <f t="shared" si="137"/>
        <v>1.0560018801399634E-4</v>
      </c>
      <c r="W269" s="2"/>
      <c r="X269" s="6">
        <f t="shared" si="138"/>
        <v>-371.91999999999996</v>
      </c>
      <c r="Y269" s="2"/>
      <c r="Z269" s="7">
        <f t="shared" si="139"/>
        <v>-0.53606226578264626</v>
      </c>
    </row>
    <row r="270" spans="1:26" s="24" customFormat="1" hidden="1" outlineLevel="2" x14ac:dyDescent="0.25">
      <c r="A270" s="25"/>
      <c r="B270" s="11" t="str">
        <f>CONCATENATE("          ", "6298", " - ", "VEHICLE MILEAGE")</f>
        <v xml:space="preserve">          6298 - VEHICLE MILEAGE</v>
      </c>
      <c r="C270" s="11"/>
      <c r="D270" s="6"/>
      <c r="E270" s="2"/>
      <c r="F270" s="7">
        <f t="shared" si="132"/>
        <v>0</v>
      </c>
      <c r="G270" s="2"/>
      <c r="H270" s="6">
        <v>49.35</v>
      </c>
      <c r="I270" s="2"/>
      <c r="J270" s="7">
        <f t="shared" si="133"/>
        <v>8.0789965097261725E-5</v>
      </c>
      <c r="K270" s="2"/>
      <c r="L270" s="6">
        <f t="shared" si="134"/>
        <v>-49.35</v>
      </c>
      <c r="M270" s="2"/>
      <c r="N270" s="7">
        <f t="shared" si="135"/>
        <v>-1</v>
      </c>
      <c r="O270" s="11"/>
      <c r="P270" s="6">
        <v>59.89</v>
      </c>
      <c r="Q270" s="2"/>
      <c r="R270" s="7">
        <f t="shared" si="136"/>
        <v>1.6359428549454184E-5</v>
      </c>
      <c r="S270" s="2"/>
      <c r="T270" s="6">
        <v>219.34</v>
      </c>
      <c r="U270" s="2"/>
      <c r="V270" s="7">
        <f t="shared" si="137"/>
        <v>3.3384758199754917E-5</v>
      </c>
      <c r="W270" s="2"/>
      <c r="X270" s="6">
        <f t="shared" si="138"/>
        <v>-159.44999999999999</v>
      </c>
      <c r="Y270" s="2"/>
      <c r="Z270" s="7">
        <f t="shared" si="139"/>
        <v>-0.72695358803683774</v>
      </c>
    </row>
    <row r="271" spans="1:26" s="26" customFormat="1" outlineLevel="1" collapsed="1" x14ac:dyDescent="0.25">
      <c r="A271" s="27"/>
      <c r="B271" s="13" t="str">
        <f>CONCATENATE("     ","Utilities                                         ")</f>
        <v xml:space="preserve">     Utilities                                         </v>
      </c>
      <c r="C271" s="13"/>
      <c r="D271" s="1">
        <f>SUM(OSRRefD22_24x_0)</f>
        <v>6150.38</v>
      </c>
      <c r="E271" s="1"/>
      <c r="F271" s="5">
        <f t="shared" ref="F271:F272" si="140">IF(D$12=0,0,D271/D$12)</f>
        <v>3.6018944911578372E-2</v>
      </c>
      <c r="G271" s="1"/>
      <c r="H271" s="1">
        <f>SUM(OSRRefH22_24x_0)</f>
        <v>5624.26</v>
      </c>
      <c r="I271" s="1"/>
      <c r="J271" s="5">
        <f t="shared" ref="J271:J272" si="141">IF(H$12=0,0,H271/H$12)</f>
        <v>9.2073712076580598E-3</v>
      </c>
      <c r="K271" s="1"/>
      <c r="L271" s="1">
        <f t="shared" ref="L271:L272" si="142">+D271-H271</f>
        <v>526.11999999999989</v>
      </c>
      <c r="M271" s="1"/>
      <c r="N271" s="5">
        <f t="shared" ref="N271:N272" si="143">IF(H271=0,0,L271/H271)</f>
        <v>9.3544750776102081E-2</v>
      </c>
      <c r="O271" s="13"/>
      <c r="P271" s="1">
        <f>SUM(OSRRefP22_24x_0)</f>
        <v>30585.809999999998</v>
      </c>
      <c r="Q271" s="1"/>
      <c r="R271" s="5">
        <f t="shared" ref="R271:R272" si="144">IF(P$12=0,0,P271/P$12)</f>
        <v>8.3547566091531338E-3</v>
      </c>
      <c r="S271" s="1"/>
      <c r="T271" s="1">
        <f>SUM(OSRRefT22_24x_0)</f>
        <v>22598.92</v>
      </c>
      <c r="U271" s="1"/>
      <c r="V271" s="5">
        <f t="shared" ref="V271:V272" si="145">IF(T$12=0,0,T271/T$12)</f>
        <v>3.4396803126452327E-3</v>
      </c>
      <c r="W271" s="1"/>
      <c r="X271" s="1">
        <f t="shared" ref="X271:X272" si="146">+P271-T271</f>
        <v>7986.8899999999994</v>
      </c>
      <c r="Y271" s="1"/>
      <c r="Z271" s="5">
        <f t="shared" ref="Z271:Z272" si="147">IF(T271=0,0,X271/T271)</f>
        <v>0.3534191014437858</v>
      </c>
    </row>
    <row r="272" spans="1:26" s="24" customFormat="1" hidden="1" outlineLevel="2" x14ac:dyDescent="0.25">
      <c r="A272" s="25"/>
      <c r="B272" s="11" t="str">
        <f>CONCATENATE("          ", "6274", " - ", "UTILITIES")</f>
        <v xml:space="preserve">          6274 - UTILITIES</v>
      </c>
      <c r="C272" s="11"/>
      <c r="D272" s="6">
        <v>6150.38</v>
      </c>
      <c r="E272" s="2"/>
      <c r="F272" s="7">
        <f t="shared" si="140"/>
        <v>3.6018944911578372E-2</v>
      </c>
      <c r="G272" s="2"/>
      <c r="H272" s="6">
        <v>5624.26</v>
      </c>
      <c r="I272" s="2"/>
      <c r="J272" s="7">
        <f t="shared" si="141"/>
        <v>9.2073712076580598E-3</v>
      </c>
      <c r="K272" s="2"/>
      <c r="L272" s="6">
        <f t="shared" si="142"/>
        <v>526.11999999999989</v>
      </c>
      <c r="M272" s="2"/>
      <c r="N272" s="7">
        <f t="shared" si="143"/>
        <v>9.3544750776102081E-2</v>
      </c>
      <c r="O272" s="11"/>
      <c r="P272" s="6">
        <v>30585.809999999998</v>
      </c>
      <c r="Q272" s="2"/>
      <c r="R272" s="7">
        <f t="shared" si="144"/>
        <v>8.3547566091531338E-3</v>
      </c>
      <c r="S272" s="2"/>
      <c r="T272" s="6">
        <v>22598.92</v>
      </c>
      <c r="U272" s="2"/>
      <c r="V272" s="7">
        <f t="shared" si="145"/>
        <v>3.4396803126452327E-3</v>
      </c>
      <c r="W272" s="2"/>
      <c r="X272" s="6">
        <f t="shared" si="146"/>
        <v>7986.8899999999994</v>
      </c>
      <c r="Y272" s="2"/>
      <c r="Z272" s="7">
        <f t="shared" si="147"/>
        <v>0.3534191014437858</v>
      </c>
    </row>
    <row r="273" spans="1:26" s="53" customFormat="1" x14ac:dyDescent="0.25">
      <c r="A273" s="37"/>
      <c r="B273" s="37"/>
      <c r="C273" s="37"/>
      <c r="D273" s="1"/>
      <c r="E273" s="1"/>
      <c r="F273" s="5"/>
      <c r="G273" s="1"/>
      <c r="H273" s="1"/>
      <c r="I273" s="1"/>
      <c r="J273" s="5"/>
      <c r="K273" s="1"/>
      <c r="L273" s="1"/>
      <c r="M273" s="1"/>
      <c r="N273" s="5"/>
      <c r="O273" s="37"/>
      <c r="P273" s="1"/>
      <c r="Q273" s="1"/>
      <c r="R273" s="5"/>
      <c r="S273" s="1"/>
      <c r="T273" s="1"/>
      <c r="U273" s="1"/>
      <c r="V273" s="5"/>
      <c r="W273" s="1"/>
      <c r="X273" s="1"/>
      <c r="Y273" s="1"/>
      <c r="Z273" s="5"/>
    </row>
    <row r="274" spans="1:26" s="23" customFormat="1" collapsed="1" x14ac:dyDescent="0.25">
      <c r="A274" s="10"/>
      <c r="B274" s="29" t="s">
        <v>0</v>
      </c>
      <c r="C274" s="10"/>
      <c r="D274" s="4">
        <f>SUM(OSRRefD25x_0)</f>
        <v>72016.7</v>
      </c>
      <c r="E274" s="4"/>
      <c r="F274" s="12">
        <f t="shared" ref="F274:F285" si="148">IF(D$12=0,0,D274/D$12)</f>
        <v>0.4217569564829598</v>
      </c>
      <c r="G274" s="4"/>
      <c r="H274" s="4">
        <f>SUM(OSRRefH25x_0)</f>
        <v>22346.430000000004</v>
      </c>
      <c r="I274" s="4"/>
      <c r="J274" s="12">
        <f t="shared" ref="J274:J285" si="149">IF(H$12=0,0,H274/H$12)</f>
        <v>3.6582924007059835E-2</v>
      </c>
      <c r="K274" s="4"/>
      <c r="L274" s="4">
        <f t="shared" ref="L274:L285" si="150">+D274-H274</f>
        <v>49670.26999999999</v>
      </c>
      <c r="M274" s="4"/>
      <c r="N274" s="12">
        <f t="shared" ref="N274:N285" si="151">IF(H274=0,0,L274/H274)</f>
        <v>2.2227384866396998</v>
      </c>
      <c r="O274" s="10"/>
      <c r="P274" s="4">
        <f>SUM(OSRRefP25x_0)</f>
        <v>525135.35999999999</v>
      </c>
      <c r="Q274" s="4"/>
      <c r="R274" s="12">
        <f t="shared" ref="R274:R285" si="152">IF(P$12=0,0,P274/P$12)</f>
        <v>0.14344488897498581</v>
      </c>
      <c r="S274" s="4"/>
      <c r="T274" s="4">
        <f>SUM(OSRRefT25x_0)</f>
        <v>407632.37</v>
      </c>
      <c r="U274" s="4"/>
      <c r="V274" s="12">
        <f t="shared" ref="V274:V285" si="153">IF(T$12=0,0,T274/T$12)</f>
        <v>6.2043895809442098E-2</v>
      </c>
      <c r="W274" s="4"/>
      <c r="X274" s="4">
        <f t="shared" ref="X274:X285" si="154">+P274-T274</f>
        <v>117502.98999999999</v>
      </c>
      <c r="Y274" s="4"/>
      <c r="Z274" s="12">
        <f t="shared" ref="Z274:Z285" si="155">IF(T274=0,0,X274/T274)</f>
        <v>0.28825725984420714</v>
      </c>
    </row>
    <row r="275" spans="1:26" s="24" customFormat="1" hidden="1" outlineLevel="1" x14ac:dyDescent="0.25">
      <c r="A275" s="44"/>
      <c r="B275" s="11" t="str">
        <f>CONCATENATE("          ", "4098", " - ", "TAXABLE SALES-GRAD RENTALS")</f>
        <v xml:space="preserve">          4098 - TAXABLE SALES-GRAD RENTALS</v>
      </c>
      <c r="C275" s="11"/>
      <c r="D275" s="2">
        <f>0</f>
        <v>0</v>
      </c>
      <c r="E275" s="2"/>
      <c r="F275" s="19">
        <f t="shared" si="148"/>
        <v>0</v>
      </c>
      <c r="G275" s="2"/>
      <c r="H275" s="2">
        <f>0</f>
        <v>0</v>
      </c>
      <c r="I275" s="2"/>
      <c r="J275" s="19">
        <f t="shared" si="149"/>
        <v>0</v>
      </c>
      <c r="K275" s="2"/>
      <c r="L275" s="2">
        <f t="shared" si="150"/>
        <v>0</v>
      </c>
      <c r="M275" s="2"/>
      <c r="N275" s="19">
        <f t="shared" si="151"/>
        <v>0</v>
      </c>
      <c r="O275" s="11"/>
      <c r="P275" s="2">
        <f>0</f>
        <v>0</v>
      </c>
      <c r="Q275" s="2"/>
      <c r="R275" s="19">
        <f t="shared" si="152"/>
        <v>0</v>
      </c>
      <c r="S275" s="2"/>
      <c r="T275" s="2">
        <f>--1626.85</f>
        <v>1626.85</v>
      </c>
      <c r="U275" s="2"/>
      <c r="V275" s="19">
        <f t="shared" si="153"/>
        <v>2.4761554608038335E-4</v>
      </c>
      <c r="W275" s="2"/>
      <c r="X275" s="2">
        <f t="shared" si="154"/>
        <v>-1626.85</v>
      </c>
      <c r="Y275" s="2"/>
      <c r="Z275" s="19">
        <f t="shared" si="155"/>
        <v>-1</v>
      </c>
    </row>
    <row r="276" spans="1:26" s="24" customFormat="1" hidden="1" outlineLevel="1" x14ac:dyDescent="0.25">
      <c r="A276" s="44"/>
      <c r="B276" s="11" t="str">
        <f>CONCATENATE("          ", "4187", " - ", "NON-TAXABLE SALES-COMPUTER REP")</f>
        <v xml:space="preserve">          4187 - NON-TAXABLE SALES-COMPUTER REP</v>
      </c>
      <c r="C276" s="11"/>
      <c r="D276" s="2">
        <f>-374.75</f>
        <v>-374.75</v>
      </c>
      <c r="E276" s="2"/>
      <c r="F276" s="19">
        <f t="shared" si="148"/>
        <v>-2.1946773379228593E-3</v>
      </c>
      <c r="G276" s="2"/>
      <c r="H276" s="2">
        <f>--949.24</f>
        <v>949.24</v>
      </c>
      <c r="I276" s="2"/>
      <c r="J276" s="19">
        <f t="shared" si="149"/>
        <v>1.5539831098059721E-3</v>
      </c>
      <c r="K276" s="2"/>
      <c r="L276" s="2">
        <f t="shared" si="150"/>
        <v>-1323.99</v>
      </c>
      <c r="M276" s="2"/>
      <c r="N276" s="19">
        <f t="shared" si="151"/>
        <v>-1.3947895158231849</v>
      </c>
      <c r="O276" s="11"/>
      <c r="P276" s="2">
        <f>--563.21</f>
        <v>563.21</v>
      </c>
      <c r="Q276" s="2"/>
      <c r="R276" s="19">
        <f t="shared" si="152"/>
        <v>1.5384527890028538E-4</v>
      </c>
      <c r="S276" s="2"/>
      <c r="T276" s="2">
        <f>--12731.93</f>
        <v>12731.93</v>
      </c>
      <c r="U276" s="2"/>
      <c r="V276" s="19">
        <f t="shared" si="153"/>
        <v>1.9378699939190554E-3</v>
      </c>
      <c r="W276" s="2"/>
      <c r="X276" s="2">
        <f t="shared" si="154"/>
        <v>-12168.720000000001</v>
      </c>
      <c r="Y276" s="2"/>
      <c r="Z276" s="19">
        <f t="shared" si="155"/>
        <v>-0.95576397294047333</v>
      </c>
    </row>
    <row r="277" spans="1:26" s="24" customFormat="1" hidden="1" outlineLevel="1" x14ac:dyDescent="0.25">
      <c r="A277" s="44"/>
      <c r="B277" s="11" t="str">
        <f>CONCATENATE("          ", "4197", " - ", "NON-TAXABLE SALES-RETURNED CHE")</f>
        <v xml:space="preserve">          4197 - NON-TAXABLE SALES-RETURNED CHE</v>
      </c>
      <c r="C277" s="11"/>
      <c r="D277" s="2">
        <f t="shared" ref="D277:D279" si="156">0</f>
        <v>0</v>
      </c>
      <c r="E277" s="2"/>
      <c r="F277" s="19">
        <f t="shared" si="148"/>
        <v>0</v>
      </c>
      <c r="G277" s="2"/>
      <c r="H277" s="2">
        <f t="shared" ref="H277:H278" si="157">0</f>
        <v>0</v>
      </c>
      <c r="I277" s="2"/>
      <c r="J277" s="19">
        <f t="shared" si="149"/>
        <v>0</v>
      </c>
      <c r="K277" s="2"/>
      <c r="L277" s="2">
        <f t="shared" si="150"/>
        <v>0</v>
      </c>
      <c r="M277" s="2"/>
      <c r="N277" s="19">
        <f t="shared" si="151"/>
        <v>0</v>
      </c>
      <c r="O277" s="11"/>
      <c r="P277" s="2">
        <f t="shared" ref="P277:P279" si="158">0</f>
        <v>0</v>
      </c>
      <c r="Q277" s="2"/>
      <c r="R277" s="19">
        <f t="shared" si="152"/>
        <v>0</v>
      </c>
      <c r="S277" s="2"/>
      <c r="T277" s="2">
        <f>--30</f>
        <v>30</v>
      </c>
      <c r="U277" s="2"/>
      <c r="V277" s="19">
        <f t="shared" si="153"/>
        <v>4.5661655238107393E-6</v>
      </c>
      <c r="W277" s="2"/>
      <c r="X277" s="2">
        <f t="shared" si="154"/>
        <v>-30</v>
      </c>
      <c r="Y277" s="2"/>
      <c r="Z277" s="19">
        <f t="shared" si="155"/>
        <v>-1</v>
      </c>
    </row>
    <row r="278" spans="1:26" s="24" customFormat="1" hidden="1" outlineLevel="1" x14ac:dyDescent="0.25">
      <c r="A278" s="44"/>
      <c r="B278" s="11" t="str">
        <f>CONCATENATE("          ", "4198", " - ", "NON-TAXABLE SALES-GRAD RENTALS")</f>
        <v xml:space="preserve">          4198 - NON-TAXABLE SALES-GRAD RENTALS</v>
      </c>
      <c r="C278" s="11"/>
      <c r="D278" s="2">
        <f t="shared" si="156"/>
        <v>0</v>
      </c>
      <c r="E278" s="2"/>
      <c r="F278" s="19">
        <f t="shared" si="148"/>
        <v>0</v>
      </c>
      <c r="G278" s="2"/>
      <c r="H278" s="2">
        <f t="shared" si="157"/>
        <v>0</v>
      </c>
      <c r="I278" s="2"/>
      <c r="J278" s="19">
        <f t="shared" si="149"/>
        <v>0</v>
      </c>
      <c r="K278" s="2"/>
      <c r="L278" s="2">
        <f t="shared" si="150"/>
        <v>0</v>
      </c>
      <c r="M278" s="2"/>
      <c r="N278" s="19">
        <f t="shared" si="151"/>
        <v>0</v>
      </c>
      <c r="O278" s="11"/>
      <c r="P278" s="2">
        <f t="shared" si="158"/>
        <v>0</v>
      </c>
      <c r="Q278" s="2"/>
      <c r="R278" s="19">
        <f t="shared" si="152"/>
        <v>0</v>
      </c>
      <c r="S278" s="2"/>
      <c r="T278" s="2">
        <f>--495</f>
        <v>495</v>
      </c>
      <c r="U278" s="2"/>
      <c r="V278" s="19">
        <f t="shared" si="153"/>
        <v>7.5341731142877194E-5</v>
      </c>
      <c r="W278" s="2"/>
      <c r="X278" s="2">
        <f t="shared" si="154"/>
        <v>-495</v>
      </c>
      <c r="Y278" s="2"/>
      <c r="Z278" s="19">
        <f t="shared" si="155"/>
        <v>-1</v>
      </c>
    </row>
    <row r="279" spans="1:26" s="24" customFormat="1" hidden="1" outlineLevel="1" x14ac:dyDescent="0.25">
      <c r="A279" s="44"/>
      <c r="B279" s="11" t="str">
        <f>CONCATENATE("          ", "4387", " - ", "SALES RETURN NON TAXABLE-COMPU")</f>
        <v xml:space="preserve">          4387 - SALES RETURN NON TAXABLE-COMPU</v>
      </c>
      <c r="C279" s="11"/>
      <c r="D279" s="2">
        <f t="shared" si="156"/>
        <v>0</v>
      </c>
      <c r="E279" s="2"/>
      <c r="F279" s="19">
        <f t="shared" si="148"/>
        <v>0</v>
      </c>
      <c r="G279" s="2"/>
      <c r="H279" s="2">
        <f>-1098.25</f>
        <v>-1098.25</v>
      </c>
      <c r="I279" s="2"/>
      <c r="J279" s="19">
        <f t="shared" si="149"/>
        <v>-1.7979246032029928E-3</v>
      </c>
      <c r="K279" s="2"/>
      <c r="L279" s="2">
        <f t="shared" si="150"/>
        <v>1098.25</v>
      </c>
      <c r="M279" s="2"/>
      <c r="N279" s="19">
        <f t="shared" si="151"/>
        <v>-1</v>
      </c>
      <c r="O279" s="11"/>
      <c r="P279" s="2">
        <f t="shared" si="158"/>
        <v>0</v>
      </c>
      <c r="Q279" s="2"/>
      <c r="R279" s="19">
        <f t="shared" si="152"/>
        <v>0</v>
      </c>
      <c r="S279" s="2"/>
      <c r="T279" s="2">
        <f>-7889</f>
        <v>-7889</v>
      </c>
      <c r="U279" s="2"/>
      <c r="V279" s="19">
        <f t="shared" si="153"/>
        <v>-1.2007493272447639E-3</v>
      </c>
      <c r="W279" s="2"/>
      <c r="X279" s="2">
        <f t="shared" si="154"/>
        <v>7889</v>
      </c>
      <c r="Y279" s="2"/>
      <c r="Z279" s="19">
        <f t="shared" si="155"/>
        <v>-1</v>
      </c>
    </row>
    <row r="280" spans="1:26" s="24" customFormat="1" hidden="1" outlineLevel="1" x14ac:dyDescent="0.25">
      <c r="A280" s="44"/>
      <c r="B280" s="11" t="str">
        <f>CONCATENATE("          ", "9150", " - ", "MISC. INCOME")</f>
        <v xml:space="preserve">          9150 - MISC. INCOME</v>
      </c>
      <c r="C280" s="11"/>
      <c r="D280" s="2">
        <f>--57394.3</f>
        <v>57394.3</v>
      </c>
      <c r="E280" s="2"/>
      <c r="F280" s="19">
        <f t="shared" si="148"/>
        <v>0.33612266720732747</v>
      </c>
      <c r="G280" s="2"/>
      <c r="H280" s="2">
        <f>--20586.22</f>
        <v>20586.22</v>
      </c>
      <c r="I280" s="2"/>
      <c r="J280" s="19">
        <f t="shared" si="149"/>
        <v>3.3701317027042585E-2</v>
      </c>
      <c r="K280" s="2"/>
      <c r="L280" s="2">
        <f t="shared" si="150"/>
        <v>36808.080000000002</v>
      </c>
      <c r="M280" s="2"/>
      <c r="N280" s="19">
        <f t="shared" si="151"/>
        <v>1.7879960478417116</v>
      </c>
      <c r="O280" s="11"/>
      <c r="P280" s="2">
        <f>--199274.69</f>
        <v>199274.69</v>
      </c>
      <c r="Q280" s="2"/>
      <c r="R280" s="19">
        <f t="shared" si="152"/>
        <v>5.4433462226909868E-2</v>
      </c>
      <c r="S280" s="2"/>
      <c r="T280" s="2">
        <f>--228533.45</f>
        <v>228533.45</v>
      </c>
      <c r="U280" s="2"/>
      <c r="V280" s="19">
        <f t="shared" si="153"/>
        <v>3.4784052014250846E-2</v>
      </c>
      <c r="W280" s="2"/>
      <c r="X280" s="2">
        <f t="shared" si="154"/>
        <v>-29258.760000000009</v>
      </c>
      <c r="Y280" s="2"/>
      <c r="Z280" s="19">
        <f t="shared" si="155"/>
        <v>-0.12802834771014926</v>
      </c>
    </row>
    <row r="281" spans="1:26" s="24" customFormat="1" hidden="1" outlineLevel="1" x14ac:dyDescent="0.25">
      <c r="A281" s="44"/>
      <c r="B281" s="11" t="str">
        <f>CONCATENATE("          ", "9151", " - ", "MISC. INCOME")</f>
        <v xml:space="preserve">          9151 - MISC. INCOME</v>
      </c>
      <c r="C281" s="11"/>
      <c r="D281" s="2">
        <f>0</f>
        <v>0</v>
      </c>
      <c r="E281" s="2"/>
      <c r="F281" s="19">
        <f t="shared" si="148"/>
        <v>0</v>
      </c>
      <c r="G281" s="2"/>
      <c r="H281" s="2">
        <f>0</f>
        <v>0</v>
      </c>
      <c r="I281" s="2"/>
      <c r="J281" s="19">
        <f t="shared" si="149"/>
        <v>0</v>
      </c>
      <c r="K281" s="2"/>
      <c r="L281" s="2">
        <f t="shared" si="150"/>
        <v>0</v>
      </c>
      <c r="M281" s="2"/>
      <c r="N281" s="19">
        <f t="shared" si="151"/>
        <v>0</v>
      </c>
      <c r="O281" s="11"/>
      <c r="P281" s="2">
        <f>--147285.39</f>
        <v>147285.39000000001</v>
      </c>
      <c r="Q281" s="2"/>
      <c r="R281" s="19">
        <f t="shared" si="152"/>
        <v>4.0232172551068521E-2</v>
      </c>
      <c r="S281" s="2"/>
      <c r="T281" s="2">
        <f>--87224.27</f>
        <v>87224.27</v>
      </c>
      <c r="U281" s="2"/>
      <c r="V281" s="19">
        <f t="shared" si="153"/>
        <v>1.3276015150451978E-2</v>
      </c>
      <c r="W281" s="2"/>
      <c r="X281" s="2">
        <f t="shared" si="154"/>
        <v>60061.12000000001</v>
      </c>
      <c r="Y281" s="2"/>
      <c r="Z281" s="19">
        <f t="shared" si="155"/>
        <v>0.68858266168349713</v>
      </c>
    </row>
    <row r="282" spans="1:26" s="24" customFormat="1" hidden="1" outlineLevel="1" x14ac:dyDescent="0.25">
      <c r="A282" s="44"/>
      <c r="B282" s="11" t="str">
        <f>CONCATENATE("          ", "9152", " - ", "MISC. INCOME")</f>
        <v xml:space="preserve">          9152 - MISC. INCOME</v>
      </c>
      <c r="C282" s="11"/>
      <c r="D282" s="2">
        <f>--255.21</f>
        <v>255.21</v>
      </c>
      <c r="E282" s="2"/>
      <c r="F282" s="19">
        <f t="shared" si="148"/>
        <v>1.4946060131055183E-3</v>
      </c>
      <c r="G282" s="2"/>
      <c r="H282" s="2">
        <f>--154.22</f>
        <v>154.22</v>
      </c>
      <c r="I282" s="2"/>
      <c r="J282" s="19">
        <f t="shared" si="149"/>
        <v>2.5247068728064242E-4</v>
      </c>
      <c r="K282" s="2"/>
      <c r="L282" s="2">
        <f t="shared" si="150"/>
        <v>100.99000000000001</v>
      </c>
      <c r="M282" s="2"/>
      <c r="N282" s="19">
        <f t="shared" si="151"/>
        <v>0.65484372973673977</v>
      </c>
      <c r="O282" s="11"/>
      <c r="P282" s="2">
        <f>--2606.23</f>
        <v>2606.23</v>
      </c>
      <c r="Q282" s="2"/>
      <c r="R282" s="19">
        <f t="shared" si="152"/>
        <v>7.1191239720227041E-4</v>
      </c>
      <c r="S282" s="2"/>
      <c r="T282" s="2">
        <f>--848.32</f>
        <v>848.32</v>
      </c>
      <c r="U282" s="2"/>
      <c r="V282" s="19">
        <f t="shared" si="153"/>
        <v>1.2911898457197089E-4</v>
      </c>
      <c r="W282" s="2"/>
      <c r="X282" s="2">
        <f t="shared" si="154"/>
        <v>1757.9099999999999</v>
      </c>
      <c r="Y282" s="2"/>
      <c r="Z282" s="19">
        <f t="shared" si="155"/>
        <v>2.0722251037344397</v>
      </c>
    </row>
    <row r="283" spans="1:26" s="24" customFormat="1" hidden="1" outlineLevel="1" x14ac:dyDescent="0.25">
      <c r="A283" s="44"/>
      <c r="B283" s="11" t="str">
        <f>CONCATENATE("          ", "9153", " - ", "MISC. INCOME")</f>
        <v xml:space="preserve">          9153 - MISC. INCOME</v>
      </c>
      <c r="C283" s="11"/>
      <c r="D283" s="2">
        <f t="shared" ref="D283:D284" si="159">0</f>
        <v>0</v>
      </c>
      <c r="E283" s="2"/>
      <c r="F283" s="19">
        <f t="shared" si="148"/>
        <v>0</v>
      </c>
      <c r="G283" s="2"/>
      <c r="H283" s="2">
        <f>--450</f>
        <v>450</v>
      </c>
      <c r="I283" s="2"/>
      <c r="J283" s="19">
        <f t="shared" si="149"/>
        <v>7.366866118291343E-4</v>
      </c>
      <c r="K283" s="2"/>
      <c r="L283" s="2">
        <f t="shared" si="150"/>
        <v>-450</v>
      </c>
      <c r="M283" s="2"/>
      <c r="N283" s="19">
        <f t="shared" si="151"/>
        <v>-1</v>
      </c>
      <c r="O283" s="11"/>
      <c r="P283" s="2">
        <f t="shared" ref="P283:P284" si="160">0</f>
        <v>0</v>
      </c>
      <c r="Q283" s="2"/>
      <c r="R283" s="19">
        <f t="shared" si="152"/>
        <v>0</v>
      </c>
      <c r="S283" s="2"/>
      <c r="T283" s="2">
        <f>--450</f>
        <v>450</v>
      </c>
      <c r="U283" s="2"/>
      <c r="V283" s="19">
        <f t="shared" si="153"/>
        <v>6.8492482857161082E-5</v>
      </c>
      <c r="W283" s="2"/>
      <c r="X283" s="2">
        <f t="shared" si="154"/>
        <v>-450</v>
      </c>
      <c r="Y283" s="2"/>
      <c r="Z283" s="19">
        <f t="shared" si="155"/>
        <v>-1</v>
      </c>
    </row>
    <row r="284" spans="1:26" s="24" customFormat="1" hidden="1" outlineLevel="1" x14ac:dyDescent="0.25">
      <c r="A284" s="44"/>
      <c r="B284" s="11" t="str">
        <f>CONCATENATE("          ", "9160", " - ", "MISC. INCOME")</f>
        <v xml:space="preserve">          9160 - MISC. INCOME</v>
      </c>
      <c r="C284" s="11"/>
      <c r="D284" s="2">
        <f t="shared" si="159"/>
        <v>0</v>
      </c>
      <c r="E284" s="2"/>
      <c r="F284" s="19">
        <f t="shared" si="148"/>
        <v>0</v>
      </c>
      <c r="G284" s="2"/>
      <c r="H284" s="2">
        <f>--1305</f>
        <v>1305</v>
      </c>
      <c r="I284" s="2"/>
      <c r="J284" s="19">
        <f t="shared" si="149"/>
        <v>2.1363911743044893E-3</v>
      </c>
      <c r="K284" s="2"/>
      <c r="L284" s="2">
        <f t="shared" si="150"/>
        <v>-1305</v>
      </c>
      <c r="M284" s="2"/>
      <c r="N284" s="19">
        <f t="shared" si="151"/>
        <v>-1</v>
      </c>
      <c r="O284" s="11"/>
      <c r="P284" s="2">
        <f t="shared" si="160"/>
        <v>0</v>
      </c>
      <c r="Q284" s="2"/>
      <c r="R284" s="19">
        <f t="shared" si="152"/>
        <v>0</v>
      </c>
      <c r="S284" s="2"/>
      <c r="T284" s="2">
        <f>--22475</f>
        <v>22475</v>
      </c>
      <c r="U284" s="2"/>
      <c r="V284" s="19">
        <f t="shared" si="153"/>
        <v>3.4208190049215452E-3</v>
      </c>
      <c r="W284" s="2"/>
      <c r="X284" s="2">
        <f t="shared" si="154"/>
        <v>-22475</v>
      </c>
      <c r="Y284" s="2"/>
      <c r="Z284" s="19">
        <f t="shared" si="155"/>
        <v>-1</v>
      </c>
    </row>
    <row r="285" spans="1:26" s="24" customFormat="1" hidden="1" outlineLevel="1" x14ac:dyDescent="0.25">
      <c r="A285" s="44"/>
      <c r="B285" s="11" t="str">
        <f>CONCATENATE("          ", "9163", " - ", "MISC. INCOME")</f>
        <v xml:space="preserve">          9163 - MISC. INCOME</v>
      </c>
      <c r="C285" s="11"/>
      <c r="D285" s="2">
        <f>--14741.94</f>
        <v>14741.94</v>
      </c>
      <c r="E285" s="2"/>
      <c r="F285" s="19">
        <f t="shared" si="148"/>
        <v>8.6334360600449689E-2</v>
      </c>
      <c r="G285" s="2"/>
      <c r="H285" s="2">
        <f>0</f>
        <v>0</v>
      </c>
      <c r="I285" s="2"/>
      <c r="J285" s="19">
        <f t="shared" si="149"/>
        <v>0</v>
      </c>
      <c r="K285" s="2"/>
      <c r="L285" s="2">
        <f t="shared" si="150"/>
        <v>14741.94</v>
      </c>
      <c r="M285" s="2"/>
      <c r="N285" s="19">
        <f t="shared" si="151"/>
        <v>0</v>
      </c>
      <c r="O285" s="11"/>
      <c r="P285" s="2">
        <f>--175405.84</f>
        <v>175405.84</v>
      </c>
      <c r="Q285" s="2"/>
      <c r="R285" s="19">
        <f t="shared" si="152"/>
        <v>4.7913496520904868E-2</v>
      </c>
      <c r="S285" s="2"/>
      <c r="T285" s="2">
        <f>--61106.55</f>
        <v>61106.55</v>
      </c>
      <c r="U285" s="2"/>
      <c r="V285" s="19">
        <f t="shared" si="153"/>
        <v>9.3007540629672369E-3</v>
      </c>
      <c r="W285" s="2"/>
      <c r="X285" s="2">
        <f t="shared" si="154"/>
        <v>114299.29</v>
      </c>
      <c r="Y285" s="2"/>
      <c r="Z285" s="19">
        <f t="shared" si="155"/>
        <v>1.8704916248749108</v>
      </c>
    </row>
    <row r="286" spans="1:26" x14ac:dyDescent="0.25">
      <c r="A286" s="9"/>
      <c r="B286" s="10"/>
      <c r="C286" s="10"/>
      <c r="D286" s="3"/>
      <c r="E286" s="3"/>
      <c r="F286" s="8"/>
      <c r="G286" s="3"/>
      <c r="H286" s="3"/>
      <c r="I286" s="3"/>
      <c r="J286" s="8"/>
      <c r="K286" s="3"/>
      <c r="L286" s="3"/>
      <c r="M286" s="3"/>
      <c r="N286" s="8"/>
      <c r="O286" s="10"/>
      <c r="P286" s="3"/>
      <c r="Q286" s="3"/>
      <c r="R286" s="8"/>
      <c r="S286" s="3"/>
      <c r="T286" s="3"/>
      <c r="U286" s="3"/>
      <c r="V286" s="8"/>
      <c r="W286" s="3"/>
      <c r="X286" s="3"/>
      <c r="Y286" s="3"/>
      <c r="Z286" s="8"/>
    </row>
    <row r="287" spans="1:26" s="23" customFormat="1" x14ac:dyDescent="0.25">
      <c r="A287" s="10"/>
      <c r="B287" s="28" t="s">
        <v>3</v>
      </c>
      <c r="C287" s="28"/>
      <c r="D287" s="20">
        <f>+D183-D185+D274</f>
        <v>-126974.84000000004</v>
      </c>
      <c r="E287" s="14"/>
      <c r="F287" s="22">
        <f>IF(D$12=0,0,D287/D$12)</f>
        <v>-0.74361255192630049</v>
      </c>
      <c r="G287" s="14"/>
      <c r="H287" s="20">
        <f>+H183-H185+H274</f>
        <v>-82687.880000000456</v>
      </c>
      <c r="I287" s="14"/>
      <c r="J287" s="22">
        <f>IF(H$12=0,0,H287/H$12)</f>
        <v>-0.13536678701452082</v>
      </c>
      <c r="K287" s="15"/>
      <c r="L287" s="20">
        <f>+D287-H287</f>
        <v>-44286.959999999584</v>
      </c>
      <c r="M287" s="15"/>
      <c r="N287" s="22">
        <f>IF(H287=0,0,L287/H287)</f>
        <v>0.53559191504243842</v>
      </c>
      <c r="O287" s="29"/>
      <c r="P287" s="20">
        <f>+P183-P185+P274</f>
        <v>17424.760000000359</v>
      </c>
      <c r="Q287" s="14"/>
      <c r="R287" s="22">
        <f>IF(P$12=0,0,P287/P$12)</f>
        <v>4.7597114077707987E-3</v>
      </c>
      <c r="S287" s="14"/>
      <c r="T287" s="20">
        <f>+T183-T185+T274</f>
        <v>603802.149999997</v>
      </c>
      <c r="U287" s="14"/>
      <c r="V287" s="22">
        <f>IF(T$12=0,0,T287/T$12)</f>
        <v>9.1902018684426226E-2</v>
      </c>
      <c r="W287" s="15"/>
      <c r="X287" s="20">
        <f>+P287-T287</f>
        <v>-586377.38999999664</v>
      </c>
      <c r="Y287" s="15"/>
      <c r="Z287" s="22">
        <f>IF(T287=0,0,X287/T287)</f>
        <v>-0.97114160656764725</v>
      </c>
    </row>
    <row r="288" spans="1:26" x14ac:dyDescent="0.25">
      <c r="A288" s="9"/>
      <c r="B288" s="10"/>
      <c r="C288" s="9"/>
      <c r="D288" s="3"/>
      <c r="E288" s="3"/>
      <c r="F288" s="8"/>
      <c r="G288" s="3"/>
      <c r="H288" s="3"/>
      <c r="I288" s="3"/>
      <c r="J288" s="8"/>
      <c r="K288" s="3"/>
      <c r="L288" s="3"/>
      <c r="M288" s="3"/>
      <c r="N288" s="8"/>
      <c r="P288" s="3"/>
      <c r="Q288" s="3"/>
      <c r="R288" s="8"/>
      <c r="S288" s="3"/>
      <c r="T288" s="3"/>
      <c r="U288" s="3"/>
      <c r="V288" s="8"/>
      <c r="W288" s="3"/>
      <c r="X288" s="3"/>
      <c r="Y288" s="3"/>
      <c r="Z288" s="8"/>
    </row>
    <row r="289" spans="1:26" s="23" customFormat="1" x14ac:dyDescent="0.25">
      <c r="A289" s="51"/>
      <c r="B289" s="10" t="s">
        <v>13</v>
      </c>
      <c r="C289" s="10"/>
      <c r="D289" s="4">
        <v>-174329.22</v>
      </c>
      <c r="E289" s="4"/>
      <c r="F289" s="12">
        <f>IF(D$12=0,0,D289/D$12)</f>
        <v>-1.0209376610320706</v>
      </c>
      <c r="G289" s="4"/>
      <c r="H289" s="4">
        <v>95854.95</v>
      </c>
      <c r="I289" s="4"/>
      <c r="J289" s="12">
        <f>IF(H$12=0,0,H289/H$12)</f>
        <v>0.15692235187233572</v>
      </c>
      <c r="K289" s="4"/>
      <c r="L289" s="4">
        <f>+D289-H289</f>
        <v>-270184.17</v>
      </c>
      <c r="M289" s="4"/>
      <c r="N289" s="12">
        <f>IF(H289=0,0,L289/H289)</f>
        <v>-2.8186772827068398</v>
      </c>
      <c r="O289" s="10"/>
      <c r="P289" s="4">
        <v>581708.49</v>
      </c>
      <c r="Q289" s="4"/>
      <c r="R289" s="12">
        <f>IF(P$12=0,0,P289/P$12)</f>
        <v>0.15889828817441781</v>
      </c>
      <c r="S289" s="4"/>
      <c r="T289" s="4">
        <v>695725.33</v>
      </c>
      <c r="U289" s="4"/>
      <c r="V289" s="12">
        <f>IF(T$12=0,0,T289/T$12)</f>
        <v>0.1058932338629283</v>
      </c>
      <c r="W289" s="4"/>
      <c r="X289" s="4">
        <f>+P289-T289</f>
        <v>-114016.83999999997</v>
      </c>
      <c r="Y289" s="4"/>
      <c r="Z289" s="12">
        <f>IF(T289=0,0,X289/T289)</f>
        <v>-0.16388197336440227</v>
      </c>
    </row>
    <row r="290" spans="1:26" x14ac:dyDescent="0.25">
      <c r="A290" s="9"/>
      <c r="B290" s="10"/>
      <c r="C290" s="10"/>
      <c r="D290" s="3"/>
      <c r="E290" s="3"/>
      <c r="F290" s="8"/>
      <c r="G290" s="3"/>
      <c r="H290" s="3"/>
      <c r="I290" s="3"/>
      <c r="J290" s="8"/>
      <c r="K290" s="3"/>
      <c r="L290" s="3"/>
      <c r="M290" s="3"/>
      <c r="N290" s="8"/>
      <c r="O290" s="10"/>
      <c r="P290" s="3"/>
      <c r="Q290" s="3"/>
      <c r="R290" s="8"/>
      <c r="S290" s="3"/>
      <c r="T290" s="3"/>
      <c r="U290" s="3"/>
      <c r="V290" s="8"/>
      <c r="W290" s="3"/>
      <c r="X290" s="3"/>
      <c r="Y290" s="3"/>
      <c r="Z290" s="8"/>
    </row>
    <row r="291" spans="1:26" s="23" customFormat="1" ht="15.75" thickBot="1" x14ac:dyDescent="0.3">
      <c r="A291" s="10"/>
      <c r="B291" s="28" t="s">
        <v>4</v>
      </c>
      <c r="C291" s="28"/>
      <c r="D291" s="31">
        <f>+D287-D289</f>
        <v>47354.379999999961</v>
      </c>
      <c r="E291" s="14"/>
      <c r="F291" s="34">
        <f>IF(D$12=0,0,D291/D$12)</f>
        <v>0.27732510910577024</v>
      </c>
      <c r="G291" s="14"/>
      <c r="H291" s="31">
        <f>+H287-H289</f>
        <v>-178542.83000000045</v>
      </c>
      <c r="I291" s="14"/>
      <c r="J291" s="34">
        <f>IF(H$12=0,0,H291/H$12)</f>
        <v>-0.29228913888685654</v>
      </c>
      <c r="K291" s="15"/>
      <c r="L291" s="31">
        <f>D291-H291</f>
        <v>225897.21000000043</v>
      </c>
      <c r="M291" s="15"/>
      <c r="N291" s="34">
        <f>IF(H291=0,0,L291/H291)</f>
        <v>-1.2652270046352456</v>
      </c>
      <c r="O291" s="29"/>
      <c r="P291" s="31">
        <f>+P287-P289</f>
        <v>-564283.72999999963</v>
      </c>
      <c r="Q291" s="14"/>
      <c r="R291" s="34">
        <f>IF(P$12=0,0,P291/P$12)</f>
        <v>-0.15413857676664702</v>
      </c>
      <c r="S291" s="14"/>
      <c r="T291" s="31">
        <f>+T287-T289</f>
        <v>-91923.180000002962</v>
      </c>
      <c r="U291" s="14"/>
      <c r="V291" s="34">
        <f>IF(T$12=0,0,T291/T$12)</f>
        <v>-1.3991215178502079E-2</v>
      </c>
      <c r="W291" s="15"/>
      <c r="X291" s="31">
        <f>P291-T291</f>
        <v>-472360.54999999667</v>
      </c>
      <c r="Y291" s="15"/>
      <c r="Z291" s="34">
        <f>IF(T291=0,0,X291/T291)</f>
        <v>5.1386445725657168</v>
      </c>
    </row>
    <row r="292" spans="1:26" ht="15.75" thickTop="1" x14ac:dyDescent="0.25">
      <c r="A292" s="9"/>
      <c r="B292" s="9"/>
      <c r="C292" s="9"/>
      <c r="D292" s="3"/>
      <c r="E292" s="3"/>
      <c r="F292" s="8"/>
      <c r="G292" s="3"/>
      <c r="H292" s="3"/>
      <c r="I292" s="3"/>
      <c r="J292" s="8"/>
      <c r="K292" s="3"/>
      <c r="L292" s="3"/>
      <c r="M292" s="3"/>
      <c r="N292" s="8"/>
      <c r="P292" s="3"/>
      <c r="Q292" s="3"/>
      <c r="R292" s="8"/>
      <c r="S292" s="3"/>
      <c r="T292" s="3"/>
      <c r="U292" s="3"/>
      <c r="V292" s="8"/>
      <c r="W292" s="3"/>
      <c r="X292" s="3"/>
      <c r="Y292" s="3"/>
      <c r="Z292" s="8"/>
    </row>
    <row r="293" spans="1:26" x14ac:dyDescent="0.25">
      <c r="A293" s="9"/>
      <c r="B293" s="9"/>
      <c r="C293" s="9"/>
      <c r="D293" s="3"/>
      <c r="E293" s="3"/>
      <c r="F293" s="8"/>
      <c r="G293" s="3"/>
      <c r="H293" s="3"/>
      <c r="I293" s="3"/>
      <c r="J293" s="8"/>
      <c r="K293" s="3"/>
      <c r="L293" s="3"/>
      <c r="M293" s="3"/>
      <c r="N293" s="8"/>
      <c r="P293" s="3"/>
      <c r="Q293" s="3"/>
      <c r="R293" s="8"/>
      <c r="S293" s="3"/>
      <c r="T293" s="3"/>
      <c r="U293" s="3"/>
      <c r="V293" s="8"/>
      <c r="W293" s="3"/>
      <c r="X293" s="3"/>
      <c r="Y293" s="3"/>
      <c r="Z293" s="8"/>
    </row>
    <row r="294" spans="1:26" s="23" customFormat="1" ht="15.75" thickBot="1" x14ac:dyDescent="0.3">
      <c r="A294" s="10"/>
      <c r="B294" s="28" t="s">
        <v>5</v>
      </c>
      <c r="C294" s="28"/>
      <c r="D294" s="32">
        <f>SUM(D291:D293)</f>
        <v>47354.379999999961</v>
      </c>
      <c r="E294" s="14"/>
      <c r="F294" s="30">
        <f>IF(D$12=0,0,D294/D$12)</f>
        <v>0.27732510910577024</v>
      </c>
      <c r="G294" s="14"/>
      <c r="H294" s="32">
        <f>SUM(H291:H293)</f>
        <v>-178542.83000000045</v>
      </c>
      <c r="I294" s="14"/>
      <c r="J294" s="30">
        <f>IF(H$12=0,0,H294/H$12)</f>
        <v>-0.29228913888685654</v>
      </c>
      <c r="K294" s="15"/>
      <c r="L294" s="32">
        <f>+D294-H294</f>
        <v>225897.21000000043</v>
      </c>
      <c r="M294" s="15"/>
      <c r="N294" s="30">
        <f>IF(H294=0,0,L294/H294)</f>
        <v>-1.2652270046352456</v>
      </c>
      <c r="O294" s="29"/>
      <c r="P294" s="32">
        <f>SUM(P291:P293)</f>
        <v>-564283.72999999963</v>
      </c>
      <c r="Q294" s="14"/>
      <c r="R294" s="30">
        <f>IF(P$12=0,0,P294/P$12)</f>
        <v>-0.15413857676664702</v>
      </c>
      <c r="S294" s="14"/>
      <c r="T294" s="32">
        <f>SUM(T291:T293)</f>
        <v>-91923.180000002962</v>
      </c>
      <c r="U294" s="14"/>
      <c r="V294" s="30">
        <f>IF(T$12=0,0,T294/T$12)</f>
        <v>-1.3991215178502079E-2</v>
      </c>
      <c r="W294" s="15"/>
      <c r="X294" s="32">
        <f>+P294-T294</f>
        <v>-472360.54999999667</v>
      </c>
      <c r="Y294" s="15"/>
      <c r="Z294" s="30">
        <f>IF(T294=0,0,X294/T294)</f>
        <v>5.1386445725657168</v>
      </c>
    </row>
    <row r="295" spans="1:26" ht="15.75" thickTop="1" x14ac:dyDescent="0.25">
      <c r="A295" s="9"/>
      <c r="C295" s="9"/>
      <c r="D295" s="17"/>
      <c r="E295" s="17"/>
      <c r="G295" s="17"/>
      <c r="H295" s="17"/>
      <c r="I295" s="17"/>
      <c r="J295" s="43"/>
      <c r="K295" s="17"/>
      <c r="L295" s="17"/>
      <c r="M295" s="17"/>
      <c r="P295" s="17"/>
      <c r="Q295" s="17"/>
      <c r="R295" s="43"/>
      <c r="S295" s="17"/>
      <c r="T295" s="17"/>
      <c r="U295" s="17"/>
      <c r="V295" s="43"/>
      <c r="W295" s="17"/>
      <c r="X295" s="17"/>
    </row>
    <row r="296" spans="1:26" x14ac:dyDescent="0.25">
      <c r="A296" s="9"/>
      <c r="B296" s="54">
        <v>44174.685071527776</v>
      </c>
      <c r="D296" s="17"/>
      <c r="E296" s="17"/>
      <c r="G296" s="17"/>
      <c r="H296" s="17"/>
      <c r="I296" s="17"/>
      <c r="J296" s="43"/>
      <c r="K296" s="17"/>
      <c r="L296" s="17"/>
      <c r="M296" s="17"/>
      <c r="P296" s="17"/>
      <c r="Q296" s="17"/>
      <c r="R296" s="43"/>
      <c r="S296" s="17"/>
      <c r="T296" s="17"/>
      <c r="U296" s="17"/>
      <c r="V296" s="43"/>
      <c r="W296" s="17"/>
      <c r="X296" s="17"/>
    </row>
    <row r="297" spans="1:26" x14ac:dyDescent="0.25">
      <c r="A297" s="9"/>
      <c r="B297" s="56" t="s">
        <v>313</v>
      </c>
      <c r="D297" s="17"/>
      <c r="E297" s="17"/>
      <c r="G297" s="17"/>
      <c r="H297" s="17"/>
      <c r="I297" s="17"/>
      <c r="J297" s="43"/>
      <c r="K297" s="17"/>
      <c r="L297" s="17"/>
      <c r="M297" s="17"/>
      <c r="P297" s="17"/>
      <c r="Q297" s="17"/>
      <c r="R297" s="43"/>
      <c r="S297" s="17"/>
      <c r="T297" s="17"/>
      <c r="U297" s="17"/>
      <c r="V297" s="43"/>
      <c r="W297" s="17"/>
      <c r="X297" s="17"/>
    </row>
    <row r="298" spans="1:26" x14ac:dyDescent="0.25">
      <c r="A298" s="9"/>
      <c r="B298" s="61"/>
      <c r="D298" s="17"/>
      <c r="E298" s="17"/>
      <c r="G298" s="17"/>
      <c r="H298" s="17"/>
      <c r="I298" s="17"/>
      <c r="J298" s="43"/>
      <c r="K298" s="17"/>
      <c r="L298" s="17"/>
      <c r="M298" s="17"/>
      <c r="P298" s="17"/>
      <c r="Q298" s="17"/>
      <c r="R298" s="43"/>
      <c r="S298" s="17"/>
      <c r="T298" s="17"/>
      <c r="U298" s="17"/>
      <c r="V298" s="43"/>
      <c r="W298" s="17"/>
      <c r="X298" s="17"/>
    </row>
    <row r="299" spans="1:26" x14ac:dyDescent="0.25">
      <c r="D299" s="17"/>
      <c r="E299" s="17"/>
      <c r="G299" s="17"/>
      <c r="H299" s="17"/>
      <c r="I299" s="17"/>
      <c r="J299" s="43"/>
      <c r="K299" s="17"/>
      <c r="L299" s="17"/>
      <c r="M299" s="17"/>
      <c r="P299" s="17"/>
      <c r="Q299" s="17"/>
      <c r="R299" s="43"/>
      <c r="S299" s="17"/>
      <c r="T299" s="17"/>
      <c r="U299" s="17"/>
      <c r="V299" s="43"/>
      <c r="W299" s="17"/>
      <c r="X299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","301", " - ", "Bookstore Operations")</f>
        <v>Department 301 - Bookstore Operations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96301.599999999962</v>
      </c>
      <c r="E18" s="21"/>
      <c r="F18" s="35">
        <f t="shared" ref="F18:F28" si="0">IF(D$12=0,0,D18/D$12)</f>
        <v>0</v>
      </c>
      <c r="G18" s="21"/>
      <c r="H18" s="21">
        <f>SUM(OSRRefH22x_0)</f>
        <v>118481.23000000003</v>
      </c>
      <c r="I18" s="21"/>
      <c r="J18" s="35">
        <f t="shared" ref="J18:J28" si="1">IF(H$12=0,0,H18/H$12)</f>
        <v>0</v>
      </c>
      <c r="K18" s="4"/>
      <c r="L18" s="21">
        <f t="shared" ref="L18:L28" si="2">+D18-H18</f>
        <v>-22179.630000000063</v>
      </c>
      <c r="M18" s="4"/>
      <c r="N18" s="35">
        <f t="shared" ref="N18:N28" si="3">IF(H18=0,0,L18/H18)</f>
        <v>-0.18719952519061508</v>
      </c>
      <c r="O18" s="10"/>
      <c r="P18" s="21">
        <f>SUM(OSRRefP22x_0)</f>
        <v>631392.1100000001</v>
      </c>
      <c r="Q18" s="21"/>
      <c r="R18" s="35">
        <f t="shared" ref="R18:R28" si="4">IF(P$12=0,0,P18/P$12)</f>
        <v>0</v>
      </c>
      <c r="S18" s="21"/>
      <c r="T18" s="21">
        <f>SUM(OSRRefT22x_0)</f>
        <v>678488.40000000014</v>
      </c>
      <c r="U18" s="21"/>
      <c r="V18" s="35">
        <f t="shared" ref="V18:V28" si="5">IF(T$12=0,0,T18/T$12)</f>
        <v>0</v>
      </c>
      <c r="W18" s="4"/>
      <c r="X18" s="21">
        <f t="shared" ref="X18:X28" si="6">+P18-T18</f>
        <v>-47096.290000000037</v>
      </c>
      <c r="Y18" s="4"/>
      <c r="Z18" s="35">
        <f t="shared" ref="Z18:Z28" si="7">IF(T18=0,0,X18/T18)</f>
        <v>-6.9413552243487178E-2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7735.4699999999993</v>
      </c>
      <c r="E19" s="1"/>
      <c r="F19" s="5">
        <f t="shared" si="0"/>
        <v>0</v>
      </c>
      <c r="G19" s="1"/>
      <c r="H19" s="1">
        <f>SUM(OSRRefH22_0x_0)</f>
        <v>8912.94</v>
      </c>
      <c r="I19" s="1"/>
      <c r="J19" s="5">
        <f t="shared" si="1"/>
        <v>0</v>
      </c>
      <c r="K19" s="1"/>
      <c r="L19" s="1">
        <f t="shared" si="2"/>
        <v>-1177.4700000000012</v>
      </c>
      <c r="M19" s="1"/>
      <c r="N19" s="5">
        <f t="shared" si="3"/>
        <v>-0.13210792398467858</v>
      </c>
      <c r="O19" s="13"/>
      <c r="P19" s="1">
        <f>SUM(OSRRefP22_0x_0)</f>
        <v>42540.499999999993</v>
      </c>
      <c r="Q19" s="1"/>
      <c r="R19" s="5">
        <f t="shared" si="4"/>
        <v>0</v>
      </c>
      <c r="S19" s="1"/>
      <c r="T19" s="1">
        <f>SUM(OSRRefT22_0x_0)</f>
        <v>71018.77</v>
      </c>
      <c r="U19" s="1"/>
      <c r="V19" s="5">
        <f t="shared" si="5"/>
        <v>0</v>
      </c>
      <c r="W19" s="1"/>
      <c r="X19" s="1">
        <f t="shared" si="6"/>
        <v>-28478.270000000011</v>
      </c>
      <c r="Y19" s="1"/>
      <c r="Z19" s="5">
        <f t="shared" si="7"/>
        <v>-0.40099638447694896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1393.44</v>
      </c>
      <c r="E20" s="2"/>
      <c r="F20" s="7">
        <f t="shared" si="0"/>
        <v>0</v>
      </c>
      <c r="G20" s="2"/>
      <c r="H20" s="6">
        <v>1186.69</v>
      </c>
      <c r="I20" s="2"/>
      <c r="J20" s="7">
        <f t="shared" si="1"/>
        <v>0</v>
      </c>
      <c r="K20" s="2"/>
      <c r="L20" s="6">
        <f t="shared" si="2"/>
        <v>206.75</v>
      </c>
      <c r="M20" s="2"/>
      <c r="N20" s="7">
        <f t="shared" si="3"/>
        <v>0.17422410233506644</v>
      </c>
      <c r="O20" s="11"/>
      <c r="P20" s="6">
        <v>13237.54</v>
      </c>
      <c r="Q20" s="2"/>
      <c r="R20" s="7">
        <f t="shared" si="4"/>
        <v>0</v>
      </c>
      <c r="S20" s="2"/>
      <c r="T20" s="6">
        <v>15724.910000000002</v>
      </c>
      <c r="U20" s="2"/>
      <c r="V20" s="7">
        <f t="shared" si="5"/>
        <v>0</v>
      </c>
      <c r="W20" s="2"/>
      <c r="X20" s="6">
        <f t="shared" si="6"/>
        <v>-2487.3700000000008</v>
      </c>
      <c r="Y20" s="2"/>
      <c r="Z20" s="7">
        <f t="shared" si="7"/>
        <v>-0.15818023759754432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841.14</v>
      </c>
      <c r="E21" s="2"/>
      <c r="F21" s="7">
        <f t="shared" si="0"/>
        <v>0</v>
      </c>
      <c r="G21" s="2"/>
      <c r="H21" s="6">
        <v>436.81</v>
      </c>
      <c r="I21" s="2"/>
      <c r="J21" s="7">
        <f t="shared" si="1"/>
        <v>0</v>
      </c>
      <c r="K21" s="2"/>
      <c r="L21" s="6">
        <f t="shared" si="2"/>
        <v>404.33</v>
      </c>
      <c r="M21" s="2"/>
      <c r="N21" s="7">
        <f t="shared" si="3"/>
        <v>0.92564272795952474</v>
      </c>
      <c r="O21" s="11"/>
      <c r="P21" s="6">
        <v>3787.93</v>
      </c>
      <c r="Q21" s="2"/>
      <c r="R21" s="7">
        <f t="shared" si="4"/>
        <v>0</v>
      </c>
      <c r="S21" s="2"/>
      <c r="T21" s="6">
        <v>2659.1</v>
      </c>
      <c r="U21" s="2"/>
      <c r="V21" s="7">
        <f t="shared" si="5"/>
        <v>0</v>
      </c>
      <c r="W21" s="2"/>
      <c r="X21" s="6">
        <f t="shared" si="6"/>
        <v>1128.83</v>
      </c>
      <c r="Y21" s="2"/>
      <c r="Z21" s="7">
        <f t="shared" si="7"/>
        <v>0.42451581362114998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1588.12</v>
      </c>
      <c r="E22" s="2"/>
      <c r="F22" s="7">
        <f t="shared" si="0"/>
        <v>0</v>
      </c>
      <c r="G22" s="2"/>
      <c r="H22" s="6">
        <v>3107.42</v>
      </c>
      <c r="I22" s="2"/>
      <c r="J22" s="7">
        <f t="shared" si="1"/>
        <v>0</v>
      </c>
      <c r="K22" s="2"/>
      <c r="L22" s="6">
        <f t="shared" si="2"/>
        <v>-1519.3000000000002</v>
      </c>
      <c r="M22" s="2"/>
      <c r="N22" s="7">
        <f t="shared" si="3"/>
        <v>-0.48892650494622553</v>
      </c>
      <c r="O22" s="11"/>
      <c r="P22" s="6">
        <v>8123.78</v>
      </c>
      <c r="Q22" s="2"/>
      <c r="R22" s="7">
        <f t="shared" si="4"/>
        <v>0</v>
      </c>
      <c r="S22" s="2"/>
      <c r="T22" s="6">
        <v>24212.57</v>
      </c>
      <c r="U22" s="2"/>
      <c r="V22" s="7">
        <f t="shared" si="5"/>
        <v>0</v>
      </c>
      <c r="W22" s="2"/>
      <c r="X22" s="6">
        <f t="shared" si="6"/>
        <v>-16088.79</v>
      </c>
      <c r="Y22" s="2"/>
      <c r="Z22" s="7">
        <f t="shared" si="7"/>
        <v>-0.66448088740683042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144.61000000000001</v>
      </c>
      <c r="E23" s="2"/>
      <c r="F23" s="7">
        <f t="shared" si="0"/>
        <v>0</v>
      </c>
      <c r="G23" s="2"/>
      <c r="H23" s="6">
        <v>96.1</v>
      </c>
      <c r="I23" s="2"/>
      <c r="J23" s="7">
        <f t="shared" si="1"/>
        <v>0</v>
      </c>
      <c r="K23" s="2"/>
      <c r="L23" s="6">
        <f t="shared" si="2"/>
        <v>48.510000000000019</v>
      </c>
      <c r="M23" s="2"/>
      <c r="N23" s="7">
        <f t="shared" si="3"/>
        <v>0.50478668054110321</v>
      </c>
      <c r="O23" s="11"/>
      <c r="P23" s="6">
        <v>599.66999999999996</v>
      </c>
      <c r="Q23" s="2"/>
      <c r="R23" s="7">
        <f t="shared" si="4"/>
        <v>0</v>
      </c>
      <c r="S23" s="2"/>
      <c r="T23" s="6">
        <v>721.02</v>
      </c>
      <c r="U23" s="2"/>
      <c r="V23" s="7">
        <f t="shared" si="5"/>
        <v>0</v>
      </c>
      <c r="W23" s="2"/>
      <c r="X23" s="6">
        <f t="shared" si="6"/>
        <v>-121.35000000000002</v>
      </c>
      <c r="Y23" s="2"/>
      <c r="Z23" s="7">
        <f t="shared" si="7"/>
        <v>-0.16830323708080222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1850.14</v>
      </c>
      <c r="E24" s="2"/>
      <c r="F24" s="7">
        <f t="shared" si="0"/>
        <v>0</v>
      </c>
      <c r="G24" s="2"/>
      <c r="H24" s="6">
        <v>1523.65</v>
      </c>
      <c r="I24" s="2"/>
      <c r="J24" s="7">
        <f t="shared" si="1"/>
        <v>0</v>
      </c>
      <c r="K24" s="2"/>
      <c r="L24" s="6">
        <f t="shared" si="2"/>
        <v>326.49</v>
      </c>
      <c r="M24" s="2"/>
      <c r="N24" s="7">
        <f t="shared" si="3"/>
        <v>0.21428149509401764</v>
      </c>
      <c r="O24" s="11"/>
      <c r="P24" s="6">
        <v>6535.86</v>
      </c>
      <c r="Q24" s="2"/>
      <c r="R24" s="7">
        <f t="shared" si="4"/>
        <v>0</v>
      </c>
      <c r="S24" s="2"/>
      <c r="T24" s="6">
        <v>10781.51</v>
      </c>
      <c r="U24" s="2"/>
      <c r="V24" s="7">
        <f t="shared" si="5"/>
        <v>0</v>
      </c>
      <c r="W24" s="2"/>
      <c r="X24" s="6">
        <f t="shared" si="6"/>
        <v>-4245.6500000000005</v>
      </c>
      <c r="Y24" s="2"/>
      <c r="Z24" s="7">
        <f t="shared" si="7"/>
        <v>-0.39378992367488419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401.9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401.9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1008.09</v>
      </c>
      <c r="E26" s="2"/>
      <c r="F26" s="7">
        <f t="shared" si="0"/>
        <v>0</v>
      </c>
      <c r="G26" s="2"/>
      <c r="H26" s="6">
        <v>1450.47</v>
      </c>
      <c r="I26" s="2"/>
      <c r="J26" s="7">
        <f t="shared" si="1"/>
        <v>0</v>
      </c>
      <c r="K26" s="2"/>
      <c r="L26" s="6">
        <f t="shared" si="2"/>
        <v>-442.38</v>
      </c>
      <c r="M26" s="2"/>
      <c r="N26" s="7">
        <f t="shared" si="3"/>
        <v>-0.30499079608678564</v>
      </c>
      <c r="O26" s="11"/>
      <c r="P26" s="6">
        <v>5343.71</v>
      </c>
      <c r="Q26" s="2"/>
      <c r="R26" s="7">
        <f t="shared" si="4"/>
        <v>0</v>
      </c>
      <c r="S26" s="2"/>
      <c r="T26" s="6">
        <v>9372.52</v>
      </c>
      <c r="U26" s="2"/>
      <c r="V26" s="7">
        <f t="shared" si="5"/>
        <v>0</v>
      </c>
      <c r="W26" s="2"/>
      <c r="X26" s="6">
        <f t="shared" si="6"/>
        <v>-4028.8100000000004</v>
      </c>
      <c r="Y26" s="2"/>
      <c r="Z26" s="7">
        <f t="shared" si="7"/>
        <v>-0.42985344389769242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712.99</v>
      </c>
      <c r="E27" s="2"/>
      <c r="F27" s="7">
        <f t="shared" si="0"/>
        <v>0</v>
      </c>
      <c r="G27" s="2"/>
      <c r="H27" s="6">
        <v>828.69</v>
      </c>
      <c r="I27" s="2"/>
      <c r="J27" s="7">
        <f t="shared" si="1"/>
        <v>0</v>
      </c>
      <c r="K27" s="2"/>
      <c r="L27" s="6">
        <f t="shared" si="2"/>
        <v>-115.70000000000005</v>
      </c>
      <c r="M27" s="2"/>
      <c r="N27" s="7">
        <f t="shared" si="3"/>
        <v>-0.13961795122422141</v>
      </c>
      <c r="O27" s="11"/>
      <c r="P27" s="6">
        <v>3628.34</v>
      </c>
      <c r="Q27" s="2"/>
      <c r="R27" s="7">
        <f t="shared" si="4"/>
        <v>0</v>
      </c>
      <c r="S27" s="2"/>
      <c r="T27" s="6">
        <v>5745.44</v>
      </c>
      <c r="U27" s="2"/>
      <c r="V27" s="7">
        <f t="shared" si="5"/>
        <v>0</v>
      </c>
      <c r="W27" s="2"/>
      <c r="X27" s="6">
        <f t="shared" si="6"/>
        <v>-2117.0999999999995</v>
      </c>
      <c r="Y27" s="2"/>
      <c r="Z27" s="7">
        <f t="shared" si="7"/>
        <v>-0.36848352780639942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196.94</v>
      </c>
      <c r="E28" s="2"/>
      <c r="F28" s="7">
        <f t="shared" si="0"/>
        <v>0</v>
      </c>
      <c r="G28" s="2"/>
      <c r="H28" s="6">
        <v>283.11</v>
      </c>
      <c r="I28" s="2"/>
      <c r="J28" s="7">
        <f t="shared" si="1"/>
        <v>0</v>
      </c>
      <c r="K28" s="2"/>
      <c r="L28" s="6">
        <f t="shared" si="2"/>
        <v>-86.170000000000016</v>
      </c>
      <c r="M28" s="2"/>
      <c r="N28" s="7">
        <f t="shared" si="3"/>
        <v>-0.30436932641022929</v>
      </c>
      <c r="O28" s="11"/>
      <c r="P28" s="6">
        <v>881.77</v>
      </c>
      <c r="Q28" s="2"/>
      <c r="R28" s="7">
        <f t="shared" si="4"/>
        <v>0</v>
      </c>
      <c r="S28" s="2"/>
      <c r="T28" s="6">
        <v>1801.7</v>
      </c>
      <c r="U28" s="2"/>
      <c r="V28" s="7">
        <f t="shared" si="5"/>
        <v>0</v>
      </c>
      <c r="W28" s="2"/>
      <c r="X28" s="6">
        <f t="shared" si="6"/>
        <v>-919.93000000000006</v>
      </c>
      <c r="Y28" s="2"/>
      <c r="Z28" s="7">
        <f t="shared" si="7"/>
        <v>-0.51058999833490593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26933.769999999997</v>
      </c>
      <c r="E29" s="1"/>
      <c r="F29" s="5">
        <f t="shared" ref="F29:F36" si="8">IF(D$12=0,0,D29/D$12)</f>
        <v>0</v>
      </c>
      <c r="G29" s="1"/>
      <c r="H29" s="1">
        <f>SUM(OSRRefH22_1x_0)</f>
        <v>34665.620000000003</v>
      </c>
      <c r="I29" s="1"/>
      <c r="J29" s="5">
        <f t="shared" ref="J29:J36" si="9">IF(H$12=0,0,H29/H$12)</f>
        <v>0</v>
      </c>
      <c r="K29" s="1"/>
      <c r="L29" s="1">
        <f t="shared" ref="L29:L36" si="10">+D29-H29</f>
        <v>-7731.8500000000058</v>
      </c>
      <c r="M29" s="1"/>
      <c r="N29" s="5">
        <f t="shared" ref="N29:N36" si="11">IF(H29=0,0,L29/H29)</f>
        <v>-0.22304086873392154</v>
      </c>
      <c r="O29" s="13"/>
      <c r="P29" s="1">
        <f>SUM(OSRRefP22_1x_0)</f>
        <v>208563.39</v>
      </c>
      <c r="Q29" s="1"/>
      <c r="R29" s="5">
        <f t="shared" ref="R29:R36" si="12">IF(P$12=0,0,P29/P$12)</f>
        <v>0</v>
      </c>
      <c r="S29" s="1"/>
      <c r="T29" s="1">
        <f>SUM(OSRRefT22_1x_0)</f>
        <v>246983.82</v>
      </c>
      <c r="U29" s="1"/>
      <c r="V29" s="5">
        <f t="shared" ref="V29:V36" si="13">IF(T$12=0,0,T29/T$12)</f>
        <v>0</v>
      </c>
      <c r="W29" s="1"/>
      <c r="X29" s="1">
        <f t="shared" ref="X29:X36" si="14">+P29-T29</f>
        <v>-38420.429999999993</v>
      </c>
      <c r="Y29" s="1"/>
      <c r="Z29" s="5">
        <f t="shared" ref="Z29:Z36" si="15">IF(T29=0,0,X29/T29)</f>
        <v>-0.15555848962089902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>
        <v>3995.45</v>
      </c>
      <c r="E30" s="2"/>
      <c r="F30" s="7">
        <f t="shared" si="8"/>
        <v>0</v>
      </c>
      <c r="G30" s="2"/>
      <c r="H30" s="6">
        <v>10717.14</v>
      </c>
      <c r="I30" s="2"/>
      <c r="J30" s="7">
        <f t="shared" si="9"/>
        <v>0</v>
      </c>
      <c r="K30" s="2"/>
      <c r="L30" s="6">
        <f t="shared" si="10"/>
        <v>-6721.69</v>
      </c>
      <c r="M30" s="2"/>
      <c r="N30" s="7">
        <f t="shared" si="11"/>
        <v>-0.62719064974424144</v>
      </c>
      <c r="O30" s="11"/>
      <c r="P30" s="6">
        <v>21449.27</v>
      </c>
      <c r="Q30" s="2"/>
      <c r="R30" s="7">
        <f t="shared" si="12"/>
        <v>0</v>
      </c>
      <c r="S30" s="2"/>
      <c r="T30" s="6">
        <v>56800.83</v>
      </c>
      <c r="U30" s="2"/>
      <c r="V30" s="7">
        <f t="shared" si="13"/>
        <v>0</v>
      </c>
      <c r="W30" s="2"/>
      <c r="X30" s="6">
        <f t="shared" si="14"/>
        <v>-35351.56</v>
      </c>
      <c r="Y30" s="2"/>
      <c r="Z30" s="7">
        <f t="shared" si="15"/>
        <v>-0.6223775251171505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>
        <v>7220.99</v>
      </c>
      <c r="E31" s="2"/>
      <c r="F31" s="7">
        <f t="shared" si="8"/>
        <v>0</v>
      </c>
      <c r="G31" s="2"/>
      <c r="H31" s="6">
        <v>6750.86</v>
      </c>
      <c r="I31" s="2"/>
      <c r="J31" s="7">
        <f t="shared" si="9"/>
        <v>0</v>
      </c>
      <c r="K31" s="2"/>
      <c r="L31" s="6">
        <f t="shared" si="10"/>
        <v>470.13000000000011</v>
      </c>
      <c r="M31" s="2"/>
      <c r="N31" s="7">
        <f t="shared" si="11"/>
        <v>6.9640016234968599E-2</v>
      </c>
      <c r="O31" s="11"/>
      <c r="P31" s="6">
        <v>42995.360000000001</v>
      </c>
      <c r="Q31" s="2"/>
      <c r="R31" s="7">
        <f t="shared" si="12"/>
        <v>0</v>
      </c>
      <c r="S31" s="2"/>
      <c r="T31" s="6">
        <v>42998.83</v>
      </c>
      <c r="U31" s="2"/>
      <c r="V31" s="7">
        <f t="shared" si="13"/>
        <v>0</v>
      </c>
      <c r="W31" s="2"/>
      <c r="X31" s="6">
        <f t="shared" si="14"/>
        <v>-3.4700000000011642</v>
      </c>
      <c r="Y31" s="2"/>
      <c r="Z31" s="7">
        <f t="shared" si="15"/>
        <v>-8.0699870205797782E-5</v>
      </c>
    </row>
    <row r="32" spans="1:26" s="24" customFormat="1" hidden="1" outlineLevel="2" x14ac:dyDescent="0.25">
      <c r="A32" s="25"/>
      <c r="B32" s="11" t="str">
        <f>CONCATENATE("          ", "6004", " - ", "STAFF HOURLY")</f>
        <v xml:space="preserve">          6004 - STAFF HOURLY</v>
      </c>
      <c r="C32" s="11"/>
      <c r="D32" s="6">
        <v>1330.8</v>
      </c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1330.8</v>
      </c>
      <c r="M32" s="2"/>
      <c r="N32" s="7">
        <f t="shared" si="11"/>
        <v>0</v>
      </c>
      <c r="O32" s="11"/>
      <c r="P32" s="6">
        <v>4796.3999999999996</v>
      </c>
      <c r="Q32" s="2"/>
      <c r="R32" s="7">
        <f t="shared" si="12"/>
        <v>0</v>
      </c>
      <c r="S32" s="2"/>
      <c r="T32" s="6">
        <v>-1647.01</v>
      </c>
      <c r="U32" s="2"/>
      <c r="V32" s="7">
        <f t="shared" si="13"/>
        <v>0</v>
      </c>
      <c r="W32" s="2"/>
      <c r="X32" s="6">
        <f t="shared" si="14"/>
        <v>6443.41</v>
      </c>
      <c r="Y32" s="2"/>
      <c r="Z32" s="7">
        <f t="shared" si="15"/>
        <v>-3.912186325523221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6">
        <v>2492.1799999999998</v>
      </c>
      <c r="E33" s="2"/>
      <c r="F33" s="7">
        <f t="shared" si="8"/>
        <v>0</v>
      </c>
      <c r="G33" s="2"/>
      <c r="H33" s="6">
        <v>5177.5</v>
      </c>
      <c r="I33" s="2"/>
      <c r="J33" s="7">
        <f t="shared" si="9"/>
        <v>0</v>
      </c>
      <c r="K33" s="2"/>
      <c r="L33" s="6">
        <f t="shared" si="10"/>
        <v>-2685.32</v>
      </c>
      <c r="M33" s="2"/>
      <c r="N33" s="7">
        <f t="shared" si="11"/>
        <v>-0.51865185900531152</v>
      </c>
      <c r="O33" s="11"/>
      <c r="P33" s="6">
        <v>43578.75</v>
      </c>
      <c r="Q33" s="2"/>
      <c r="R33" s="7">
        <f t="shared" si="12"/>
        <v>0</v>
      </c>
      <c r="S33" s="2"/>
      <c r="T33" s="6">
        <v>37938.060000000005</v>
      </c>
      <c r="U33" s="2"/>
      <c r="V33" s="7">
        <f t="shared" si="13"/>
        <v>0</v>
      </c>
      <c r="W33" s="2"/>
      <c r="X33" s="6">
        <f t="shared" si="14"/>
        <v>5640.6899999999951</v>
      </c>
      <c r="Y33" s="2"/>
      <c r="Z33" s="7">
        <f t="shared" si="15"/>
        <v>0.14868156147151421</v>
      </c>
    </row>
    <row r="34" spans="1:26" s="24" customFormat="1" hidden="1" outlineLevel="2" x14ac:dyDescent="0.25">
      <c r="A34" s="25"/>
      <c r="B34" s="11" t="str">
        <f>CONCATENATE("          ", "6006", " - ", "TEMPORARY PART TIME")</f>
        <v xml:space="preserve">          6006 - TEMPORARY PART TIME</v>
      </c>
      <c r="C34" s="11"/>
      <c r="D34" s="6">
        <v>1048.44</v>
      </c>
      <c r="E34" s="2"/>
      <c r="F34" s="7">
        <f t="shared" si="8"/>
        <v>0</v>
      </c>
      <c r="G34" s="2"/>
      <c r="H34" s="6">
        <v>1105.75</v>
      </c>
      <c r="I34" s="2"/>
      <c r="J34" s="7">
        <f t="shared" si="9"/>
        <v>0</v>
      </c>
      <c r="K34" s="2"/>
      <c r="L34" s="6">
        <f t="shared" si="10"/>
        <v>-57.309999999999945</v>
      </c>
      <c r="M34" s="2"/>
      <c r="N34" s="7">
        <f t="shared" si="11"/>
        <v>-5.182907528826583E-2</v>
      </c>
      <c r="O34" s="11"/>
      <c r="P34" s="6">
        <v>8053.32</v>
      </c>
      <c r="Q34" s="2"/>
      <c r="R34" s="7">
        <f t="shared" si="12"/>
        <v>0</v>
      </c>
      <c r="S34" s="2"/>
      <c r="T34" s="6">
        <v>10601.01</v>
      </c>
      <c r="U34" s="2"/>
      <c r="V34" s="7">
        <f t="shared" si="13"/>
        <v>0</v>
      </c>
      <c r="W34" s="2"/>
      <c r="X34" s="6">
        <f t="shared" si="14"/>
        <v>-2547.6900000000005</v>
      </c>
      <c r="Y34" s="2"/>
      <c r="Z34" s="7">
        <f t="shared" si="15"/>
        <v>-0.24032521429561904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6">
        <v>10845.91</v>
      </c>
      <c r="E35" s="2"/>
      <c r="F35" s="7">
        <f t="shared" si="8"/>
        <v>0</v>
      </c>
      <c r="G35" s="2"/>
      <c r="H35" s="6">
        <v>10914.37</v>
      </c>
      <c r="I35" s="2"/>
      <c r="J35" s="7">
        <f t="shared" si="9"/>
        <v>0</v>
      </c>
      <c r="K35" s="2"/>
      <c r="L35" s="6">
        <f t="shared" si="10"/>
        <v>-68.460000000000946</v>
      </c>
      <c r="M35" s="2"/>
      <c r="N35" s="7">
        <f t="shared" si="11"/>
        <v>-6.2724646498149633E-3</v>
      </c>
      <c r="O35" s="11"/>
      <c r="P35" s="6">
        <v>87690.290000000008</v>
      </c>
      <c r="Q35" s="2"/>
      <c r="R35" s="7">
        <f t="shared" si="12"/>
        <v>0</v>
      </c>
      <c r="S35" s="2"/>
      <c r="T35" s="6">
        <v>99740.099999999991</v>
      </c>
      <c r="U35" s="2"/>
      <c r="V35" s="7">
        <f t="shared" si="13"/>
        <v>0</v>
      </c>
      <c r="W35" s="2"/>
      <c r="X35" s="6">
        <f t="shared" si="14"/>
        <v>-12049.809999999983</v>
      </c>
      <c r="Y35" s="2"/>
      <c r="Z35" s="7">
        <f t="shared" si="15"/>
        <v>-0.12081209062353039</v>
      </c>
    </row>
    <row r="36" spans="1:26" s="24" customFormat="1" hidden="1" outlineLevel="2" x14ac:dyDescent="0.25">
      <c r="A36" s="25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552</v>
      </c>
      <c r="U36" s="2"/>
      <c r="V36" s="7">
        <f t="shared" si="13"/>
        <v>0</v>
      </c>
      <c r="W36" s="2"/>
      <c r="X36" s="6">
        <f t="shared" si="14"/>
        <v>-552</v>
      </c>
      <c r="Y36" s="2"/>
      <c r="Z36" s="7">
        <f t="shared" si="15"/>
        <v>-1</v>
      </c>
    </row>
    <row r="37" spans="1:26" s="26" customFormat="1" outlineLevel="1" collapsed="1" x14ac:dyDescent="0.25">
      <c r="A37" s="27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100</v>
      </c>
      <c r="E37" s="1"/>
      <c r="F37" s="5">
        <f t="shared" ref="F37:F41" si="16">IF(D$12=0,0,D37/D$12)</f>
        <v>0</v>
      </c>
      <c r="G37" s="1"/>
      <c r="H37" s="1">
        <f>SUM(OSRRefH22_2x_0)</f>
        <v>9869.15</v>
      </c>
      <c r="I37" s="1"/>
      <c r="J37" s="5">
        <f t="shared" ref="J37:J41" si="17">IF(H$12=0,0,H37/H$12)</f>
        <v>0</v>
      </c>
      <c r="K37" s="1"/>
      <c r="L37" s="1">
        <f t="shared" ref="L37:L41" si="18">+D37-H37</f>
        <v>-9769.15</v>
      </c>
      <c r="M37" s="1"/>
      <c r="N37" s="5">
        <f t="shared" ref="N37:N41" si="19">IF(H37=0,0,L37/H37)</f>
        <v>-0.98986741512693599</v>
      </c>
      <c r="O37" s="13"/>
      <c r="P37" s="1">
        <f>SUM(OSRRefP22_2x_0)</f>
        <v>100</v>
      </c>
      <c r="Q37" s="1"/>
      <c r="R37" s="5">
        <f t="shared" ref="R37:R41" si="20">IF(P$12=0,0,P37/P$12)</f>
        <v>0</v>
      </c>
      <c r="S37" s="1"/>
      <c r="T37" s="1">
        <f>SUM(OSRRefT22_2x_0)</f>
        <v>17201.7</v>
      </c>
      <c r="U37" s="1"/>
      <c r="V37" s="5">
        <f t="shared" ref="V37:V41" si="21">IF(T$12=0,0,T37/T$12)</f>
        <v>0</v>
      </c>
      <c r="W37" s="1"/>
      <c r="X37" s="1">
        <f t="shared" ref="X37:X41" si="22">+P37-T37</f>
        <v>-17101.7</v>
      </c>
      <c r="Y37" s="1"/>
      <c r="Z37" s="5">
        <f t="shared" ref="Z37:Z41" si="23">IF(T37=0,0,X37/T37)</f>
        <v>-0.99418662108977596</v>
      </c>
    </row>
    <row r="38" spans="1:26" s="24" customFormat="1" hidden="1" outlineLevel="2" x14ac:dyDescent="0.25">
      <c r="A38" s="25"/>
      <c r="B38" s="11" t="str">
        <f>CONCATENATE("          ", "6362", " - ", "ADVERTISING EXPENSE")</f>
        <v xml:space="preserve">          6362 - ADVERTISING EXPENSE</v>
      </c>
      <c r="C38" s="11"/>
      <c r="D38" s="6">
        <v>100</v>
      </c>
      <c r="E38" s="2"/>
      <c r="F38" s="7">
        <f t="shared" si="16"/>
        <v>0</v>
      </c>
      <c r="G38" s="2"/>
      <c r="H38" s="6">
        <v>9869.15</v>
      </c>
      <c r="I38" s="2"/>
      <c r="J38" s="7">
        <f t="shared" si="17"/>
        <v>0</v>
      </c>
      <c r="K38" s="2"/>
      <c r="L38" s="6">
        <f t="shared" si="18"/>
        <v>-9769.15</v>
      </c>
      <c r="M38" s="2"/>
      <c r="N38" s="7">
        <f t="shared" si="19"/>
        <v>-0.98986741512693599</v>
      </c>
      <c r="O38" s="11"/>
      <c r="P38" s="6">
        <v>100</v>
      </c>
      <c r="Q38" s="2"/>
      <c r="R38" s="7">
        <f t="shared" si="20"/>
        <v>0</v>
      </c>
      <c r="S38" s="2"/>
      <c r="T38" s="6">
        <v>17201.7</v>
      </c>
      <c r="U38" s="2"/>
      <c r="V38" s="7">
        <f t="shared" si="21"/>
        <v>0</v>
      </c>
      <c r="W38" s="2"/>
      <c r="X38" s="6">
        <f t="shared" si="22"/>
        <v>-17101.7</v>
      </c>
      <c r="Y38" s="2"/>
      <c r="Z38" s="7">
        <f t="shared" si="23"/>
        <v>-0.99418662108977596</v>
      </c>
    </row>
    <row r="39" spans="1:26" s="26" customFormat="1" outlineLevel="1" collapsed="1" x14ac:dyDescent="0.25">
      <c r="A39" s="27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1.22</v>
      </c>
      <c r="E39" s="1"/>
      <c r="F39" s="5">
        <f t="shared" si="16"/>
        <v>0</v>
      </c>
      <c r="G39" s="1"/>
      <c r="H39" s="1">
        <f>SUM(OSRRefH22_3x_0)</f>
        <v>145.66</v>
      </c>
      <c r="I39" s="1"/>
      <c r="J39" s="5">
        <f t="shared" si="17"/>
        <v>0</v>
      </c>
      <c r="K39" s="1"/>
      <c r="L39" s="1">
        <f t="shared" si="18"/>
        <v>-144.44</v>
      </c>
      <c r="M39" s="1"/>
      <c r="N39" s="5">
        <f t="shared" si="19"/>
        <v>-0.99162433063298094</v>
      </c>
      <c r="O39" s="13"/>
      <c r="P39" s="1">
        <f>SUM(OSRRefP22_3x_0)</f>
        <v>51.21</v>
      </c>
      <c r="Q39" s="1"/>
      <c r="R39" s="5">
        <f t="shared" si="20"/>
        <v>0</v>
      </c>
      <c r="S39" s="1"/>
      <c r="T39" s="1">
        <f>SUM(OSRRefT22_3x_0)</f>
        <v>92.539999999999992</v>
      </c>
      <c r="U39" s="1"/>
      <c r="V39" s="5">
        <f t="shared" si="21"/>
        <v>0</v>
      </c>
      <c r="W39" s="1"/>
      <c r="X39" s="1">
        <f t="shared" si="22"/>
        <v>-41.329999999999991</v>
      </c>
      <c r="Y39" s="1"/>
      <c r="Z39" s="5">
        <f t="shared" si="23"/>
        <v>-0.44661767884158199</v>
      </c>
    </row>
    <row r="40" spans="1:26" s="24" customFormat="1" hidden="1" outlineLevel="2" x14ac:dyDescent="0.25">
      <c r="A40" s="25"/>
      <c r="B40" s="11" t="str">
        <f>CONCATENATE("          ", "6272", " - ", "CASH (OVER/SHORT)")</f>
        <v xml:space="preserve">          6272 - CASH (OVER/SHORT)</v>
      </c>
      <c r="C40" s="11"/>
      <c r="D40" s="6">
        <v>1.22</v>
      </c>
      <c r="E40" s="2"/>
      <c r="F40" s="7">
        <f t="shared" si="16"/>
        <v>0</v>
      </c>
      <c r="G40" s="2"/>
      <c r="H40" s="6">
        <v>145.66</v>
      </c>
      <c r="I40" s="2"/>
      <c r="J40" s="7">
        <f t="shared" si="17"/>
        <v>0</v>
      </c>
      <c r="K40" s="2"/>
      <c r="L40" s="6">
        <f t="shared" si="18"/>
        <v>-144.44</v>
      </c>
      <c r="M40" s="2"/>
      <c r="N40" s="7">
        <f t="shared" si="19"/>
        <v>-0.99162433063298094</v>
      </c>
      <c r="O40" s="11"/>
      <c r="P40" s="6">
        <v>51.21</v>
      </c>
      <c r="Q40" s="2"/>
      <c r="R40" s="7">
        <f t="shared" si="20"/>
        <v>0</v>
      </c>
      <c r="S40" s="2"/>
      <c r="T40" s="6">
        <v>47.74</v>
      </c>
      <c r="U40" s="2"/>
      <c r="V40" s="7">
        <f t="shared" si="21"/>
        <v>0</v>
      </c>
      <c r="W40" s="2"/>
      <c r="X40" s="6">
        <f t="shared" si="22"/>
        <v>3.4699999999999989</v>
      </c>
      <c r="Y40" s="2"/>
      <c r="Z40" s="7">
        <f t="shared" si="23"/>
        <v>7.2685379136992009E-2</v>
      </c>
    </row>
    <row r="41" spans="1:26" s="24" customFormat="1" hidden="1" outlineLevel="2" x14ac:dyDescent="0.25">
      <c r="A41" s="25"/>
      <c r="B41" s="11" t="str">
        <f>CONCATENATE("          ", "6342", " - ", "BAD DEBT")</f>
        <v xml:space="preserve">          6342 - BAD DEBT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/>
      <c r="Q41" s="2"/>
      <c r="R41" s="7">
        <f t="shared" si="20"/>
        <v>0</v>
      </c>
      <c r="S41" s="2"/>
      <c r="T41" s="6">
        <v>44.8</v>
      </c>
      <c r="U41" s="2"/>
      <c r="V41" s="7">
        <f t="shared" si="21"/>
        <v>0</v>
      </c>
      <c r="W41" s="2"/>
      <c r="X41" s="6">
        <f t="shared" si="22"/>
        <v>-44.8</v>
      </c>
      <c r="Y41" s="2"/>
      <c r="Z41" s="7">
        <f t="shared" si="23"/>
        <v>-1</v>
      </c>
    </row>
    <row r="42" spans="1:26" s="26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2127.38</v>
      </c>
      <c r="E42" s="1"/>
      <c r="F42" s="5">
        <f t="shared" ref="F42:F46" si="24">IF(D$12=0,0,D42/D$12)</f>
        <v>0</v>
      </c>
      <c r="G42" s="1"/>
      <c r="H42" s="1">
        <f>SUM(OSRRefH22_4x_0)</f>
        <v>10122.969999999999</v>
      </c>
      <c r="I42" s="1"/>
      <c r="J42" s="5">
        <f t="shared" ref="J42:J46" si="25">IF(H$12=0,0,H42/H$12)</f>
        <v>0</v>
      </c>
      <c r="K42" s="1"/>
      <c r="L42" s="1">
        <f t="shared" ref="L42:L46" si="26">+D42-H42</f>
        <v>-7995.5899999999992</v>
      </c>
      <c r="M42" s="1"/>
      <c r="N42" s="5">
        <f t="shared" ref="N42:N46" si="27">IF(H42=0,0,L42/H42)</f>
        <v>-0.78984626053421081</v>
      </c>
      <c r="O42" s="13"/>
      <c r="P42" s="1">
        <f>SUM(OSRRefP22_4x_0)</f>
        <v>39909.46</v>
      </c>
      <c r="Q42" s="1"/>
      <c r="R42" s="5">
        <f t="shared" ref="R42:R46" si="28">IF(P$12=0,0,P42/P$12)</f>
        <v>0</v>
      </c>
      <c r="S42" s="1"/>
      <c r="T42" s="1">
        <f>SUM(OSRRefT22_4x_0)</f>
        <v>78882.75</v>
      </c>
      <c r="U42" s="1"/>
      <c r="V42" s="5">
        <f t="shared" ref="V42:V46" si="29">IF(T$12=0,0,T42/T$12)</f>
        <v>0</v>
      </c>
      <c r="W42" s="1"/>
      <c r="X42" s="1">
        <f t="shared" ref="X42:X46" si="30">+P42-T42</f>
        <v>-38973.29</v>
      </c>
      <c r="Y42" s="1"/>
      <c r="Z42" s="5">
        <f t="shared" ref="Z42:Z46" si="31">IF(T42=0,0,X42/T42)</f>
        <v>-0.49406606640868883</v>
      </c>
    </row>
    <row r="43" spans="1:26" s="24" customFormat="1" hidden="1" outlineLevel="2" x14ac:dyDescent="0.25">
      <c r="A43" s="25"/>
      <c r="B43" s="11" t="str">
        <f>CONCATENATE("          ", "6381", " - ", "BANK/CREDIT CARD FEES")</f>
        <v xml:space="preserve">          6381 - BANK/CREDIT CARD FEES</v>
      </c>
      <c r="C43" s="11"/>
      <c r="D43" s="6">
        <v>2127.38</v>
      </c>
      <c r="E43" s="2"/>
      <c r="F43" s="7">
        <f t="shared" si="24"/>
        <v>0</v>
      </c>
      <c r="G43" s="2"/>
      <c r="H43" s="6">
        <v>10122.969999999999</v>
      </c>
      <c r="I43" s="2"/>
      <c r="J43" s="7">
        <f t="shared" si="25"/>
        <v>0</v>
      </c>
      <c r="K43" s="2"/>
      <c r="L43" s="6">
        <f t="shared" si="26"/>
        <v>-7995.5899999999992</v>
      </c>
      <c r="M43" s="2"/>
      <c r="N43" s="7">
        <f t="shared" si="27"/>
        <v>-0.78984626053421081</v>
      </c>
      <c r="O43" s="11"/>
      <c r="P43" s="6">
        <v>39909.46</v>
      </c>
      <c r="Q43" s="2"/>
      <c r="R43" s="7">
        <f t="shared" si="28"/>
        <v>0</v>
      </c>
      <c r="S43" s="2"/>
      <c r="T43" s="6">
        <v>78882.75</v>
      </c>
      <c r="U43" s="2"/>
      <c r="V43" s="7">
        <f t="shared" si="29"/>
        <v>0</v>
      </c>
      <c r="W43" s="2"/>
      <c r="X43" s="6">
        <f t="shared" si="30"/>
        <v>-38973.29</v>
      </c>
      <c r="Y43" s="2"/>
      <c r="Z43" s="7">
        <f t="shared" si="31"/>
        <v>-0.49406606640868883</v>
      </c>
    </row>
    <row r="44" spans="1:26" s="26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30565.97</v>
      </c>
      <c r="E44" s="1"/>
      <c r="F44" s="5">
        <f t="shared" si="24"/>
        <v>0</v>
      </c>
      <c r="G44" s="1"/>
      <c r="H44" s="1">
        <f>SUM(OSRRefH22_5x_0)</f>
        <v>29607.43</v>
      </c>
      <c r="I44" s="1"/>
      <c r="J44" s="5">
        <f t="shared" si="25"/>
        <v>0</v>
      </c>
      <c r="K44" s="1"/>
      <c r="L44" s="1">
        <f t="shared" si="26"/>
        <v>958.54000000000087</v>
      </c>
      <c r="M44" s="1"/>
      <c r="N44" s="5">
        <f t="shared" si="27"/>
        <v>3.2374981550239275E-2</v>
      </c>
      <c r="O44" s="13"/>
      <c r="P44" s="1">
        <f>SUM(OSRRefP22_5x_0)</f>
        <v>153125.33999999997</v>
      </c>
      <c r="Q44" s="1"/>
      <c r="R44" s="5">
        <f t="shared" si="28"/>
        <v>0</v>
      </c>
      <c r="S44" s="1"/>
      <c r="T44" s="1">
        <f>SUM(OSRRefT22_5x_0)</f>
        <v>148037.15</v>
      </c>
      <c r="U44" s="1"/>
      <c r="V44" s="5">
        <f t="shared" si="29"/>
        <v>0</v>
      </c>
      <c r="W44" s="1"/>
      <c r="X44" s="1">
        <f t="shared" si="30"/>
        <v>5088.1899999999732</v>
      </c>
      <c r="Y44" s="1"/>
      <c r="Z44" s="5">
        <f t="shared" si="31"/>
        <v>3.4371034568011972E-2</v>
      </c>
    </row>
    <row r="45" spans="1:26" s="24" customFormat="1" hidden="1" outlineLevel="2" x14ac:dyDescent="0.25">
      <c r="A45" s="25"/>
      <c r="B45" s="11" t="str">
        <f>CONCATENATE("          ", "6321", " - ", "BUILDING DEPRECIATION")</f>
        <v xml:space="preserve">          6321 - BUILDING DEPRECIATION</v>
      </c>
      <c r="C45" s="11"/>
      <c r="D45" s="6">
        <v>16396.52</v>
      </c>
      <c r="E45" s="2"/>
      <c r="F45" s="7">
        <f t="shared" si="24"/>
        <v>0</v>
      </c>
      <c r="G45" s="2"/>
      <c r="H45" s="6">
        <v>16396.52</v>
      </c>
      <c r="I45" s="2"/>
      <c r="J45" s="7">
        <f t="shared" si="25"/>
        <v>0</v>
      </c>
      <c r="K45" s="2"/>
      <c r="L45" s="6">
        <f t="shared" si="26"/>
        <v>0</v>
      </c>
      <c r="M45" s="2"/>
      <c r="N45" s="7">
        <f t="shared" si="27"/>
        <v>0</v>
      </c>
      <c r="O45" s="11"/>
      <c r="P45" s="6">
        <v>81982.599999999991</v>
      </c>
      <c r="Q45" s="2"/>
      <c r="R45" s="7">
        <f t="shared" si="28"/>
        <v>0</v>
      </c>
      <c r="S45" s="2"/>
      <c r="T45" s="6">
        <v>81982.599999999991</v>
      </c>
      <c r="U45" s="2"/>
      <c r="V45" s="7">
        <f t="shared" si="29"/>
        <v>0</v>
      </c>
      <c r="W45" s="2"/>
      <c r="X45" s="6">
        <f t="shared" si="30"/>
        <v>0</v>
      </c>
      <c r="Y45" s="2"/>
      <c r="Z45" s="7">
        <f t="shared" si="31"/>
        <v>0</v>
      </c>
    </row>
    <row r="46" spans="1:26" s="24" customFormat="1" hidden="1" outlineLevel="2" x14ac:dyDescent="0.25">
      <c r="A46" s="25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14169.45</v>
      </c>
      <c r="E46" s="2"/>
      <c r="F46" s="7">
        <f t="shared" si="24"/>
        <v>0</v>
      </c>
      <c r="G46" s="2"/>
      <c r="H46" s="6">
        <v>13210.91</v>
      </c>
      <c r="I46" s="2"/>
      <c r="J46" s="7">
        <f t="shared" si="25"/>
        <v>0</v>
      </c>
      <c r="K46" s="2"/>
      <c r="L46" s="6">
        <f t="shared" si="26"/>
        <v>958.54000000000087</v>
      </c>
      <c r="M46" s="2"/>
      <c r="N46" s="7">
        <f t="shared" si="27"/>
        <v>7.2556697456874722E-2</v>
      </c>
      <c r="O46" s="11"/>
      <c r="P46" s="6">
        <v>71142.739999999991</v>
      </c>
      <c r="Q46" s="2"/>
      <c r="R46" s="7">
        <f t="shared" si="28"/>
        <v>0</v>
      </c>
      <c r="S46" s="2"/>
      <c r="T46" s="6">
        <v>66054.55</v>
      </c>
      <c r="U46" s="2"/>
      <c r="V46" s="7">
        <f t="shared" si="29"/>
        <v>0</v>
      </c>
      <c r="W46" s="2"/>
      <c r="X46" s="6">
        <f t="shared" si="30"/>
        <v>5088.1899999999878</v>
      </c>
      <c r="Y46" s="2"/>
      <c r="Z46" s="7">
        <f t="shared" si="31"/>
        <v>7.7030121316396638E-2</v>
      </c>
    </row>
    <row r="47" spans="1:26" s="26" customFormat="1" outlineLevel="1" collapsed="1" x14ac:dyDescent="0.25">
      <c r="A47" s="27"/>
      <c r="B47" s="13" t="str">
        <f>CONCATENATE("     ","Discounts and Markdowns                           ")</f>
        <v xml:space="preserve">     Discounts and Markdowns                           </v>
      </c>
      <c r="C47" s="13"/>
      <c r="D47" s="1">
        <f>SUM(OSRRefD22_6x_0)</f>
        <v>0</v>
      </c>
      <c r="E47" s="1"/>
      <c r="F47" s="5">
        <f t="shared" ref="F47:F49" si="32">IF(D$12=0,0,D47/D$12)</f>
        <v>0</v>
      </c>
      <c r="G47" s="1"/>
      <c r="H47" s="1">
        <f>SUM(OSRRefH22_6x_0)</f>
        <v>-432.07</v>
      </c>
      <c r="I47" s="1"/>
      <c r="J47" s="5">
        <f t="shared" ref="J47:J49" si="33">IF(H$12=0,0,H47/H$12)</f>
        <v>0</v>
      </c>
      <c r="K47" s="1"/>
      <c r="L47" s="1">
        <f t="shared" ref="L47:L49" si="34">+D47-H47</f>
        <v>432.07</v>
      </c>
      <c r="M47" s="1"/>
      <c r="N47" s="5">
        <f t="shared" ref="N47:N49" si="35">IF(H47=0,0,L47/H47)</f>
        <v>-1</v>
      </c>
      <c r="O47" s="13"/>
      <c r="P47" s="1">
        <f>SUM(OSRRefP22_6x_0)</f>
        <v>0</v>
      </c>
      <c r="Q47" s="1"/>
      <c r="R47" s="5">
        <f t="shared" ref="R47:R49" si="36">IF(P$12=0,0,P47/P$12)</f>
        <v>0</v>
      </c>
      <c r="S47" s="1"/>
      <c r="T47" s="1">
        <f>SUM(OSRRefT22_6x_0)</f>
        <v>-1589.75</v>
      </c>
      <c r="U47" s="1"/>
      <c r="V47" s="5">
        <f t="shared" ref="V47:V49" si="37">IF(T$12=0,0,T47/T$12)</f>
        <v>0</v>
      </c>
      <c r="W47" s="1"/>
      <c r="X47" s="1">
        <f t="shared" ref="X47:X49" si="38">+P47-T47</f>
        <v>1589.75</v>
      </c>
      <c r="Y47" s="1"/>
      <c r="Z47" s="5">
        <f t="shared" ref="Z47:Z49" si="39">IF(T47=0,0,X47/T47)</f>
        <v>-1</v>
      </c>
    </row>
    <row r="48" spans="1:26" s="24" customFormat="1" hidden="1" outlineLevel="2" x14ac:dyDescent="0.25">
      <c r="A48" s="25"/>
      <c r="B48" s="11" t="str">
        <f>CONCATENATE("          ", "6382", " - ", "DISCOUNTS/MARK DOWNS")</f>
        <v xml:space="preserve">          6382 - DISCOUNTS/MARK DOWNS</v>
      </c>
      <c r="C48" s="11"/>
      <c r="D48" s="6"/>
      <c r="E48" s="2"/>
      <c r="F48" s="7">
        <f t="shared" si="32"/>
        <v>0</v>
      </c>
      <c r="G48" s="2"/>
      <c r="H48" s="6">
        <v>4</v>
      </c>
      <c r="I48" s="2"/>
      <c r="J48" s="7">
        <f t="shared" si="33"/>
        <v>0</v>
      </c>
      <c r="K48" s="2"/>
      <c r="L48" s="6">
        <f t="shared" si="34"/>
        <v>-4</v>
      </c>
      <c r="M48" s="2"/>
      <c r="N48" s="7">
        <f t="shared" si="35"/>
        <v>-1</v>
      </c>
      <c r="O48" s="11"/>
      <c r="P48" s="6"/>
      <c r="Q48" s="2"/>
      <c r="R48" s="7">
        <f t="shared" si="36"/>
        <v>0</v>
      </c>
      <c r="S48" s="2"/>
      <c r="T48" s="6">
        <v>334.4</v>
      </c>
      <c r="U48" s="2"/>
      <c r="V48" s="7">
        <f t="shared" si="37"/>
        <v>0</v>
      </c>
      <c r="W48" s="2"/>
      <c r="X48" s="6">
        <f t="shared" si="38"/>
        <v>-334.4</v>
      </c>
      <c r="Y48" s="2"/>
      <c r="Z48" s="7">
        <f t="shared" si="39"/>
        <v>-1</v>
      </c>
    </row>
    <row r="49" spans="1:26" s="24" customFormat="1" hidden="1" outlineLevel="2" x14ac:dyDescent="0.25">
      <c r="A49" s="25"/>
      <c r="B49" s="11" t="str">
        <f>CONCATENATE("          ", "9175", " - ", "EARNED DISCOUNTS")</f>
        <v xml:space="preserve">          9175 - EARNED DISCOUNTS</v>
      </c>
      <c r="C49" s="11"/>
      <c r="D49" s="6"/>
      <c r="E49" s="2"/>
      <c r="F49" s="7">
        <f t="shared" si="32"/>
        <v>0</v>
      </c>
      <c r="G49" s="2"/>
      <c r="H49" s="6">
        <v>-436.07</v>
      </c>
      <c r="I49" s="2"/>
      <c r="J49" s="7">
        <f t="shared" si="33"/>
        <v>0</v>
      </c>
      <c r="K49" s="2"/>
      <c r="L49" s="6">
        <f t="shared" si="34"/>
        <v>436.07</v>
      </c>
      <c r="M49" s="2"/>
      <c r="N49" s="7">
        <f t="shared" si="35"/>
        <v>-1</v>
      </c>
      <c r="O49" s="11"/>
      <c r="P49" s="6"/>
      <c r="Q49" s="2"/>
      <c r="R49" s="7">
        <f t="shared" si="36"/>
        <v>0</v>
      </c>
      <c r="S49" s="2"/>
      <c r="T49" s="6">
        <v>-1924.15</v>
      </c>
      <c r="U49" s="2"/>
      <c r="V49" s="7">
        <f t="shared" si="37"/>
        <v>0</v>
      </c>
      <c r="W49" s="2"/>
      <c r="X49" s="6">
        <f t="shared" si="38"/>
        <v>1924.15</v>
      </c>
      <c r="Y49" s="2"/>
      <c r="Z49" s="7">
        <f t="shared" si="39"/>
        <v>-1</v>
      </c>
    </row>
    <row r="50" spans="1:26" s="26" customFormat="1" outlineLevel="1" collapsed="1" x14ac:dyDescent="0.25">
      <c r="A50" s="27"/>
      <c r="B50" s="13" t="str">
        <f>CONCATENATE("     ","Donations                                         ")</f>
        <v xml:space="preserve">     Donations                                         </v>
      </c>
      <c r="C50" s="13"/>
      <c r="D50" s="1">
        <f>SUM(OSRRefD22_7x_0)</f>
        <v>0</v>
      </c>
      <c r="E50" s="1"/>
      <c r="F50" s="5">
        <f t="shared" ref="F50:F70" si="40">IF(D$12=0,0,D50/D$12)</f>
        <v>0</v>
      </c>
      <c r="G50" s="1"/>
      <c r="H50" s="1">
        <f>SUM(OSRRefH22_7x_0)</f>
        <v>3415.9</v>
      </c>
      <c r="I50" s="1"/>
      <c r="J50" s="5">
        <f t="shared" ref="J50:J70" si="41">IF(H$12=0,0,H50/H$12)</f>
        <v>0</v>
      </c>
      <c r="K50" s="1"/>
      <c r="L50" s="1">
        <f t="shared" ref="L50:L70" si="42">+D50-H50</f>
        <v>-3415.9</v>
      </c>
      <c r="M50" s="1"/>
      <c r="N50" s="5">
        <f t="shared" ref="N50:N70" si="43">IF(H50=0,0,L50/H50)</f>
        <v>-1</v>
      </c>
      <c r="O50" s="13"/>
      <c r="P50" s="1">
        <f>SUM(OSRRefP22_7x_0)</f>
        <v>0</v>
      </c>
      <c r="Q50" s="1"/>
      <c r="R50" s="5">
        <f t="shared" ref="R50:R70" si="44">IF(P$12=0,0,P50/P$12)</f>
        <v>0</v>
      </c>
      <c r="S50" s="1"/>
      <c r="T50" s="1">
        <f>SUM(OSRRefT22_7x_0)</f>
        <v>9647.3799999999992</v>
      </c>
      <c r="U50" s="1"/>
      <c r="V50" s="5">
        <f t="shared" ref="V50:V70" si="45">IF(T$12=0,0,T50/T$12)</f>
        <v>0</v>
      </c>
      <c r="W50" s="1"/>
      <c r="X50" s="1">
        <f t="shared" ref="X50:X70" si="46">+P50-T50</f>
        <v>-9647.3799999999992</v>
      </c>
      <c r="Y50" s="1"/>
      <c r="Z50" s="5">
        <f t="shared" ref="Z50:Z70" si="47">IF(T50=0,0,X50/T50)</f>
        <v>-1</v>
      </c>
    </row>
    <row r="51" spans="1:26" s="24" customFormat="1" hidden="1" outlineLevel="2" x14ac:dyDescent="0.25">
      <c r="A51" s="25"/>
      <c r="B51" s="11" t="str">
        <f>CONCATENATE("          ", "6399", " - ", "DONATION-ON CAMPUS")</f>
        <v xml:space="preserve">          6399 - DONATION-ON CAMPUS</v>
      </c>
      <c r="C51" s="11"/>
      <c r="D51" s="6"/>
      <c r="E51" s="2"/>
      <c r="F51" s="7">
        <f t="shared" si="40"/>
        <v>0</v>
      </c>
      <c r="G51" s="2"/>
      <c r="H51" s="6">
        <v>3415.9</v>
      </c>
      <c r="I51" s="2"/>
      <c r="J51" s="7">
        <f t="shared" si="41"/>
        <v>0</v>
      </c>
      <c r="K51" s="2"/>
      <c r="L51" s="6">
        <f t="shared" si="42"/>
        <v>-3415.9</v>
      </c>
      <c r="M51" s="2"/>
      <c r="N51" s="7">
        <f t="shared" si="43"/>
        <v>-1</v>
      </c>
      <c r="O51" s="11"/>
      <c r="P51" s="6"/>
      <c r="Q51" s="2"/>
      <c r="R51" s="7">
        <f t="shared" si="44"/>
        <v>0</v>
      </c>
      <c r="S51" s="2"/>
      <c r="T51" s="6">
        <v>9647.3799999999992</v>
      </c>
      <c r="U51" s="2"/>
      <c r="V51" s="7">
        <f t="shared" si="45"/>
        <v>0</v>
      </c>
      <c r="W51" s="2"/>
      <c r="X51" s="6">
        <f t="shared" si="46"/>
        <v>-9647.3799999999992</v>
      </c>
      <c r="Y51" s="2"/>
      <c r="Z51" s="7">
        <f t="shared" si="47"/>
        <v>-1</v>
      </c>
    </row>
    <row r="52" spans="1:26" s="26" customFormat="1" outlineLevel="1" collapsed="1" x14ac:dyDescent="0.25">
      <c r="A52" s="27"/>
      <c r="B52" s="13" t="str">
        <f>CONCATENATE("     ","Employees' Appreciation                           ")</f>
        <v xml:space="preserve">     Employees' Appreciation                           </v>
      </c>
      <c r="C52" s="13"/>
      <c r="D52" s="1">
        <f>SUM(OSRRefD22_8x_0)</f>
        <v>0</v>
      </c>
      <c r="E52" s="1"/>
      <c r="F52" s="5">
        <f t="shared" si="40"/>
        <v>0</v>
      </c>
      <c r="G52" s="1"/>
      <c r="H52" s="1">
        <f>SUM(OSRRefH22_8x_0)</f>
        <v>222.13</v>
      </c>
      <c r="I52" s="1"/>
      <c r="J52" s="5">
        <f t="shared" si="41"/>
        <v>0</v>
      </c>
      <c r="K52" s="1"/>
      <c r="L52" s="1">
        <f t="shared" si="42"/>
        <v>-222.13</v>
      </c>
      <c r="M52" s="1"/>
      <c r="N52" s="5">
        <f t="shared" si="43"/>
        <v>-1</v>
      </c>
      <c r="O52" s="13"/>
      <c r="P52" s="1">
        <f>SUM(OSRRefP22_8x_0)</f>
        <v>0</v>
      </c>
      <c r="Q52" s="1"/>
      <c r="R52" s="5">
        <f t="shared" si="44"/>
        <v>0</v>
      </c>
      <c r="S52" s="1"/>
      <c r="T52" s="1">
        <f>SUM(OSRRefT22_8x_0)</f>
        <v>673.35</v>
      </c>
      <c r="U52" s="1"/>
      <c r="V52" s="5">
        <f t="shared" si="45"/>
        <v>0</v>
      </c>
      <c r="W52" s="1"/>
      <c r="X52" s="1">
        <f t="shared" si="46"/>
        <v>-673.35</v>
      </c>
      <c r="Y52" s="1"/>
      <c r="Z52" s="5">
        <f t="shared" si="47"/>
        <v>-1</v>
      </c>
    </row>
    <row r="53" spans="1:26" s="24" customFormat="1" hidden="1" outlineLevel="2" x14ac:dyDescent="0.25">
      <c r="A53" s="25"/>
      <c r="B53" s="11" t="str">
        <f>CONCATENATE("          ", "6277", " - ", "EMPLOYEE APPRECIATION")</f>
        <v xml:space="preserve">          6277 - EMPLOYEE APPRECIATION</v>
      </c>
      <c r="C53" s="11"/>
      <c r="D53" s="6"/>
      <c r="E53" s="2"/>
      <c r="F53" s="7">
        <f t="shared" si="40"/>
        <v>0</v>
      </c>
      <c r="G53" s="2"/>
      <c r="H53" s="6">
        <v>222.13</v>
      </c>
      <c r="I53" s="2"/>
      <c r="J53" s="7">
        <f t="shared" si="41"/>
        <v>0</v>
      </c>
      <c r="K53" s="2"/>
      <c r="L53" s="6">
        <f t="shared" si="42"/>
        <v>-222.13</v>
      </c>
      <c r="M53" s="2"/>
      <c r="N53" s="7">
        <f t="shared" si="43"/>
        <v>-1</v>
      </c>
      <c r="O53" s="11"/>
      <c r="P53" s="6"/>
      <c r="Q53" s="2"/>
      <c r="R53" s="7">
        <f t="shared" si="44"/>
        <v>0</v>
      </c>
      <c r="S53" s="2"/>
      <c r="T53" s="6">
        <v>673.35</v>
      </c>
      <c r="U53" s="2"/>
      <c r="V53" s="7">
        <f t="shared" si="45"/>
        <v>0</v>
      </c>
      <c r="W53" s="2"/>
      <c r="X53" s="6">
        <f t="shared" si="46"/>
        <v>-673.35</v>
      </c>
      <c r="Y53" s="2"/>
      <c r="Z53" s="7">
        <f t="shared" si="47"/>
        <v>-1</v>
      </c>
    </row>
    <row r="54" spans="1:26" s="26" customFormat="1" outlineLevel="1" collapsed="1" x14ac:dyDescent="0.25">
      <c r="A54" s="27"/>
      <c r="B54" s="13" t="str">
        <f>CONCATENATE("     ","Equipment Rental                                  ")</f>
        <v xml:space="preserve">     Equipment Rental                                  </v>
      </c>
      <c r="C54" s="13"/>
      <c r="D54" s="1">
        <f>SUM(OSRRefD22_9x_0)</f>
        <v>415.15</v>
      </c>
      <c r="E54" s="1"/>
      <c r="F54" s="5">
        <f t="shared" si="40"/>
        <v>0</v>
      </c>
      <c r="G54" s="1"/>
      <c r="H54" s="1">
        <f>SUM(OSRRefH22_9x_0)</f>
        <v>0</v>
      </c>
      <c r="I54" s="1"/>
      <c r="J54" s="5">
        <f t="shared" si="41"/>
        <v>0</v>
      </c>
      <c r="K54" s="1"/>
      <c r="L54" s="1">
        <f t="shared" si="42"/>
        <v>415.15</v>
      </c>
      <c r="M54" s="1"/>
      <c r="N54" s="5">
        <f t="shared" si="43"/>
        <v>0</v>
      </c>
      <c r="O54" s="13"/>
      <c r="P54" s="1">
        <f>SUM(OSRRefP22_9x_0)</f>
        <v>1104.08</v>
      </c>
      <c r="Q54" s="1"/>
      <c r="R54" s="5">
        <f t="shared" si="44"/>
        <v>0</v>
      </c>
      <c r="S54" s="1"/>
      <c r="T54" s="1">
        <f>SUM(OSRRefT22_9x_0)</f>
        <v>0</v>
      </c>
      <c r="U54" s="1"/>
      <c r="V54" s="5">
        <f t="shared" si="45"/>
        <v>0</v>
      </c>
      <c r="W54" s="1"/>
      <c r="X54" s="1">
        <f t="shared" si="46"/>
        <v>1104.08</v>
      </c>
      <c r="Y54" s="1"/>
      <c r="Z54" s="5">
        <f t="shared" si="47"/>
        <v>0</v>
      </c>
    </row>
    <row r="55" spans="1:26" s="24" customFormat="1" hidden="1" outlineLevel="2" x14ac:dyDescent="0.25">
      <c r="A55" s="25"/>
      <c r="B55" s="11" t="str">
        <f>CONCATENATE("          ", "6351", " - ", "EQUIPMENT RENTAL")</f>
        <v xml:space="preserve">          6351 - EQUIPMENT RENTAL</v>
      </c>
      <c r="C55" s="11"/>
      <c r="D55" s="6">
        <v>415.15</v>
      </c>
      <c r="E55" s="2"/>
      <c r="F55" s="7">
        <f t="shared" si="40"/>
        <v>0</v>
      </c>
      <c r="G55" s="2"/>
      <c r="H55" s="6"/>
      <c r="I55" s="2"/>
      <c r="J55" s="7">
        <f t="shared" si="41"/>
        <v>0</v>
      </c>
      <c r="K55" s="2"/>
      <c r="L55" s="6">
        <f t="shared" si="42"/>
        <v>415.15</v>
      </c>
      <c r="M55" s="2"/>
      <c r="N55" s="7">
        <f t="shared" si="43"/>
        <v>0</v>
      </c>
      <c r="O55" s="11"/>
      <c r="P55" s="6">
        <v>1104.08</v>
      </c>
      <c r="Q55" s="2"/>
      <c r="R55" s="7">
        <f t="shared" si="44"/>
        <v>0</v>
      </c>
      <c r="S55" s="2"/>
      <c r="T55" s="6"/>
      <c r="U55" s="2"/>
      <c r="V55" s="7">
        <f t="shared" si="45"/>
        <v>0</v>
      </c>
      <c r="W55" s="2"/>
      <c r="X55" s="6">
        <f t="shared" si="46"/>
        <v>1104.08</v>
      </c>
      <c r="Y55" s="2"/>
      <c r="Z55" s="7">
        <f t="shared" si="47"/>
        <v>0</v>
      </c>
    </row>
    <row r="56" spans="1:26" s="26" customFormat="1" outlineLevel="1" collapsed="1" x14ac:dyDescent="0.25">
      <c r="A56" s="27"/>
      <c r="B56" s="13" t="str">
        <f>CONCATENATE("     ","Freight out/Postage                               ")</f>
        <v xml:space="preserve">     Freight out/Postage                               </v>
      </c>
      <c r="C56" s="13"/>
      <c r="D56" s="1">
        <f>SUM(OSRRefD22_10x_0)</f>
        <v>15.95</v>
      </c>
      <c r="E56" s="1"/>
      <c r="F56" s="5">
        <f t="shared" si="40"/>
        <v>0</v>
      </c>
      <c r="G56" s="1"/>
      <c r="H56" s="1">
        <f>SUM(OSRRefH22_10x_0)</f>
        <v>0</v>
      </c>
      <c r="I56" s="1"/>
      <c r="J56" s="5">
        <f t="shared" si="41"/>
        <v>0</v>
      </c>
      <c r="K56" s="1"/>
      <c r="L56" s="1">
        <f t="shared" si="42"/>
        <v>15.95</v>
      </c>
      <c r="M56" s="1"/>
      <c r="N56" s="5">
        <f t="shared" si="43"/>
        <v>0</v>
      </c>
      <c r="O56" s="13"/>
      <c r="P56" s="1">
        <f>SUM(OSRRefP22_10x_0)</f>
        <v>663.8</v>
      </c>
      <c r="Q56" s="1"/>
      <c r="R56" s="5">
        <f t="shared" si="44"/>
        <v>0</v>
      </c>
      <c r="S56" s="1"/>
      <c r="T56" s="1">
        <f>SUM(OSRRefT22_10x_0)</f>
        <v>14.39</v>
      </c>
      <c r="U56" s="1"/>
      <c r="V56" s="5">
        <f t="shared" si="45"/>
        <v>0</v>
      </c>
      <c r="W56" s="1"/>
      <c r="X56" s="1">
        <f t="shared" si="46"/>
        <v>649.41</v>
      </c>
      <c r="Y56" s="1"/>
      <c r="Z56" s="5">
        <f t="shared" si="47"/>
        <v>45.129256428075045</v>
      </c>
    </row>
    <row r="57" spans="1:26" s="24" customFormat="1" hidden="1" outlineLevel="2" x14ac:dyDescent="0.25">
      <c r="A57" s="25"/>
      <c r="B57" s="11" t="str">
        <f>CONCATENATE("          ", "6307", " - ", "POSTAGE")</f>
        <v xml:space="preserve">          6307 - POSTAGE</v>
      </c>
      <c r="C57" s="11"/>
      <c r="D57" s="6">
        <v>15.95</v>
      </c>
      <c r="E57" s="2"/>
      <c r="F57" s="7">
        <f t="shared" si="40"/>
        <v>0</v>
      </c>
      <c r="G57" s="2"/>
      <c r="H57" s="6"/>
      <c r="I57" s="2"/>
      <c r="J57" s="7">
        <f t="shared" si="41"/>
        <v>0</v>
      </c>
      <c r="K57" s="2"/>
      <c r="L57" s="6">
        <f t="shared" si="42"/>
        <v>15.95</v>
      </c>
      <c r="M57" s="2"/>
      <c r="N57" s="7">
        <f t="shared" si="43"/>
        <v>0</v>
      </c>
      <c r="O57" s="11"/>
      <c r="P57" s="6">
        <v>663.8</v>
      </c>
      <c r="Q57" s="2"/>
      <c r="R57" s="7">
        <f t="shared" si="44"/>
        <v>0</v>
      </c>
      <c r="S57" s="2"/>
      <c r="T57" s="6">
        <v>14.39</v>
      </c>
      <c r="U57" s="2"/>
      <c r="V57" s="7">
        <f t="shared" si="45"/>
        <v>0</v>
      </c>
      <c r="W57" s="2"/>
      <c r="X57" s="6">
        <f t="shared" si="46"/>
        <v>649.41</v>
      </c>
      <c r="Y57" s="2"/>
      <c r="Z57" s="7">
        <f t="shared" si="47"/>
        <v>45.129256428075045</v>
      </c>
    </row>
    <row r="58" spans="1:26" s="26" customFormat="1" outlineLevel="1" collapsed="1" x14ac:dyDescent="0.25">
      <c r="A58" s="27"/>
      <c r="B58" s="13" t="str">
        <f>CONCATENATE("     ","General                                           ")</f>
        <v xml:space="preserve">     General                                           </v>
      </c>
      <c r="C58" s="13"/>
      <c r="D58" s="1">
        <f>SUM(OSRRefD22_11x_0)</f>
        <v>0</v>
      </c>
      <c r="E58" s="1"/>
      <c r="F58" s="5">
        <f t="shared" si="40"/>
        <v>0</v>
      </c>
      <c r="G58" s="1"/>
      <c r="H58" s="1">
        <f>SUM(OSRRefH22_11x_0)</f>
        <v>1303.32</v>
      </c>
      <c r="I58" s="1"/>
      <c r="J58" s="5">
        <f t="shared" si="41"/>
        <v>0</v>
      </c>
      <c r="K58" s="1"/>
      <c r="L58" s="1">
        <f t="shared" si="42"/>
        <v>-1303.32</v>
      </c>
      <c r="M58" s="1"/>
      <c r="N58" s="5">
        <f t="shared" si="43"/>
        <v>-1</v>
      </c>
      <c r="O58" s="13"/>
      <c r="P58" s="1">
        <f>SUM(OSRRefP22_11x_0)</f>
        <v>867.81</v>
      </c>
      <c r="Q58" s="1"/>
      <c r="R58" s="5">
        <f t="shared" si="44"/>
        <v>0</v>
      </c>
      <c r="S58" s="1"/>
      <c r="T58" s="1">
        <f>SUM(OSRRefT22_11x_0)</f>
        <v>-13680.98</v>
      </c>
      <c r="U58" s="1"/>
      <c r="V58" s="5">
        <f t="shared" si="45"/>
        <v>0</v>
      </c>
      <c r="W58" s="1"/>
      <c r="X58" s="1">
        <f t="shared" si="46"/>
        <v>14548.789999999999</v>
      </c>
      <c r="Y58" s="1"/>
      <c r="Z58" s="5">
        <f t="shared" si="47"/>
        <v>-1.0634318594135801</v>
      </c>
    </row>
    <row r="59" spans="1:26" s="24" customFormat="1" hidden="1" outlineLevel="2" x14ac:dyDescent="0.25">
      <c r="A59" s="25"/>
      <c r="B59" s="11" t="str">
        <f>CONCATENATE("          ", "6279", " - ", "GENERAL EXPENSE")</f>
        <v xml:space="preserve">          6279 - GENERAL EXPENSE</v>
      </c>
      <c r="C59" s="11"/>
      <c r="D59" s="6"/>
      <c r="E59" s="2"/>
      <c r="F59" s="7">
        <f t="shared" si="40"/>
        <v>0</v>
      </c>
      <c r="G59" s="2"/>
      <c r="H59" s="6">
        <v>1303.32</v>
      </c>
      <c r="I59" s="2"/>
      <c r="J59" s="7">
        <f t="shared" si="41"/>
        <v>0</v>
      </c>
      <c r="K59" s="2"/>
      <c r="L59" s="6">
        <f t="shared" si="42"/>
        <v>-1303.32</v>
      </c>
      <c r="M59" s="2"/>
      <c r="N59" s="7">
        <f t="shared" si="43"/>
        <v>-1</v>
      </c>
      <c r="O59" s="11"/>
      <c r="P59" s="6">
        <v>867.81</v>
      </c>
      <c r="Q59" s="2"/>
      <c r="R59" s="7">
        <f t="shared" si="44"/>
        <v>0</v>
      </c>
      <c r="S59" s="2"/>
      <c r="T59" s="6">
        <v>-13680.98</v>
      </c>
      <c r="U59" s="2"/>
      <c r="V59" s="7">
        <f t="shared" si="45"/>
        <v>0</v>
      </c>
      <c r="W59" s="2"/>
      <c r="X59" s="6">
        <f t="shared" si="46"/>
        <v>14548.789999999999</v>
      </c>
      <c r="Y59" s="2"/>
      <c r="Z59" s="7">
        <f t="shared" si="47"/>
        <v>-1.0634318594135801</v>
      </c>
    </row>
    <row r="60" spans="1:26" s="26" customFormat="1" outlineLevel="1" collapsed="1" x14ac:dyDescent="0.25">
      <c r="A60" s="27"/>
      <c r="B60" s="13" t="str">
        <f>CONCATENATE("     ","Insurance                                         ")</f>
        <v xml:space="preserve">     Insurance                                         </v>
      </c>
      <c r="C60" s="13"/>
      <c r="D60" s="1">
        <f>SUM(OSRRefD22_12x_0)</f>
        <v>3883.56</v>
      </c>
      <c r="E60" s="1"/>
      <c r="F60" s="5">
        <f t="shared" si="40"/>
        <v>0</v>
      </c>
      <c r="G60" s="1"/>
      <c r="H60" s="1">
        <f>SUM(OSRRefH22_12x_0)</f>
        <v>3883.56</v>
      </c>
      <c r="I60" s="1"/>
      <c r="J60" s="5">
        <f t="shared" si="41"/>
        <v>0</v>
      </c>
      <c r="K60" s="1"/>
      <c r="L60" s="1">
        <f t="shared" si="42"/>
        <v>0</v>
      </c>
      <c r="M60" s="1"/>
      <c r="N60" s="5">
        <f t="shared" si="43"/>
        <v>0</v>
      </c>
      <c r="O60" s="13"/>
      <c r="P60" s="1">
        <f>SUM(OSRRefP22_12x_0)</f>
        <v>19417.8</v>
      </c>
      <c r="Q60" s="1"/>
      <c r="R60" s="5">
        <f t="shared" si="44"/>
        <v>0</v>
      </c>
      <c r="S60" s="1"/>
      <c r="T60" s="1">
        <f>SUM(OSRRefT22_12x_0)</f>
        <v>19417.8</v>
      </c>
      <c r="U60" s="1"/>
      <c r="V60" s="5">
        <f t="shared" si="45"/>
        <v>0</v>
      </c>
      <c r="W60" s="1"/>
      <c r="X60" s="1">
        <f t="shared" si="46"/>
        <v>0</v>
      </c>
      <c r="Y60" s="1"/>
      <c r="Z60" s="5">
        <f t="shared" si="47"/>
        <v>0</v>
      </c>
    </row>
    <row r="61" spans="1:26" s="24" customFormat="1" hidden="1" outlineLevel="2" x14ac:dyDescent="0.25">
      <c r="A61" s="25"/>
      <c r="B61" s="11" t="str">
        <f>CONCATENATE("          ", "6314", " - ", "LIABILITY INSURANCE")</f>
        <v xml:space="preserve">          6314 - LIABILITY INSURANCE</v>
      </c>
      <c r="C61" s="11"/>
      <c r="D61" s="6">
        <v>3883.56</v>
      </c>
      <c r="E61" s="2"/>
      <c r="F61" s="7">
        <f t="shared" si="40"/>
        <v>0</v>
      </c>
      <c r="G61" s="2"/>
      <c r="H61" s="6">
        <v>3883.56</v>
      </c>
      <c r="I61" s="2"/>
      <c r="J61" s="7">
        <f t="shared" si="41"/>
        <v>0</v>
      </c>
      <c r="K61" s="2"/>
      <c r="L61" s="6">
        <f t="shared" si="42"/>
        <v>0</v>
      </c>
      <c r="M61" s="2"/>
      <c r="N61" s="7">
        <f t="shared" si="43"/>
        <v>0</v>
      </c>
      <c r="O61" s="11"/>
      <c r="P61" s="6">
        <v>19417.8</v>
      </c>
      <c r="Q61" s="2"/>
      <c r="R61" s="7">
        <f t="shared" si="44"/>
        <v>0</v>
      </c>
      <c r="S61" s="2"/>
      <c r="T61" s="6">
        <v>19417.8</v>
      </c>
      <c r="U61" s="2"/>
      <c r="V61" s="7">
        <f t="shared" si="45"/>
        <v>0</v>
      </c>
      <c r="W61" s="2"/>
      <c r="X61" s="6">
        <f t="shared" si="46"/>
        <v>0</v>
      </c>
      <c r="Y61" s="2"/>
      <c r="Z61" s="7">
        <f t="shared" si="47"/>
        <v>0</v>
      </c>
    </row>
    <row r="62" spans="1:26" s="26" customFormat="1" outlineLevel="1" collapsed="1" x14ac:dyDescent="0.25">
      <c r="A62" s="27"/>
      <c r="B62" s="13" t="str">
        <f>CONCATENATE("     ","Professional Services                             ")</f>
        <v xml:space="preserve">     Professional Services                             </v>
      </c>
      <c r="C62" s="13"/>
      <c r="D62" s="1">
        <f>SUM(OSRRefD22_13x_0)</f>
        <v>0</v>
      </c>
      <c r="E62" s="1"/>
      <c r="F62" s="5">
        <f t="shared" si="40"/>
        <v>0</v>
      </c>
      <c r="G62" s="1"/>
      <c r="H62" s="1">
        <f>SUM(OSRRefH22_13x_0)</f>
        <v>0</v>
      </c>
      <c r="I62" s="1"/>
      <c r="J62" s="5">
        <f t="shared" si="41"/>
        <v>0</v>
      </c>
      <c r="K62" s="1"/>
      <c r="L62" s="1">
        <f t="shared" si="42"/>
        <v>0</v>
      </c>
      <c r="M62" s="1"/>
      <c r="N62" s="5">
        <f t="shared" si="43"/>
        <v>0</v>
      </c>
      <c r="O62" s="13"/>
      <c r="P62" s="1">
        <f>SUM(OSRRefP22_13x_0)</f>
        <v>0</v>
      </c>
      <c r="Q62" s="1"/>
      <c r="R62" s="5">
        <f t="shared" si="44"/>
        <v>0</v>
      </c>
      <c r="S62" s="1"/>
      <c r="T62" s="1">
        <f>SUM(OSRRefT22_13x_0)</f>
        <v>4658.41</v>
      </c>
      <c r="U62" s="1"/>
      <c r="V62" s="5">
        <f t="shared" si="45"/>
        <v>0</v>
      </c>
      <c r="W62" s="1"/>
      <c r="X62" s="1">
        <f t="shared" si="46"/>
        <v>-4658.41</v>
      </c>
      <c r="Y62" s="1"/>
      <c r="Z62" s="5">
        <f t="shared" si="47"/>
        <v>-1</v>
      </c>
    </row>
    <row r="63" spans="1:26" s="24" customFormat="1" hidden="1" outlineLevel="2" x14ac:dyDescent="0.25">
      <c r="A63" s="25"/>
      <c r="B63" s="11" t="str">
        <f>CONCATENATE("          ", "6336", " - ", "PROFESSIONAL SERVICES")</f>
        <v xml:space="preserve">          6336 - PROFESSIONAL SERVICES</v>
      </c>
      <c r="C63" s="11"/>
      <c r="D63" s="6"/>
      <c r="E63" s="2"/>
      <c r="F63" s="7">
        <f t="shared" si="40"/>
        <v>0</v>
      </c>
      <c r="G63" s="2"/>
      <c r="H63" s="6"/>
      <c r="I63" s="2"/>
      <c r="J63" s="7">
        <f t="shared" si="41"/>
        <v>0</v>
      </c>
      <c r="K63" s="2"/>
      <c r="L63" s="6">
        <f t="shared" si="42"/>
        <v>0</v>
      </c>
      <c r="M63" s="2"/>
      <c r="N63" s="7">
        <f t="shared" si="43"/>
        <v>0</v>
      </c>
      <c r="O63" s="11"/>
      <c r="P63" s="6"/>
      <c r="Q63" s="2"/>
      <c r="R63" s="7">
        <f t="shared" si="44"/>
        <v>0</v>
      </c>
      <c r="S63" s="2"/>
      <c r="T63" s="6">
        <v>4658.41</v>
      </c>
      <c r="U63" s="2"/>
      <c r="V63" s="7">
        <f t="shared" si="45"/>
        <v>0</v>
      </c>
      <c r="W63" s="2"/>
      <c r="X63" s="6">
        <f t="shared" si="46"/>
        <v>-4658.41</v>
      </c>
      <c r="Y63" s="2"/>
      <c r="Z63" s="7">
        <f t="shared" si="47"/>
        <v>-1</v>
      </c>
    </row>
    <row r="64" spans="1:26" s="26" customFormat="1" outlineLevel="1" collapsed="1" x14ac:dyDescent="0.25">
      <c r="A64" s="27"/>
      <c r="B64" s="13" t="str">
        <f>CONCATENATE("     ","Rent                                              ")</f>
        <v xml:space="preserve">     Rent                                              </v>
      </c>
      <c r="C64" s="13"/>
      <c r="D64" s="1">
        <f>SUM(OSRRefD22_14x_0)</f>
        <v>-800</v>
      </c>
      <c r="E64" s="1"/>
      <c r="F64" s="5">
        <f t="shared" si="40"/>
        <v>0</v>
      </c>
      <c r="G64" s="1"/>
      <c r="H64" s="1">
        <f>SUM(OSRRefH22_14x_0)</f>
        <v>-800</v>
      </c>
      <c r="I64" s="1"/>
      <c r="J64" s="5">
        <f t="shared" si="41"/>
        <v>0</v>
      </c>
      <c r="K64" s="1"/>
      <c r="L64" s="1">
        <f t="shared" si="42"/>
        <v>0</v>
      </c>
      <c r="M64" s="1"/>
      <c r="N64" s="5">
        <f t="shared" si="43"/>
        <v>0</v>
      </c>
      <c r="O64" s="13"/>
      <c r="P64" s="1">
        <f>SUM(OSRRefP22_14x_0)</f>
        <v>-4000</v>
      </c>
      <c r="Q64" s="1"/>
      <c r="R64" s="5">
        <f t="shared" si="44"/>
        <v>0</v>
      </c>
      <c r="S64" s="1"/>
      <c r="T64" s="1">
        <f>SUM(OSRRefT22_14x_0)</f>
        <v>-4000</v>
      </c>
      <c r="U64" s="1"/>
      <c r="V64" s="5">
        <f t="shared" si="45"/>
        <v>0</v>
      </c>
      <c r="W64" s="1"/>
      <c r="X64" s="1">
        <f t="shared" si="46"/>
        <v>0</v>
      </c>
      <c r="Y64" s="1"/>
      <c r="Z64" s="5">
        <f t="shared" si="47"/>
        <v>0</v>
      </c>
    </row>
    <row r="65" spans="1:26" s="24" customFormat="1" hidden="1" outlineLevel="2" x14ac:dyDescent="0.25">
      <c r="A65" s="25"/>
      <c r="B65" s="11" t="str">
        <f>CONCATENATE("          ", "6273", " - ", "RENT")</f>
        <v xml:space="preserve">          6273 - RENT</v>
      </c>
      <c r="C65" s="11"/>
      <c r="D65" s="6">
        <v>-800</v>
      </c>
      <c r="E65" s="2"/>
      <c r="F65" s="7">
        <f t="shared" si="40"/>
        <v>0</v>
      </c>
      <c r="G65" s="2"/>
      <c r="H65" s="6">
        <v>-800</v>
      </c>
      <c r="I65" s="2"/>
      <c r="J65" s="7">
        <f t="shared" si="41"/>
        <v>0</v>
      </c>
      <c r="K65" s="2"/>
      <c r="L65" s="6">
        <f t="shared" si="42"/>
        <v>0</v>
      </c>
      <c r="M65" s="2"/>
      <c r="N65" s="7">
        <f t="shared" si="43"/>
        <v>0</v>
      </c>
      <c r="O65" s="11"/>
      <c r="P65" s="6">
        <v>-4000</v>
      </c>
      <c r="Q65" s="2"/>
      <c r="R65" s="7">
        <f t="shared" si="44"/>
        <v>0</v>
      </c>
      <c r="S65" s="2"/>
      <c r="T65" s="6">
        <v>-4000</v>
      </c>
      <c r="U65" s="2"/>
      <c r="V65" s="7">
        <f t="shared" si="45"/>
        <v>0</v>
      </c>
      <c r="W65" s="2"/>
      <c r="X65" s="6">
        <f t="shared" si="46"/>
        <v>0</v>
      </c>
      <c r="Y65" s="2"/>
      <c r="Z65" s="7">
        <f t="shared" si="47"/>
        <v>0</v>
      </c>
    </row>
    <row r="66" spans="1:26" s="26" customFormat="1" outlineLevel="1" collapsed="1" x14ac:dyDescent="0.25">
      <c r="A66" s="27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SUM(OSRRefD22_15x_0)</f>
        <v>2812.5</v>
      </c>
      <c r="E66" s="1"/>
      <c r="F66" s="5">
        <f t="shared" si="40"/>
        <v>0</v>
      </c>
      <c r="G66" s="1"/>
      <c r="H66" s="1">
        <f>SUM(OSRRefH22_15x_0)</f>
        <v>3798.71</v>
      </c>
      <c r="I66" s="1"/>
      <c r="J66" s="5">
        <f t="shared" si="41"/>
        <v>0</v>
      </c>
      <c r="K66" s="1"/>
      <c r="L66" s="1">
        <f t="shared" si="42"/>
        <v>-986.21</v>
      </c>
      <c r="M66" s="1"/>
      <c r="N66" s="5">
        <f t="shared" si="43"/>
        <v>-0.25961708053523436</v>
      </c>
      <c r="O66" s="13"/>
      <c r="P66" s="1">
        <f>SUM(OSRRefP22_15x_0)</f>
        <v>76336.72</v>
      </c>
      <c r="Q66" s="1"/>
      <c r="R66" s="5">
        <f t="shared" si="44"/>
        <v>0</v>
      </c>
      <c r="S66" s="1"/>
      <c r="T66" s="1">
        <f>SUM(OSRRefT22_15x_0)</f>
        <v>40217.11</v>
      </c>
      <c r="U66" s="1"/>
      <c r="V66" s="5">
        <f t="shared" si="45"/>
        <v>0</v>
      </c>
      <c r="W66" s="1"/>
      <c r="X66" s="1">
        <f t="shared" si="46"/>
        <v>36119.61</v>
      </c>
      <c r="Y66" s="1"/>
      <c r="Z66" s="5">
        <f t="shared" si="47"/>
        <v>0.89811550357546821</v>
      </c>
    </row>
    <row r="67" spans="1:26" s="24" customFormat="1" hidden="1" outlineLevel="2" x14ac:dyDescent="0.25">
      <c r="A67" s="25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40"/>
        <v>0</v>
      </c>
      <c r="G67" s="2"/>
      <c r="H67" s="6">
        <v>601</v>
      </c>
      <c r="I67" s="2"/>
      <c r="J67" s="7">
        <f t="shared" si="41"/>
        <v>0</v>
      </c>
      <c r="K67" s="2"/>
      <c r="L67" s="6">
        <f t="shared" si="42"/>
        <v>-601</v>
      </c>
      <c r="M67" s="2"/>
      <c r="N67" s="7">
        <f t="shared" si="43"/>
        <v>-1</v>
      </c>
      <c r="O67" s="11"/>
      <c r="P67" s="6">
        <v>58428.780000000006</v>
      </c>
      <c r="Q67" s="2"/>
      <c r="R67" s="7">
        <f t="shared" si="44"/>
        <v>0</v>
      </c>
      <c r="S67" s="2"/>
      <c r="T67" s="6">
        <v>13352.4</v>
      </c>
      <c r="U67" s="2"/>
      <c r="V67" s="7">
        <f t="shared" si="45"/>
        <v>0</v>
      </c>
      <c r="W67" s="2"/>
      <c r="X67" s="6">
        <f t="shared" si="46"/>
        <v>45076.380000000005</v>
      </c>
      <c r="Y67" s="2"/>
      <c r="Z67" s="7">
        <f t="shared" si="47"/>
        <v>3.3759009616248767</v>
      </c>
    </row>
    <row r="68" spans="1:26" s="24" customFormat="1" hidden="1" outlineLevel="2" x14ac:dyDescent="0.25">
      <c r="A68" s="25"/>
      <c r="B68" s="11" t="str">
        <f>CONCATENATE("          ", "6372", " - ", "COMPUTER HARDWARE MAINTENANCE")</f>
        <v xml:space="preserve">          6372 - COMPUTER HARDWARE MAINTENANCE</v>
      </c>
      <c r="C68" s="11"/>
      <c r="D68" s="6"/>
      <c r="E68" s="2"/>
      <c r="F68" s="7">
        <f t="shared" si="40"/>
        <v>0</v>
      </c>
      <c r="G68" s="2"/>
      <c r="H68" s="6"/>
      <c r="I68" s="2"/>
      <c r="J68" s="7">
        <f t="shared" si="41"/>
        <v>0</v>
      </c>
      <c r="K68" s="2"/>
      <c r="L68" s="6">
        <f t="shared" si="42"/>
        <v>0</v>
      </c>
      <c r="M68" s="2"/>
      <c r="N68" s="7">
        <f t="shared" si="43"/>
        <v>0</v>
      </c>
      <c r="O68" s="11"/>
      <c r="P68" s="6">
        <v>0</v>
      </c>
      <c r="Q68" s="2"/>
      <c r="R68" s="7">
        <f t="shared" si="44"/>
        <v>0</v>
      </c>
      <c r="S68" s="2"/>
      <c r="T68" s="6"/>
      <c r="U68" s="2"/>
      <c r="V68" s="7">
        <f t="shared" si="45"/>
        <v>0</v>
      </c>
      <c r="W68" s="2"/>
      <c r="X68" s="6">
        <f t="shared" si="46"/>
        <v>0</v>
      </c>
      <c r="Y68" s="2"/>
      <c r="Z68" s="7">
        <f t="shared" si="47"/>
        <v>0</v>
      </c>
    </row>
    <row r="69" spans="1:26" s="24" customFormat="1" hidden="1" outlineLevel="2" x14ac:dyDescent="0.25">
      <c r="A69" s="25"/>
      <c r="B69" s="11" t="str">
        <f>CONCATENATE("          ", "6373", " - ", "MAINTENANCE CONTRACTS")</f>
        <v xml:space="preserve">          6373 - MAINTENANCE CONTRACTS</v>
      </c>
      <c r="C69" s="11"/>
      <c r="D69" s="6">
        <v>18.010000000000002</v>
      </c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18.010000000000002</v>
      </c>
      <c r="M69" s="2"/>
      <c r="N69" s="7">
        <f t="shared" si="43"/>
        <v>0</v>
      </c>
      <c r="O69" s="11"/>
      <c r="P69" s="6">
        <v>6216.38</v>
      </c>
      <c r="Q69" s="2"/>
      <c r="R69" s="7">
        <f t="shared" si="44"/>
        <v>0</v>
      </c>
      <c r="S69" s="2"/>
      <c r="T69" s="6">
        <v>2114.0500000000002</v>
      </c>
      <c r="U69" s="2"/>
      <c r="V69" s="7">
        <f t="shared" si="45"/>
        <v>0</v>
      </c>
      <c r="W69" s="2"/>
      <c r="X69" s="6">
        <f t="shared" si="46"/>
        <v>4102.33</v>
      </c>
      <c r="Y69" s="2"/>
      <c r="Z69" s="7">
        <f t="shared" si="47"/>
        <v>1.9405075565857002</v>
      </c>
    </row>
    <row r="70" spans="1:26" s="24" customFormat="1" hidden="1" outlineLevel="2" x14ac:dyDescent="0.25">
      <c r="A70" s="25"/>
      <c r="B70" s="11" t="str">
        <f>CONCATENATE("          ", "6375", " - ", "OUTSIDE REPAIRS &amp; MAINTENANCE")</f>
        <v xml:space="preserve">          6375 - OUTSIDE REPAIRS &amp; MAINTENANCE</v>
      </c>
      <c r="C70" s="11"/>
      <c r="D70" s="6">
        <v>2794.49</v>
      </c>
      <c r="E70" s="2"/>
      <c r="F70" s="7">
        <f t="shared" si="40"/>
        <v>0</v>
      </c>
      <c r="G70" s="2"/>
      <c r="H70" s="6">
        <v>3197.71</v>
      </c>
      <c r="I70" s="2"/>
      <c r="J70" s="7">
        <f t="shared" si="41"/>
        <v>0</v>
      </c>
      <c r="K70" s="2"/>
      <c r="L70" s="6">
        <f t="shared" si="42"/>
        <v>-403.22000000000025</v>
      </c>
      <c r="M70" s="2"/>
      <c r="N70" s="7">
        <f t="shared" si="43"/>
        <v>-0.12609648779908131</v>
      </c>
      <c r="O70" s="11"/>
      <c r="P70" s="6">
        <v>11691.56</v>
      </c>
      <c r="Q70" s="2"/>
      <c r="R70" s="7">
        <f t="shared" si="44"/>
        <v>0</v>
      </c>
      <c r="S70" s="2"/>
      <c r="T70" s="6">
        <v>24750.66</v>
      </c>
      <c r="U70" s="2"/>
      <c r="V70" s="7">
        <f t="shared" si="45"/>
        <v>0</v>
      </c>
      <c r="W70" s="2"/>
      <c r="X70" s="6">
        <f t="shared" si="46"/>
        <v>-13059.1</v>
      </c>
      <c r="Y70" s="2"/>
      <c r="Z70" s="7">
        <f t="shared" si="47"/>
        <v>-0.52762633400483061</v>
      </c>
    </row>
    <row r="71" spans="1:26" s="26" customFormat="1" outlineLevel="1" collapsed="1" x14ac:dyDescent="0.25">
      <c r="A71" s="27"/>
      <c r="B71" s="13" t="str">
        <f>CONCATENATE("     ","Services                                          ")</f>
        <v xml:space="preserve">     Services                                          </v>
      </c>
      <c r="C71" s="13"/>
      <c r="D71" s="1">
        <f>SUM(OSRRefD22_16x_0)</f>
        <v>3873.95</v>
      </c>
      <c r="E71" s="1"/>
      <c r="F71" s="5">
        <f t="shared" ref="F71:F74" si="48">IF(D$12=0,0,D71/D$12)</f>
        <v>0</v>
      </c>
      <c r="G71" s="1"/>
      <c r="H71" s="1">
        <f>SUM(OSRRefH22_16x_0)</f>
        <v>4058.93</v>
      </c>
      <c r="I71" s="1"/>
      <c r="J71" s="5">
        <f t="shared" ref="J71:J74" si="49">IF(H$12=0,0,H71/H$12)</f>
        <v>0</v>
      </c>
      <c r="K71" s="1"/>
      <c r="L71" s="1">
        <f t="shared" ref="L71:L74" si="50">+D71-H71</f>
        <v>-184.98000000000002</v>
      </c>
      <c r="M71" s="1"/>
      <c r="N71" s="5">
        <f t="shared" ref="N71:N74" si="51">IF(H71=0,0,L71/H71)</f>
        <v>-4.5573587127642021E-2</v>
      </c>
      <c r="O71" s="13"/>
      <c r="P71" s="1">
        <f>SUM(OSRRefP22_16x_0)</f>
        <v>16702.810000000001</v>
      </c>
      <c r="Q71" s="1"/>
      <c r="R71" s="5">
        <f t="shared" ref="R71:R74" si="52">IF(P$12=0,0,P71/P$12)</f>
        <v>0</v>
      </c>
      <c r="S71" s="1"/>
      <c r="T71" s="1">
        <f>SUM(OSRRefT22_16x_0)</f>
        <v>19924.980000000003</v>
      </c>
      <c r="U71" s="1"/>
      <c r="V71" s="5">
        <f t="shared" ref="V71:V74" si="53">IF(T$12=0,0,T71/T$12)</f>
        <v>0</v>
      </c>
      <c r="W71" s="1"/>
      <c r="X71" s="1">
        <f t="shared" ref="X71:X74" si="54">+P71-T71</f>
        <v>-3222.1700000000019</v>
      </c>
      <c r="Y71" s="1"/>
      <c r="Z71" s="5">
        <f t="shared" ref="Z71:Z74" si="55">IF(T71=0,0,X71/T71)</f>
        <v>-0.16171509331502473</v>
      </c>
    </row>
    <row r="72" spans="1:26" s="24" customFormat="1" hidden="1" outlineLevel="2" x14ac:dyDescent="0.25">
      <c r="A72" s="25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222.5</v>
      </c>
      <c r="E72" s="2"/>
      <c r="F72" s="7">
        <f t="shared" si="48"/>
        <v>0</v>
      </c>
      <c r="G72" s="2"/>
      <c r="H72" s="6">
        <v>222.5</v>
      </c>
      <c r="I72" s="2"/>
      <c r="J72" s="7">
        <f t="shared" si="49"/>
        <v>0</v>
      </c>
      <c r="K72" s="2"/>
      <c r="L72" s="6">
        <f t="shared" si="50"/>
        <v>0</v>
      </c>
      <c r="M72" s="2"/>
      <c r="N72" s="7">
        <f t="shared" si="51"/>
        <v>0</v>
      </c>
      <c r="O72" s="11"/>
      <c r="P72" s="6">
        <v>5164.12</v>
      </c>
      <c r="Q72" s="2"/>
      <c r="R72" s="7">
        <f t="shared" si="52"/>
        <v>0</v>
      </c>
      <c r="S72" s="2"/>
      <c r="T72" s="6">
        <v>1112.5</v>
      </c>
      <c r="U72" s="2"/>
      <c r="V72" s="7">
        <f t="shared" si="53"/>
        <v>0</v>
      </c>
      <c r="W72" s="2"/>
      <c r="X72" s="6">
        <f t="shared" si="54"/>
        <v>4051.62</v>
      </c>
      <c r="Y72" s="2"/>
      <c r="Z72" s="7">
        <f t="shared" si="55"/>
        <v>3.6419056179775282</v>
      </c>
    </row>
    <row r="73" spans="1:26" s="24" customFormat="1" hidden="1" outlineLevel="2" x14ac:dyDescent="0.25">
      <c r="A73" s="25"/>
      <c r="B73" s="11" t="str">
        <f>CONCATENATE("          ", "6283", " - ", "PLANT SERVICE")</f>
        <v xml:space="preserve">          6283 - PLANT SERVICE</v>
      </c>
      <c r="C73" s="11"/>
      <c r="D73" s="6"/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0</v>
      </c>
      <c r="M73" s="2"/>
      <c r="N73" s="7">
        <f t="shared" si="51"/>
        <v>0</v>
      </c>
      <c r="O73" s="11"/>
      <c r="P73" s="6">
        <v>130</v>
      </c>
      <c r="Q73" s="2"/>
      <c r="R73" s="7">
        <f t="shared" si="52"/>
        <v>0</v>
      </c>
      <c r="S73" s="2"/>
      <c r="T73" s="6">
        <v>363.33</v>
      </c>
      <c r="U73" s="2"/>
      <c r="V73" s="7">
        <f t="shared" si="53"/>
        <v>0</v>
      </c>
      <c r="W73" s="2"/>
      <c r="X73" s="6">
        <f t="shared" si="54"/>
        <v>-233.32999999999998</v>
      </c>
      <c r="Y73" s="2"/>
      <c r="Z73" s="7">
        <f t="shared" si="55"/>
        <v>-0.6421985522802961</v>
      </c>
    </row>
    <row r="74" spans="1:26" s="24" customFormat="1" hidden="1" outlineLevel="2" x14ac:dyDescent="0.25">
      <c r="A74" s="25"/>
      <c r="B74" s="11" t="str">
        <f>CONCATENATE("          ", "6285", " - ", "JANITORIAL SERVICES")</f>
        <v xml:space="preserve">          6285 - JANITORIAL SERVICES</v>
      </c>
      <c r="C74" s="11"/>
      <c r="D74" s="6">
        <v>3651.45</v>
      </c>
      <c r="E74" s="2"/>
      <c r="F74" s="7">
        <f t="shared" si="48"/>
        <v>0</v>
      </c>
      <c r="G74" s="2"/>
      <c r="H74" s="6">
        <v>3836.43</v>
      </c>
      <c r="I74" s="2"/>
      <c r="J74" s="7">
        <f t="shared" si="49"/>
        <v>0</v>
      </c>
      <c r="K74" s="2"/>
      <c r="L74" s="6">
        <f t="shared" si="50"/>
        <v>-184.98000000000002</v>
      </c>
      <c r="M74" s="2"/>
      <c r="N74" s="7">
        <f t="shared" si="51"/>
        <v>-4.8216701464642915E-2</v>
      </c>
      <c r="O74" s="11"/>
      <c r="P74" s="6">
        <v>11408.69</v>
      </c>
      <c r="Q74" s="2"/>
      <c r="R74" s="7">
        <f t="shared" si="52"/>
        <v>0</v>
      </c>
      <c r="S74" s="2"/>
      <c r="T74" s="6">
        <v>18449.150000000001</v>
      </c>
      <c r="U74" s="2"/>
      <c r="V74" s="7">
        <f t="shared" si="53"/>
        <v>0</v>
      </c>
      <c r="W74" s="2"/>
      <c r="X74" s="6">
        <f t="shared" si="54"/>
        <v>-7040.4600000000009</v>
      </c>
      <c r="Y74" s="2"/>
      <c r="Z74" s="7">
        <f t="shared" si="55"/>
        <v>-0.38161432911543353</v>
      </c>
    </row>
    <row r="75" spans="1:26" s="26" customFormat="1" outlineLevel="1" collapsed="1" x14ac:dyDescent="0.25">
      <c r="A75" s="27"/>
      <c r="B75" s="13" t="str">
        <f>CONCATENATE("     ","Subscriptions &amp; Dues                              ")</f>
        <v xml:space="preserve">     Subscriptions &amp; Dues                              </v>
      </c>
      <c r="C75" s="13"/>
      <c r="D75" s="1">
        <f>SUM(OSRRefD22_17x_0)</f>
        <v>0</v>
      </c>
      <c r="E75" s="1"/>
      <c r="F75" s="5">
        <f t="shared" ref="F75:F83" si="56">IF(D$12=0,0,D75/D$12)</f>
        <v>0</v>
      </c>
      <c r="G75" s="1"/>
      <c r="H75" s="1">
        <f>SUM(OSRRefH22_17x_0)</f>
        <v>-74.64</v>
      </c>
      <c r="I75" s="1"/>
      <c r="J75" s="5">
        <f t="shared" ref="J75:J83" si="57">IF(H$12=0,0,H75/H$12)</f>
        <v>0</v>
      </c>
      <c r="K75" s="1"/>
      <c r="L75" s="1">
        <f t="shared" ref="L75:L83" si="58">+D75-H75</f>
        <v>74.64</v>
      </c>
      <c r="M75" s="1"/>
      <c r="N75" s="5">
        <f t="shared" ref="N75:N83" si="59">IF(H75=0,0,L75/H75)</f>
        <v>-1</v>
      </c>
      <c r="O75" s="13"/>
      <c r="P75" s="1">
        <f>SUM(OSRRefP22_17x_0)</f>
        <v>0</v>
      </c>
      <c r="Q75" s="1"/>
      <c r="R75" s="5">
        <f t="shared" ref="R75:R83" si="60">IF(P$12=0,0,P75/P$12)</f>
        <v>0</v>
      </c>
      <c r="S75" s="1"/>
      <c r="T75" s="1">
        <f>SUM(OSRRefT22_17x_0)</f>
        <v>405.3</v>
      </c>
      <c r="U75" s="1"/>
      <c r="V75" s="5">
        <f t="shared" ref="V75:V83" si="61">IF(T$12=0,0,T75/T$12)</f>
        <v>0</v>
      </c>
      <c r="W75" s="1"/>
      <c r="X75" s="1">
        <f t="shared" ref="X75:X83" si="62">+P75-T75</f>
        <v>-405.3</v>
      </c>
      <c r="Y75" s="1"/>
      <c r="Z75" s="5">
        <f t="shared" ref="Z75:Z83" si="63">IF(T75=0,0,X75/T75)</f>
        <v>-1</v>
      </c>
    </row>
    <row r="76" spans="1:26" s="24" customFormat="1" hidden="1" outlineLevel="2" x14ac:dyDescent="0.25">
      <c r="A76" s="25"/>
      <c r="B76" s="11" t="str">
        <f>CONCATENATE("          ", "6275", " - ", "SUBSCRIPTIONS")</f>
        <v xml:space="preserve">          6275 - SUBSCRIPTIONS</v>
      </c>
      <c r="C76" s="11"/>
      <c r="D76" s="6"/>
      <c r="E76" s="2"/>
      <c r="F76" s="7">
        <f t="shared" si="56"/>
        <v>0</v>
      </c>
      <c r="G76" s="2"/>
      <c r="H76" s="6">
        <v>-74.64</v>
      </c>
      <c r="I76" s="2"/>
      <c r="J76" s="7">
        <f t="shared" si="57"/>
        <v>0</v>
      </c>
      <c r="K76" s="2"/>
      <c r="L76" s="6">
        <f t="shared" si="58"/>
        <v>74.64</v>
      </c>
      <c r="M76" s="2"/>
      <c r="N76" s="7">
        <f t="shared" si="59"/>
        <v>-1</v>
      </c>
      <c r="O76" s="11"/>
      <c r="P76" s="6"/>
      <c r="Q76" s="2"/>
      <c r="R76" s="7">
        <f t="shared" si="60"/>
        <v>0</v>
      </c>
      <c r="S76" s="2"/>
      <c r="T76" s="6">
        <v>405.3</v>
      </c>
      <c r="U76" s="2"/>
      <c r="V76" s="7">
        <f t="shared" si="61"/>
        <v>0</v>
      </c>
      <c r="W76" s="2"/>
      <c r="X76" s="6">
        <f t="shared" si="62"/>
        <v>-405.3</v>
      </c>
      <c r="Y76" s="2"/>
      <c r="Z76" s="7">
        <f t="shared" si="63"/>
        <v>-1</v>
      </c>
    </row>
    <row r="77" spans="1:26" s="26" customFormat="1" outlineLevel="1" collapsed="1" x14ac:dyDescent="0.25">
      <c r="A77" s="27"/>
      <c r="B77" s="13" t="str">
        <f>CONCATENATE("     ","Supplies                                          ")</f>
        <v xml:space="preserve">     Supplies                                          </v>
      </c>
      <c r="C77" s="13"/>
      <c r="D77" s="1">
        <f>SUM(OSRRefD22_18x_0)</f>
        <v>11705.53</v>
      </c>
      <c r="E77" s="1"/>
      <c r="F77" s="5">
        <f t="shared" si="56"/>
        <v>0</v>
      </c>
      <c r="G77" s="1"/>
      <c r="H77" s="1">
        <f>SUM(OSRRefH22_18x_0)</f>
        <v>1662.8100000000002</v>
      </c>
      <c r="I77" s="1"/>
      <c r="J77" s="5">
        <f t="shared" si="57"/>
        <v>0</v>
      </c>
      <c r="K77" s="1"/>
      <c r="L77" s="1">
        <f t="shared" si="58"/>
        <v>10042.720000000001</v>
      </c>
      <c r="M77" s="1"/>
      <c r="N77" s="5">
        <f t="shared" si="59"/>
        <v>6.0396076521069757</v>
      </c>
      <c r="O77" s="13"/>
      <c r="P77" s="1">
        <f>SUM(OSRRefP22_18x_0)</f>
        <v>41896.39</v>
      </c>
      <c r="Q77" s="1"/>
      <c r="R77" s="5">
        <f t="shared" si="60"/>
        <v>0</v>
      </c>
      <c r="S77" s="1"/>
      <c r="T77" s="1">
        <f>SUM(OSRRefT22_18x_0)</f>
        <v>9463.8899999999976</v>
      </c>
      <c r="U77" s="1"/>
      <c r="V77" s="5">
        <f t="shared" si="61"/>
        <v>0</v>
      </c>
      <c r="W77" s="1"/>
      <c r="X77" s="1">
        <f t="shared" si="62"/>
        <v>32432.5</v>
      </c>
      <c r="Y77" s="1"/>
      <c r="Z77" s="5">
        <f t="shared" si="63"/>
        <v>3.426973474966426</v>
      </c>
    </row>
    <row r="78" spans="1:26" s="24" customFormat="1" hidden="1" outlineLevel="2" x14ac:dyDescent="0.25">
      <c r="A78" s="25"/>
      <c r="B78" s="11" t="str">
        <f>CONCATENATE("          ", "6234", " - ", "EXPENDABLE SUPPLIES &amp; EQUIPMEN")</f>
        <v xml:space="preserve">          6234 - EXPENDABLE SUPPLIES &amp; EQUIPMEN</v>
      </c>
      <c r="C78" s="11"/>
      <c r="D78" s="6">
        <v>-550.67999999999995</v>
      </c>
      <c r="E78" s="2"/>
      <c r="F78" s="7">
        <f t="shared" si="56"/>
        <v>0</v>
      </c>
      <c r="G78" s="2"/>
      <c r="H78" s="6">
        <v>70.34</v>
      </c>
      <c r="I78" s="2"/>
      <c r="J78" s="7">
        <f t="shared" si="57"/>
        <v>0</v>
      </c>
      <c r="K78" s="2"/>
      <c r="L78" s="6">
        <f t="shared" si="58"/>
        <v>-621.02</v>
      </c>
      <c r="M78" s="2"/>
      <c r="N78" s="7">
        <f t="shared" si="59"/>
        <v>-8.828831390389535</v>
      </c>
      <c r="O78" s="11"/>
      <c r="P78" s="6">
        <v>-449.34</v>
      </c>
      <c r="Q78" s="2"/>
      <c r="R78" s="7">
        <f t="shared" si="60"/>
        <v>0</v>
      </c>
      <c r="S78" s="2"/>
      <c r="T78" s="6">
        <v>785.12</v>
      </c>
      <c r="U78" s="2"/>
      <c r="V78" s="7">
        <f t="shared" si="61"/>
        <v>0</v>
      </c>
      <c r="W78" s="2"/>
      <c r="X78" s="6">
        <f t="shared" si="62"/>
        <v>-1234.46</v>
      </c>
      <c r="Y78" s="2"/>
      <c r="Z78" s="7">
        <f t="shared" si="63"/>
        <v>-1.5723201548807826</v>
      </c>
    </row>
    <row r="79" spans="1:26" s="24" customFormat="1" hidden="1" outlineLevel="2" x14ac:dyDescent="0.25">
      <c r="A79" s="25"/>
      <c r="B79" s="11" t="str">
        <f>CONCATENATE("          ", "6235", " - ", "COVID-19 EXPENSES")</f>
        <v xml:space="preserve">          6235 - COVID-19 EXPENSES</v>
      </c>
      <c r="C79" s="11"/>
      <c r="D79" s="6">
        <v>2491.79</v>
      </c>
      <c r="E79" s="2"/>
      <c r="F79" s="7">
        <f t="shared" si="56"/>
        <v>0</v>
      </c>
      <c r="G79" s="2"/>
      <c r="H79" s="6"/>
      <c r="I79" s="2"/>
      <c r="J79" s="7">
        <f t="shared" si="57"/>
        <v>0</v>
      </c>
      <c r="K79" s="2"/>
      <c r="L79" s="6">
        <f t="shared" si="58"/>
        <v>2491.79</v>
      </c>
      <c r="M79" s="2"/>
      <c r="N79" s="7">
        <f t="shared" si="59"/>
        <v>0</v>
      </c>
      <c r="O79" s="11"/>
      <c r="P79" s="6">
        <v>26409.289999999997</v>
      </c>
      <c r="Q79" s="2"/>
      <c r="R79" s="7">
        <f t="shared" si="60"/>
        <v>0</v>
      </c>
      <c r="S79" s="2"/>
      <c r="T79" s="6"/>
      <c r="U79" s="2"/>
      <c r="V79" s="7">
        <f t="shared" si="61"/>
        <v>0</v>
      </c>
      <c r="W79" s="2"/>
      <c r="X79" s="6">
        <f t="shared" si="62"/>
        <v>26409.289999999997</v>
      </c>
      <c r="Y79" s="2"/>
      <c r="Z79" s="7">
        <f t="shared" si="63"/>
        <v>0</v>
      </c>
    </row>
    <row r="80" spans="1:26" s="24" customFormat="1" hidden="1" outlineLevel="2" x14ac:dyDescent="0.25">
      <c r="A80" s="25"/>
      <c r="B80" s="11" t="str">
        <f>CONCATENATE("          ", "6237", " - ", "JANITORIAL SUPPLIES")</f>
        <v xml:space="preserve">          6237 - JANITORIAL SUPPLIES</v>
      </c>
      <c r="C80" s="11"/>
      <c r="D80" s="6">
        <v>246.99</v>
      </c>
      <c r="E80" s="2"/>
      <c r="F80" s="7">
        <f t="shared" si="56"/>
        <v>0</v>
      </c>
      <c r="G80" s="2"/>
      <c r="H80" s="6">
        <v>464.58</v>
      </c>
      <c r="I80" s="2"/>
      <c r="J80" s="7">
        <f t="shared" si="57"/>
        <v>0</v>
      </c>
      <c r="K80" s="2"/>
      <c r="L80" s="6">
        <f t="shared" si="58"/>
        <v>-217.58999999999997</v>
      </c>
      <c r="M80" s="2"/>
      <c r="N80" s="7">
        <f t="shared" si="59"/>
        <v>-0.46835851737052819</v>
      </c>
      <c r="O80" s="11"/>
      <c r="P80" s="6">
        <v>1303.6099999999999</v>
      </c>
      <c r="Q80" s="2"/>
      <c r="R80" s="7">
        <f t="shared" si="60"/>
        <v>0</v>
      </c>
      <c r="S80" s="2"/>
      <c r="T80" s="6">
        <v>2343.08</v>
      </c>
      <c r="U80" s="2"/>
      <c r="V80" s="7">
        <f t="shared" si="61"/>
        <v>0</v>
      </c>
      <c r="W80" s="2"/>
      <c r="X80" s="6">
        <f t="shared" si="62"/>
        <v>-1039.47</v>
      </c>
      <c r="Y80" s="2"/>
      <c r="Z80" s="7">
        <f t="shared" si="63"/>
        <v>-0.4436340201785684</v>
      </c>
    </row>
    <row r="81" spans="1:26" s="24" customFormat="1" hidden="1" outlineLevel="2" x14ac:dyDescent="0.25">
      <c r="A81" s="25"/>
      <c r="B81" s="11" t="str">
        <f>CONCATENATE("          ", "6241", " - ", "OFFICE EXPENSE")</f>
        <v xml:space="preserve">          6241 - OFFICE EXPENSE</v>
      </c>
      <c r="C81" s="11"/>
      <c r="D81" s="6">
        <v>4.84</v>
      </c>
      <c r="E81" s="2"/>
      <c r="F81" s="7">
        <f t="shared" si="56"/>
        <v>0</v>
      </c>
      <c r="G81" s="2"/>
      <c r="H81" s="6">
        <v>1341.69</v>
      </c>
      <c r="I81" s="2"/>
      <c r="J81" s="7">
        <f t="shared" si="57"/>
        <v>0</v>
      </c>
      <c r="K81" s="2"/>
      <c r="L81" s="6">
        <f t="shared" si="58"/>
        <v>-1336.8500000000001</v>
      </c>
      <c r="M81" s="2"/>
      <c r="N81" s="7">
        <f t="shared" si="59"/>
        <v>-0.9963926093210802</v>
      </c>
      <c r="O81" s="11"/>
      <c r="P81" s="6">
        <v>2226.79</v>
      </c>
      <c r="Q81" s="2"/>
      <c r="R81" s="7">
        <f t="shared" si="60"/>
        <v>0</v>
      </c>
      <c r="S81" s="2"/>
      <c r="T81" s="6">
        <v>6433.15</v>
      </c>
      <c r="U81" s="2"/>
      <c r="V81" s="7">
        <f t="shared" si="61"/>
        <v>0</v>
      </c>
      <c r="W81" s="2"/>
      <c r="X81" s="6">
        <f t="shared" si="62"/>
        <v>-4206.3599999999997</v>
      </c>
      <c r="Y81" s="2"/>
      <c r="Z81" s="7">
        <f t="shared" si="63"/>
        <v>-0.65385697519877506</v>
      </c>
    </row>
    <row r="82" spans="1:26" s="24" customFormat="1" hidden="1" outlineLevel="2" x14ac:dyDescent="0.25">
      <c r="A82" s="25"/>
      <c r="B82" s="11" t="str">
        <f>CONCATENATE("          ", "6245", " - ", "PRINTING")</f>
        <v xml:space="preserve">          6245 - PRINTING</v>
      </c>
      <c r="C82" s="11"/>
      <c r="D82" s="6"/>
      <c r="E82" s="2"/>
      <c r="F82" s="7">
        <f t="shared" si="56"/>
        <v>0</v>
      </c>
      <c r="G82" s="2"/>
      <c r="H82" s="6"/>
      <c r="I82" s="2"/>
      <c r="J82" s="7">
        <f t="shared" si="57"/>
        <v>0</v>
      </c>
      <c r="K82" s="2"/>
      <c r="L82" s="6">
        <f t="shared" si="58"/>
        <v>0</v>
      </c>
      <c r="M82" s="2"/>
      <c r="N82" s="7">
        <f t="shared" si="59"/>
        <v>0</v>
      </c>
      <c r="O82" s="11"/>
      <c r="P82" s="6">
        <v>68.66</v>
      </c>
      <c r="Q82" s="2"/>
      <c r="R82" s="7">
        <f t="shared" si="60"/>
        <v>0</v>
      </c>
      <c r="S82" s="2"/>
      <c r="T82" s="6">
        <v>19.73</v>
      </c>
      <c r="U82" s="2"/>
      <c r="V82" s="7">
        <f t="shared" si="61"/>
        <v>0</v>
      </c>
      <c r="W82" s="2"/>
      <c r="X82" s="6">
        <f t="shared" si="62"/>
        <v>48.929999999999993</v>
      </c>
      <c r="Y82" s="2"/>
      <c r="Z82" s="7">
        <f t="shared" si="63"/>
        <v>2.4799797263051189</v>
      </c>
    </row>
    <row r="83" spans="1:26" s="24" customFormat="1" hidden="1" outlineLevel="2" x14ac:dyDescent="0.25">
      <c r="A83" s="25"/>
      <c r="B83" s="11" t="str">
        <f>CONCATENATE("          ", "6247", " - ", "STORE SUPPLIES")</f>
        <v xml:space="preserve">          6247 - STORE SUPPLIES</v>
      </c>
      <c r="C83" s="11"/>
      <c r="D83" s="6">
        <v>9512.59</v>
      </c>
      <c r="E83" s="2"/>
      <c r="F83" s="7">
        <f t="shared" si="56"/>
        <v>0</v>
      </c>
      <c r="G83" s="2"/>
      <c r="H83" s="6">
        <v>-213.8</v>
      </c>
      <c r="I83" s="2"/>
      <c r="J83" s="7">
        <f t="shared" si="57"/>
        <v>0</v>
      </c>
      <c r="K83" s="2"/>
      <c r="L83" s="6">
        <f t="shared" si="58"/>
        <v>9726.39</v>
      </c>
      <c r="M83" s="2"/>
      <c r="N83" s="7">
        <f t="shared" si="59"/>
        <v>-45.49293732460243</v>
      </c>
      <c r="O83" s="11"/>
      <c r="P83" s="6">
        <v>12337.38</v>
      </c>
      <c r="Q83" s="2"/>
      <c r="R83" s="7">
        <f t="shared" si="60"/>
        <v>0</v>
      </c>
      <c r="S83" s="2"/>
      <c r="T83" s="6">
        <v>-117.19</v>
      </c>
      <c r="U83" s="2"/>
      <c r="V83" s="7">
        <f t="shared" si="61"/>
        <v>0</v>
      </c>
      <c r="W83" s="2"/>
      <c r="X83" s="6">
        <f t="shared" si="62"/>
        <v>12454.57</v>
      </c>
      <c r="Y83" s="2"/>
      <c r="Z83" s="7">
        <f t="shared" si="63"/>
        <v>-106.27673009642461</v>
      </c>
    </row>
    <row r="84" spans="1:26" s="26" customFormat="1" outlineLevel="1" collapsed="1" x14ac:dyDescent="0.25">
      <c r="A84" s="27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SUM(OSRRefD22_19x_0)</f>
        <v>499.15</v>
      </c>
      <c r="E84" s="1"/>
      <c r="F84" s="5">
        <f t="shared" ref="F84:F91" si="64">IF(D$12=0,0,D84/D$12)</f>
        <v>0</v>
      </c>
      <c r="G84" s="1"/>
      <c r="H84" s="1">
        <f>SUM(OSRRefH22_19x_0)</f>
        <v>502.91</v>
      </c>
      <c r="I84" s="1"/>
      <c r="J84" s="5">
        <f t="shared" ref="J84:J91" si="65">IF(H$12=0,0,H84/H$12)</f>
        <v>0</v>
      </c>
      <c r="K84" s="1"/>
      <c r="L84" s="1">
        <f t="shared" ref="L84:L91" si="66">+D84-H84</f>
        <v>-3.7600000000000477</v>
      </c>
      <c r="M84" s="1"/>
      <c r="N84" s="5">
        <f t="shared" ref="N84:N91" si="67">IF(H84=0,0,L84/H84)</f>
        <v>-7.4764868465531558E-3</v>
      </c>
      <c r="O84" s="13"/>
      <c r="P84" s="1">
        <f>SUM(OSRRefP22_19x_0)</f>
        <v>3153.28</v>
      </c>
      <c r="Q84" s="1"/>
      <c r="R84" s="5">
        <f t="shared" ref="R84:R91" si="68">IF(P$12=0,0,P84/P$12)</f>
        <v>0</v>
      </c>
      <c r="S84" s="1"/>
      <c r="T84" s="1">
        <f>SUM(OSRRefT22_19x_0)</f>
        <v>2635.7</v>
      </c>
      <c r="U84" s="1"/>
      <c r="V84" s="5">
        <f t="shared" ref="V84:V91" si="69">IF(T$12=0,0,T84/T$12)</f>
        <v>0</v>
      </c>
      <c r="W84" s="1"/>
      <c r="X84" s="1">
        <f t="shared" ref="X84:X91" si="70">+P84-T84</f>
        <v>517.58000000000038</v>
      </c>
      <c r="Y84" s="1"/>
      <c r="Z84" s="5">
        <f t="shared" ref="Z84:Z91" si="71">IF(T84=0,0,X84/T84)</f>
        <v>0.19637288006981082</v>
      </c>
    </row>
    <row r="85" spans="1:26" s="24" customFormat="1" hidden="1" outlineLevel="2" x14ac:dyDescent="0.25">
      <c r="A85" s="25"/>
      <c r="B85" s="11" t="str">
        <f>CONCATENATE("          ", "6309", " - ", "TELEPHONE")</f>
        <v xml:space="preserve">          6309 - TELEPHONE</v>
      </c>
      <c r="C85" s="11"/>
      <c r="D85" s="6">
        <v>499.15</v>
      </c>
      <c r="E85" s="2"/>
      <c r="F85" s="7">
        <f t="shared" si="64"/>
        <v>0</v>
      </c>
      <c r="G85" s="2"/>
      <c r="H85" s="6">
        <v>502.91</v>
      </c>
      <c r="I85" s="2"/>
      <c r="J85" s="7">
        <f t="shared" si="65"/>
        <v>0</v>
      </c>
      <c r="K85" s="2"/>
      <c r="L85" s="6">
        <f t="shared" si="66"/>
        <v>-3.7600000000000477</v>
      </c>
      <c r="M85" s="2"/>
      <c r="N85" s="7">
        <f t="shared" si="67"/>
        <v>-7.4764868465531558E-3</v>
      </c>
      <c r="O85" s="11"/>
      <c r="P85" s="6">
        <v>3153.28</v>
      </c>
      <c r="Q85" s="2"/>
      <c r="R85" s="7">
        <f t="shared" si="68"/>
        <v>0</v>
      </c>
      <c r="S85" s="2"/>
      <c r="T85" s="6">
        <v>2635.7</v>
      </c>
      <c r="U85" s="2"/>
      <c r="V85" s="7">
        <f t="shared" si="69"/>
        <v>0</v>
      </c>
      <c r="W85" s="2"/>
      <c r="X85" s="6">
        <f t="shared" si="70"/>
        <v>517.58000000000038</v>
      </c>
      <c r="Y85" s="2"/>
      <c r="Z85" s="7">
        <f t="shared" si="71"/>
        <v>0.19637288006981082</v>
      </c>
    </row>
    <row r="86" spans="1:26" s="26" customFormat="1" outlineLevel="1" collapsed="1" x14ac:dyDescent="0.25">
      <c r="A86" s="27"/>
      <c r="B86" s="13" t="str">
        <f>CONCATENATE("     ","Training                                          ")</f>
        <v xml:space="preserve">     Training                                          </v>
      </c>
      <c r="C86" s="13"/>
      <c r="D86" s="1">
        <f>SUM(OSRRefD22_20x_0)</f>
        <v>0</v>
      </c>
      <c r="E86" s="1"/>
      <c r="F86" s="5">
        <f t="shared" si="64"/>
        <v>0</v>
      </c>
      <c r="G86" s="1"/>
      <c r="H86" s="1">
        <f>SUM(OSRRefH22_20x_0)</f>
        <v>1909.92</v>
      </c>
      <c r="I86" s="1"/>
      <c r="J86" s="5">
        <f t="shared" si="65"/>
        <v>0</v>
      </c>
      <c r="K86" s="1"/>
      <c r="L86" s="1">
        <f t="shared" si="66"/>
        <v>-1909.92</v>
      </c>
      <c r="M86" s="1"/>
      <c r="N86" s="5">
        <f t="shared" si="67"/>
        <v>-1</v>
      </c>
      <c r="O86" s="13"/>
      <c r="P86" s="1">
        <f>SUM(OSRRefP22_20x_0)</f>
        <v>131.63</v>
      </c>
      <c r="Q86" s="1"/>
      <c r="R86" s="5">
        <f t="shared" si="68"/>
        <v>0</v>
      </c>
      <c r="S86" s="1"/>
      <c r="T86" s="1">
        <f>SUM(OSRRefT22_20x_0)</f>
        <v>5379.44</v>
      </c>
      <c r="U86" s="1"/>
      <c r="V86" s="5">
        <f t="shared" si="69"/>
        <v>0</v>
      </c>
      <c r="W86" s="1"/>
      <c r="X86" s="1">
        <f t="shared" si="70"/>
        <v>-5247.8099999999995</v>
      </c>
      <c r="Y86" s="1"/>
      <c r="Z86" s="5">
        <f t="shared" si="71"/>
        <v>-0.975530910280624</v>
      </c>
    </row>
    <row r="87" spans="1:26" s="24" customFormat="1" hidden="1" outlineLevel="2" x14ac:dyDescent="0.25">
      <c r="A87" s="25"/>
      <c r="B87" s="11" t="str">
        <f>CONCATENATE("          ", "6376", " - ", "TRAINING")</f>
        <v xml:space="preserve">          6376 - TRAINING</v>
      </c>
      <c r="C87" s="11"/>
      <c r="D87" s="6"/>
      <c r="E87" s="2"/>
      <c r="F87" s="7">
        <f t="shared" si="64"/>
        <v>0</v>
      </c>
      <c r="G87" s="2"/>
      <c r="H87" s="6">
        <v>1909.92</v>
      </c>
      <c r="I87" s="2"/>
      <c r="J87" s="7">
        <f t="shared" si="65"/>
        <v>0</v>
      </c>
      <c r="K87" s="2"/>
      <c r="L87" s="6">
        <f t="shared" si="66"/>
        <v>-1909.92</v>
      </c>
      <c r="M87" s="2"/>
      <c r="N87" s="7">
        <f t="shared" si="67"/>
        <v>-1</v>
      </c>
      <c r="O87" s="11"/>
      <c r="P87" s="6">
        <v>131.63</v>
      </c>
      <c r="Q87" s="2"/>
      <c r="R87" s="7">
        <f t="shared" si="68"/>
        <v>0</v>
      </c>
      <c r="S87" s="2"/>
      <c r="T87" s="6">
        <v>5379.44</v>
      </c>
      <c r="U87" s="2"/>
      <c r="V87" s="7">
        <f t="shared" si="69"/>
        <v>0</v>
      </c>
      <c r="W87" s="2"/>
      <c r="X87" s="6">
        <f t="shared" si="70"/>
        <v>-5247.8099999999995</v>
      </c>
      <c r="Y87" s="2"/>
      <c r="Z87" s="7">
        <f t="shared" si="71"/>
        <v>-0.975530910280624</v>
      </c>
    </row>
    <row r="88" spans="1:26" s="26" customFormat="1" outlineLevel="1" collapsed="1" x14ac:dyDescent="0.25">
      <c r="A88" s="27"/>
      <c r="B88" s="13" t="str">
        <f>CONCATENATE("     ","Travel                                            ")</f>
        <v xml:space="preserve">     Travel                                            </v>
      </c>
      <c r="C88" s="13"/>
      <c r="D88" s="1">
        <f>SUM(OSRRefD22_21x_0)</f>
        <v>299</v>
      </c>
      <c r="E88" s="1"/>
      <c r="F88" s="5">
        <f t="shared" si="64"/>
        <v>0</v>
      </c>
      <c r="G88" s="1"/>
      <c r="H88" s="1">
        <f>SUM(OSRRefH22_21x_0)</f>
        <v>112.98</v>
      </c>
      <c r="I88" s="1"/>
      <c r="J88" s="5">
        <f t="shared" si="65"/>
        <v>0</v>
      </c>
      <c r="K88" s="1"/>
      <c r="L88" s="1">
        <f t="shared" si="66"/>
        <v>186.01999999999998</v>
      </c>
      <c r="M88" s="1"/>
      <c r="N88" s="5">
        <f t="shared" si="67"/>
        <v>1.6464861037351741</v>
      </c>
      <c r="O88" s="13"/>
      <c r="P88" s="1">
        <f>SUM(OSRRefP22_21x_0)</f>
        <v>358.89</v>
      </c>
      <c r="Q88" s="1"/>
      <c r="R88" s="5">
        <f t="shared" si="68"/>
        <v>0</v>
      </c>
      <c r="S88" s="1"/>
      <c r="T88" s="1">
        <f>SUM(OSRRefT22_21x_0)</f>
        <v>732.65</v>
      </c>
      <c r="U88" s="1"/>
      <c r="V88" s="5">
        <f t="shared" si="69"/>
        <v>0</v>
      </c>
      <c r="W88" s="1"/>
      <c r="X88" s="1">
        <f t="shared" si="70"/>
        <v>-373.76</v>
      </c>
      <c r="Y88" s="1"/>
      <c r="Z88" s="5">
        <f t="shared" si="71"/>
        <v>-0.51014809254077664</v>
      </c>
    </row>
    <row r="89" spans="1:26" s="24" customFormat="1" hidden="1" outlineLevel="2" x14ac:dyDescent="0.25">
      <c r="A89" s="25"/>
      <c r="B89" s="11" t="str">
        <f>CONCATENATE("          ", "6292", " - ", "TRAVEL/CONFERENCE")</f>
        <v xml:space="preserve">          6292 - TRAVEL/CONFERENCE</v>
      </c>
      <c r="C89" s="11"/>
      <c r="D89" s="6">
        <v>299</v>
      </c>
      <c r="E89" s="2"/>
      <c r="F89" s="7">
        <f t="shared" si="64"/>
        <v>0</v>
      </c>
      <c r="G89" s="2"/>
      <c r="H89" s="6">
        <v>47.96</v>
      </c>
      <c r="I89" s="2"/>
      <c r="J89" s="7">
        <f t="shared" si="65"/>
        <v>0</v>
      </c>
      <c r="K89" s="2"/>
      <c r="L89" s="6">
        <f t="shared" si="66"/>
        <v>251.04</v>
      </c>
      <c r="M89" s="2"/>
      <c r="N89" s="7">
        <f t="shared" si="67"/>
        <v>5.2343619683069225</v>
      </c>
      <c r="O89" s="11"/>
      <c r="P89" s="6">
        <v>299</v>
      </c>
      <c r="Q89" s="2"/>
      <c r="R89" s="7">
        <f t="shared" si="68"/>
        <v>0</v>
      </c>
      <c r="S89" s="2"/>
      <c r="T89" s="6">
        <v>497.64</v>
      </c>
      <c r="U89" s="2"/>
      <c r="V89" s="7">
        <f t="shared" si="69"/>
        <v>0</v>
      </c>
      <c r="W89" s="2"/>
      <c r="X89" s="6">
        <f t="shared" si="70"/>
        <v>-198.64</v>
      </c>
      <c r="Y89" s="2"/>
      <c r="Z89" s="7">
        <f t="shared" si="71"/>
        <v>-0.39916405433646812</v>
      </c>
    </row>
    <row r="90" spans="1:26" s="24" customFormat="1" hidden="1" outlineLevel="2" x14ac:dyDescent="0.25">
      <c r="A90" s="25"/>
      <c r="B90" s="11" t="str">
        <f>CONCATENATE("          ", "6294", " - ", "TRAVEL OPERATIONAL")</f>
        <v xml:space="preserve">          6294 - TRAVEL OPERATIONAL</v>
      </c>
      <c r="C90" s="11"/>
      <c r="D90" s="6"/>
      <c r="E90" s="2"/>
      <c r="F90" s="7">
        <f t="shared" si="64"/>
        <v>0</v>
      </c>
      <c r="G90" s="2"/>
      <c r="H90" s="6">
        <v>15.67</v>
      </c>
      <c r="I90" s="2"/>
      <c r="J90" s="7">
        <f t="shared" si="65"/>
        <v>0</v>
      </c>
      <c r="K90" s="2"/>
      <c r="L90" s="6">
        <f t="shared" si="66"/>
        <v>-15.67</v>
      </c>
      <c r="M90" s="2"/>
      <c r="N90" s="7">
        <f t="shared" si="67"/>
        <v>-1</v>
      </c>
      <c r="O90" s="11"/>
      <c r="P90" s="6"/>
      <c r="Q90" s="2"/>
      <c r="R90" s="7">
        <f t="shared" si="68"/>
        <v>0</v>
      </c>
      <c r="S90" s="2"/>
      <c r="T90" s="6">
        <v>15.67</v>
      </c>
      <c r="U90" s="2"/>
      <c r="V90" s="7">
        <f t="shared" si="69"/>
        <v>0</v>
      </c>
      <c r="W90" s="2"/>
      <c r="X90" s="6">
        <f t="shared" si="70"/>
        <v>-15.67</v>
      </c>
      <c r="Y90" s="2"/>
      <c r="Z90" s="7">
        <f t="shared" si="71"/>
        <v>-1</v>
      </c>
    </row>
    <row r="91" spans="1:26" s="24" customFormat="1" hidden="1" outlineLevel="2" x14ac:dyDescent="0.25">
      <c r="A91" s="25"/>
      <c r="B91" s="11" t="str">
        <f>CONCATENATE("          ", "6298", " - ", "VEHICLE MILEAGE")</f>
        <v xml:space="preserve">          6298 - VEHICLE MILEAGE</v>
      </c>
      <c r="C91" s="11"/>
      <c r="D91" s="6"/>
      <c r="E91" s="2"/>
      <c r="F91" s="7">
        <f t="shared" si="64"/>
        <v>0</v>
      </c>
      <c r="G91" s="2"/>
      <c r="H91" s="6">
        <v>49.35</v>
      </c>
      <c r="I91" s="2"/>
      <c r="J91" s="7">
        <f t="shared" si="65"/>
        <v>0</v>
      </c>
      <c r="K91" s="2"/>
      <c r="L91" s="6">
        <f t="shared" si="66"/>
        <v>-49.35</v>
      </c>
      <c r="M91" s="2"/>
      <c r="N91" s="7">
        <f t="shared" si="67"/>
        <v>-1</v>
      </c>
      <c r="O91" s="11"/>
      <c r="P91" s="6">
        <v>59.89</v>
      </c>
      <c r="Q91" s="2"/>
      <c r="R91" s="7">
        <f t="shared" si="68"/>
        <v>0</v>
      </c>
      <c r="S91" s="2"/>
      <c r="T91" s="6">
        <v>219.34</v>
      </c>
      <c r="U91" s="2"/>
      <c r="V91" s="7">
        <f t="shared" si="69"/>
        <v>0</v>
      </c>
      <c r="W91" s="2"/>
      <c r="X91" s="6">
        <f t="shared" si="70"/>
        <v>-159.44999999999999</v>
      </c>
      <c r="Y91" s="2"/>
      <c r="Z91" s="7">
        <f t="shared" si="71"/>
        <v>-0.72695358803683774</v>
      </c>
    </row>
    <row r="92" spans="1:26" s="26" customFormat="1" outlineLevel="1" collapsed="1" x14ac:dyDescent="0.25">
      <c r="A92" s="27"/>
      <c r="B92" s="13" t="str">
        <f>CONCATENATE("     ","Utilities                                         ")</f>
        <v xml:space="preserve">     Utilities                                         </v>
      </c>
      <c r="C92" s="13"/>
      <c r="D92" s="1">
        <f>SUM(OSRRefD22_22x_0)</f>
        <v>6133</v>
      </c>
      <c r="E92" s="1"/>
      <c r="F92" s="5">
        <f t="shared" ref="F92:F93" si="72">IF(D$12=0,0,D92/D$12)</f>
        <v>0</v>
      </c>
      <c r="G92" s="1"/>
      <c r="H92" s="1">
        <f>SUM(OSRRefH22_22x_0)</f>
        <v>5593</v>
      </c>
      <c r="I92" s="1"/>
      <c r="J92" s="5">
        <f t="shared" ref="J92:J93" si="73">IF(H$12=0,0,H92/H$12)</f>
        <v>0</v>
      </c>
      <c r="K92" s="1"/>
      <c r="L92" s="1">
        <f t="shared" ref="L92:L93" si="74">+D92-H92</f>
        <v>540</v>
      </c>
      <c r="M92" s="1"/>
      <c r="N92" s="5">
        <f t="shared" ref="N92:N93" si="75">IF(H92=0,0,L92/H92)</f>
        <v>9.6549258001072766E-2</v>
      </c>
      <c r="O92" s="13"/>
      <c r="P92" s="1">
        <f>SUM(OSRRefP22_22x_0)</f>
        <v>30469</v>
      </c>
      <c r="Q92" s="1"/>
      <c r="R92" s="5">
        <f t="shared" ref="R92:R93" si="76">IF(P$12=0,0,P92/P$12)</f>
        <v>0</v>
      </c>
      <c r="S92" s="1"/>
      <c r="T92" s="1">
        <f>SUM(OSRRefT22_22x_0)</f>
        <v>22372</v>
      </c>
      <c r="U92" s="1"/>
      <c r="V92" s="5">
        <f t="shared" ref="V92:V93" si="77">IF(T$12=0,0,T92/T$12)</f>
        <v>0</v>
      </c>
      <c r="W92" s="1"/>
      <c r="X92" s="1">
        <f t="shared" ref="X92:X93" si="78">+P92-T92</f>
        <v>8097</v>
      </c>
      <c r="Y92" s="1"/>
      <c r="Z92" s="5">
        <f t="shared" ref="Z92:Z93" si="79">IF(T92=0,0,X92/T92)</f>
        <v>0.36192562131235473</v>
      </c>
    </row>
    <row r="93" spans="1:26" s="24" customFormat="1" hidden="1" outlineLevel="2" x14ac:dyDescent="0.25">
      <c r="A93" s="25"/>
      <c r="B93" s="11" t="str">
        <f>CONCATENATE("          ", "6274", " - ", "UTILITIES")</f>
        <v xml:space="preserve">          6274 - UTILITIES</v>
      </c>
      <c r="C93" s="11"/>
      <c r="D93" s="6">
        <v>6133</v>
      </c>
      <c r="E93" s="2"/>
      <c r="F93" s="7">
        <f t="shared" si="72"/>
        <v>0</v>
      </c>
      <c r="G93" s="2"/>
      <c r="H93" s="6">
        <v>5593</v>
      </c>
      <c r="I93" s="2"/>
      <c r="J93" s="7">
        <f t="shared" si="73"/>
        <v>0</v>
      </c>
      <c r="K93" s="2"/>
      <c r="L93" s="6">
        <f t="shared" si="74"/>
        <v>540</v>
      </c>
      <c r="M93" s="2"/>
      <c r="N93" s="7">
        <f t="shared" si="75"/>
        <v>9.6549258001072766E-2</v>
      </c>
      <c r="O93" s="11"/>
      <c r="P93" s="6">
        <v>30469</v>
      </c>
      <c r="Q93" s="2"/>
      <c r="R93" s="7">
        <f t="shared" si="76"/>
        <v>0</v>
      </c>
      <c r="S93" s="2"/>
      <c r="T93" s="6">
        <v>22372</v>
      </c>
      <c r="U93" s="2"/>
      <c r="V93" s="7">
        <f t="shared" si="77"/>
        <v>0</v>
      </c>
      <c r="W93" s="2"/>
      <c r="X93" s="6">
        <f t="shared" si="78"/>
        <v>8097</v>
      </c>
      <c r="Y93" s="2"/>
      <c r="Z93" s="7">
        <f t="shared" si="79"/>
        <v>0.36192562131235473</v>
      </c>
    </row>
    <row r="94" spans="1:26" s="53" customFormat="1" x14ac:dyDescent="0.25">
      <c r="A94" s="37"/>
      <c r="B94" s="37"/>
      <c r="C94" s="37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7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3" customFormat="1" collapsed="1" x14ac:dyDescent="0.25">
      <c r="A95" s="10"/>
      <c r="B95" s="29" t="s">
        <v>0</v>
      </c>
      <c r="C95" s="10"/>
      <c r="D95" s="4">
        <f>SUM(OSRRefD25x_0)</f>
        <v>49798.51</v>
      </c>
      <c r="E95" s="4"/>
      <c r="F95" s="12">
        <f t="shared" ref="F95:F98" si="80">IF(D$12=0,0,D95/D$12)</f>
        <v>0</v>
      </c>
      <c r="G95" s="4"/>
      <c r="H95" s="4">
        <f>SUM(OSRRefH25x_0)</f>
        <v>6198.91</v>
      </c>
      <c r="I95" s="4"/>
      <c r="J95" s="12">
        <f t="shared" ref="J95:J98" si="81">IF(H$12=0,0,H95/H$12)</f>
        <v>0</v>
      </c>
      <c r="K95" s="4"/>
      <c r="L95" s="4">
        <f t="shared" ref="L95:L98" si="82">+D95-H95</f>
        <v>43599.600000000006</v>
      </c>
      <c r="M95" s="4"/>
      <c r="N95" s="12">
        <f t="shared" ref="N95:N98" si="83">IF(H95=0,0,L95/H95)</f>
        <v>7.0334300707705077</v>
      </c>
      <c r="O95" s="10"/>
      <c r="P95" s="4">
        <f>SUM(OSRRefP25x_0)</f>
        <v>120510.23</v>
      </c>
      <c r="Q95" s="4"/>
      <c r="R95" s="12">
        <f t="shared" ref="R95:R98" si="84">IF(P$12=0,0,P95/P$12)</f>
        <v>0</v>
      </c>
      <c r="S95" s="4"/>
      <c r="T95" s="4">
        <f>SUM(OSRRefT25x_0)</f>
        <v>91050.140000000014</v>
      </c>
      <c r="U95" s="4"/>
      <c r="V95" s="12">
        <f t="shared" ref="V95:V98" si="85">IF(T$12=0,0,T95/T$12)</f>
        <v>0</v>
      </c>
      <c r="W95" s="4"/>
      <c r="X95" s="4">
        <f t="shared" ref="X95:X98" si="86">+P95-T95</f>
        <v>29460.089999999982</v>
      </c>
      <c r="Y95" s="4"/>
      <c r="Z95" s="12">
        <f t="shared" ref="Z95:Z98" si="87">IF(T95=0,0,X95/T95)</f>
        <v>0.3235589753074512</v>
      </c>
    </row>
    <row r="96" spans="1:26" s="24" customFormat="1" hidden="1" outlineLevel="1" x14ac:dyDescent="0.25">
      <c r="A96" s="44"/>
      <c r="B96" s="11" t="str">
        <f>CONCATENATE("          ", "9150", " - ", "MISC. INCOME")</f>
        <v xml:space="preserve">          9150 - MISC. INCOME</v>
      </c>
      <c r="C96" s="11"/>
      <c r="D96" s="2">
        <f>--49798.51</f>
        <v>49798.51</v>
      </c>
      <c r="E96" s="2"/>
      <c r="F96" s="19">
        <f t="shared" si="80"/>
        <v>0</v>
      </c>
      <c r="G96" s="2"/>
      <c r="H96" s="2">
        <f>--5748.91</f>
        <v>5748.91</v>
      </c>
      <c r="I96" s="2"/>
      <c r="J96" s="19">
        <f t="shared" si="81"/>
        <v>0</v>
      </c>
      <c r="K96" s="2"/>
      <c r="L96" s="2">
        <f t="shared" si="82"/>
        <v>44049.600000000006</v>
      </c>
      <c r="M96" s="2"/>
      <c r="N96" s="19">
        <f t="shared" si="83"/>
        <v>7.6622524965602183</v>
      </c>
      <c r="O96" s="11"/>
      <c r="P96" s="2">
        <f>--120510.23</f>
        <v>120510.23</v>
      </c>
      <c r="Q96" s="2"/>
      <c r="R96" s="19">
        <f t="shared" si="84"/>
        <v>0</v>
      </c>
      <c r="S96" s="2"/>
      <c r="T96" s="2">
        <f>--91052.07</f>
        <v>91052.07</v>
      </c>
      <c r="U96" s="2"/>
      <c r="V96" s="19">
        <f t="shared" si="85"/>
        <v>0</v>
      </c>
      <c r="W96" s="2"/>
      <c r="X96" s="2">
        <f t="shared" si="86"/>
        <v>29458.159999999989</v>
      </c>
      <c r="Y96" s="2"/>
      <c r="Z96" s="19">
        <f t="shared" si="87"/>
        <v>0.32353092027451968</v>
      </c>
    </row>
    <row r="97" spans="1:26" s="24" customFormat="1" hidden="1" outlineLevel="1" x14ac:dyDescent="0.25">
      <c r="A97" s="44"/>
      <c r="B97" s="11" t="str">
        <f>CONCATENATE("          ", "9151", " - ", "MISC. INCOME")</f>
        <v xml:space="preserve">          9151 - MISC. INCOME</v>
      </c>
      <c r="C97" s="11"/>
      <c r="D97" s="2">
        <f t="shared" ref="D97:D98" si="88">0</f>
        <v>0</v>
      </c>
      <c r="E97" s="2"/>
      <c r="F97" s="19">
        <f t="shared" si="80"/>
        <v>0</v>
      </c>
      <c r="G97" s="2"/>
      <c r="H97" s="2">
        <f>0</f>
        <v>0</v>
      </c>
      <c r="I97" s="2"/>
      <c r="J97" s="19">
        <f t="shared" si="81"/>
        <v>0</v>
      </c>
      <c r="K97" s="2"/>
      <c r="L97" s="2">
        <f t="shared" si="82"/>
        <v>0</v>
      </c>
      <c r="M97" s="2"/>
      <c r="N97" s="19">
        <f t="shared" si="83"/>
        <v>0</v>
      </c>
      <c r="O97" s="11"/>
      <c r="P97" s="2">
        <f t="shared" ref="P97:P98" si="89">0</f>
        <v>0</v>
      </c>
      <c r="Q97" s="2"/>
      <c r="R97" s="19">
        <f t="shared" si="84"/>
        <v>0</v>
      </c>
      <c r="S97" s="2"/>
      <c r="T97" s="2">
        <f>-451.93</f>
        <v>-451.93</v>
      </c>
      <c r="U97" s="2"/>
      <c r="V97" s="19">
        <f t="shared" si="85"/>
        <v>0</v>
      </c>
      <c r="W97" s="2"/>
      <c r="X97" s="2">
        <f t="shared" si="86"/>
        <v>451.93</v>
      </c>
      <c r="Y97" s="2"/>
      <c r="Z97" s="19">
        <f t="shared" si="87"/>
        <v>-1</v>
      </c>
    </row>
    <row r="98" spans="1:26" s="24" customFormat="1" hidden="1" outlineLevel="1" x14ac:dyDescent="0.25">
      <c r="A98" s="44"/>
      <c r="B98" s="11" t="str">
        <f>CONCATENATE("          ", "9153", " - ", "MISC. INCOME")</f>
        <v xml:space="preserve">          9153 - MISC. INCOME</v>
      </c>
      <c r="C98" s="11"/>
      <c r="D98" s="2">
        <f t="shared" si="88"/>
        <v>0</v>
      </c>
      <c r="E98" s="2"/>
      <c r="F98" s="19">
        <f t="shared" si="80"/>
        <v>0</v>
      </c>
      <c r="G98" s="2"/>
      <c r="H98" s="2">
        <f>--450</f>
        <v>450</v>
      </c>
      <c r="I98" s="2"/>
      <c r="J98" s="19">
        <f t="shared" si="81"/>
        <v>0</v>
      </c>
      <c r="K98" s="2"/>
      <c r="L98" s="2">
        <f t="shared" si="82"/>
        <v>-450</v>
      </c>
      <c r="M98" s="2"/>
      <c r="N98" s="19">
        <f t="shared" si="83"/>
        <v>-1</v>
      </c>
      <c r="O98" s="11"/>
      <c r="P98" s="2">
        <f t="shared" si="89"/>
        <v>0</v>
      </c>
      <c r="Q98" s="2"/>
      <c r="R98" s="19">
        <f t="shared" si="84"/>
        <v>0</v>
      </c>
      <c r="S98" s="2"/>
      <c r="T98" s="2">
        <f>--450</f>
        <v>450</v>
      </c>
      <c r="U98" s="2"/>
      <c r="V98" s="19">
        <f t="shared" si="85"/>
        <v>0</v>
      </c>
      <c r="W98" s="2"/>
      <c r="X98" s="2">
        <f t="shared" si="86"/>
        <v>-450</v>
      </c>
      <c r="Y98" s="2"/>
      <c r="Z98" s="19">
        <f t="shared" si="87"/>
        <v>-1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8" t="s">
        <v>3</v>
      </c>
      <c r="C100" s="28"/>
      <c r="D100" s="20">
        <f>+D16-D18+D95</f>
        <v>-46503.08999999996</v>
      </c>
      <c r="E100" s="14"/>
      <c r="F100" s="22">
        <f>IF(D$12=0,0,D100/D$12)</f>
        <v>0</v>
      </c>
      <c r="G100" s="14"/>
      <c r="H100" s="20">
        <f>+H16-H18+H95</f>
        <v>-112282.32000000002</v>
      </c>
      <c r="I100" s="14"/>
      <c r="J100" s="22">
        <f>IF(H$12=0,0,H100/H$12)</f>
        <v>0</v>
      </c>
      <c r="K100" s="15"/>
      <c r="L100" s="20">
        <f>+D100-H100</f>
        <v>65779.230000000069</v>
      </c>
      <c r="M100" s="15"/>
      <c r="N100" s="22">
        <f>IF(H100=0,0,L100/H100)</f>
        <v>-0.58583782379986493</v>
      </c>
      <c r="O100" s="29"/>
      <c r="P100" s="20">
        <f>+P16-P18+P95</f>
        <v>-510881.88000000012</v>
      </c>
      <c r="Q100" s="14"/>
      <c r="R100" s="22">
        <f>IF(P$12=0,0,P100/P$12)</f>
        <v>0</v>
      </c>
      <c r="S100" s="14"/>
      <c r="T100" s="20">
        <f>+T16-T18+T95</f>
        <v>-587438.26000000013</v>
      </c>
      <c r="U100" s="14"/>
      <c r="V100" s="22">
        <f>IF(T$12=0,0,T100/T$12)</f>
        <v>0</v>
      </c>
      <c r="W100" s="15"/>
      <c r="X100" s="20">
        <f>+P100-T100</f>
        <v>76556.38</v>
      </c>
      <c r="Y100" s="15"/>
      <c r="Z100" s="22">
        <f>IF(T100=0,0,X100/T100)</f>
        <v>-0.13032242741560618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1"/>
      <c r="B102" s="10" t="s">
        <v>13</v>
      </c>
      <c r="C102" s="10"/>
      <c r="D102" s="4"/>
      <c r="E102" s="4"/>
      <c r="F102" s="12">
        <f>IF(D$12=0,0,D102/D$12)</f>
        <v>0</v>
      </c>
      <c r="G102" s="4"/>
      <c r="H102" s="4"/>
      <c r="I102" s="4"/>
      <c r="J102" s="12">
        <f>IF(H$12=0,0,H102/H$12)</f>
        <v>0</v>
      </c>
      <c r="K102" s="4"/>
      <c r="L102" s="4">
        <f>+D102-H102</f>
        <v>0</v>
      </c>
      <c r="M102" s="4"/>
      <c r="N102" s="12">
        <f>IF(H102=0,0,L102/H102)</f>
        <v>0</v>
      </c>
      <c r="O102" s="10"/>
      <c r="P102" s="4"/>
      <c r="Q102" s="4"/>
      <c r="R102" s="12">
        <f>IF(P$12=0,0,P102/P$12)</f>
        <v>0</v>
      </c>
      <c r="S102" s="4"/>
      <c r="T102" s="4"/>
      <c r="U102" s="4"/>
      <c r="V102" s="12">
        <f>IF(T$12=0,0,T102/T$12)</f>
        <v>0</v>
      </c>
      <c r="W102" s="4"/>
      <c r="X102" s="4">
        <f>+P102-T102</f>
        <v>0</v>
      </c>
      <c r="Y102" s="4"/>
      <c r="Z102" s="12">
        <f>IF(T102=0,0,X102/T102)</f>
        <v>0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8" t="s">
        <v>4</v>
      </c>
      <c r="C104" s="28"/>
      <c r="D104" s="31">
        <f>+D100-D102</f>
        <v>-46503.08999999996</v>
      </c>
      <c r="E104" s="14"/>
      <c r="F104" s="34">
        <f>IF(D$12=0,0,D104/D$12)</f>
        <v>0</v>
      </c>
      <c r="G104" s="14"/>
      <c r="H104" s="31">
        <f>+H100-H102</f>
        <v>-112282.32000000002</v>
      </c>
      <c r="I104" s="14"/>
      <c r="J104" s="34">
        <f>IF(H$12=0,0,H104/H$12)</f>
        <v>0</v>
      </c>
      <c r="K104" s="15"/>
      <c r="L104" s="31">
        <f>D104-H104</f>
        <v>65779.230000000069</v>
      </c>
      <c r="M104" s="15"/>
      <c r="N104" s="34">
        <f>IF(H104=0,0,L104/H104)</f>
        <v>-0.58583782379986493</v>
      </c>
      <c r="O104" s="29"/>
      <c r="P104" s="31">
        <f>+P100-P102</f>
        <v>-510881.88000000012</v>
      </c>
      <c r="Q104" s="14"/>
      <c r="R104" s="34">
        <f>IF(P$12=0,0,P104/P$12)</f>
        <v>0</v>
      </c>
      <c r="S104" s="14"/>
      <c r="T104" s="31">
        <f>+T100-T102</f>
        <v>-587438.26000000013</v>
      </c>
      <c r="U104" s="14"/>
      <c r="V104" s="34">
        <f>IF(T$12=0,0,T104/T$12)</f>
        <v>0</v>
      </c>
      <c r="W104" s="15"/>
      <c r="X104" s="31">
        <f>P104-T104</f>
        <v>76556.38</v>
      </c>
      <c r="Y104" s="15"/>
      <c r="Z104" s="34">
        <f>IF(T104=0,0,X104/T104)</f>
        <v>-0.13032242741560618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8" t="s">
        <v>5</v>
      </c>
      <c r="C107" s="28"/>
      <c r="D107" s="32">
        <f>SUM(D104:D106)</f>
        <v>-46503.08999999996</v>
      </c>
      <c r="E107" s="14"/>
      <c r="F107" s="30">
        <f>IF(D$12=0,0,D107/D$12)</f>
        <v>0</v>
      </c>
      <c r="G107" s="14"/>
      <c r="H107" s="32">
        <f>SUM(H104:H106)</f>
        <v>-112282.32000000002</v>
      </c>
      <c r="I107" s="14"/>
      <c r="J107" s="30">
        <f>IF(H$12=0,0,H107/H$12)</f>
        <v>0</v>
      </c>
      <c r="K107" s="15"/>
      <c r="L107" s="32">
        <f>+D107-H107</f>
        <v>65779.230000000069</v>
      </c>
      <c r="M107" s="15"/>
      <c r="N107" s="30">
        <f>IF(H107=0,0,L107/H107)</f>
        <v>-0.58583782379986493</v>
      </c>
      <c r="O107" s="29"/>
      <c r="P107" s="32">
        <f>SUM(P104:P106)</f>
        <v>-510881.88000000012</v>
      </c>
      <c r="Q107" s="14"/>
      <c r="R107" s="30">
        <f>IF(P$12=0,0,P107/P$12)</f>
        <v>0</v>
      </c>
      <c r="S107" s="14"/>
      <c r="T107" s="32">
        <f>SUM(T104:T106)</f>
        <v>-587438.26000000013</v>
      </c>
      <c r="U107" s="14"/>
      <c r="V107" s="30">
        <f>IF(T$12=0,0,T107/T$12)</f>
        <v>0</v>
      </c>
      <c r="W107" s="15"/>
      <c r="X107" s="32">
        <f>+P107-T107</f>
        <v>76556.38</v>
      </c>
      <c r="Y107" s="15"/>
      <c r="Z107" s="30">
        <f>IF(T107=0,0,X107/T107)</f>
        <v>-0.13032242741560618</v>
      </c>
    </row>
    <row r="108" spans="1:26" ht="15.75" thickTop="1" x14ac:dyDescent="0.25">
      <c r="A108" s="9"/>
      <c r="C108" s="9"/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A109" s="9"/>
      <c r="B109" s="54">
        <v>44174.685467708332</v>
      </c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A110" s="9"/>
      <c r="B110" s="56" t="s">
        <v>313</v>
      </c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A111" s="9"/>
      <c r="B111" s="61"/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","306", " - ", "Warehouse")</f>
        <v>Department 306 - Warehouse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0.14000000000000001</v>
      </c>
      <c r="E18" s="21"/>
      <c r="F18" s="35">
        <f t="shared" ref="F18:F28" si="0">IF(D$12=0,0,D18/D$12)</f>
        <v>0</v>
      </c>
      <c r="G18" s="21"/>
      <c r="H18" s="21">
        <f>SUM(OSRRefH22x_0)</f>
        <v>26699.5</v>
      </c>
      <c r="I18" s="21"/>
      <c r="J18" s="35">
        <f t="shared" ref="J18:J28" si="1">IF(H$12=0,0,H18/H$12)</f>
        <v>0</v>
      </c>
      <c r="K18" s="4"/>
      <c r="L18" s="21">
        <f t="shared" ref="L18:L28" si="2">+D18-H18</f>
        <v>-26699.360000000001</v>
      </c>
      <c r="M18" s="4"/>
      <c r="N18" s="35">
        <f t="shared" ref="N18:N28" si="3">IF(H18=0,0,L18/H18)</f>
        <v>-0.99999475645611346</v>
      </c>
      <c r="O18" s="10"/>
      <c r="P18" s="21">
        <f>SUM(OSRRefP22x_0)</f>
        <v>0.37000000000004318</v>
      </c>
      <c r="Q18" s="21"/>
      <c r="R18" s="35">
        <f t="shared" ref="R18:R28" si="4">IF(P$12=0,0,P18/P$12)</f>
        <v>0</v>
      </c>
      <c r="S18" s="21"/>
      <c r="T18" s="21">
        <f>SUM(OSRRefT22x_0)</f>
        <v>212465.28</v>
      </c>
      <c r="U18" s="21"/>
      <c r="V18" s="35">
        <f t="shared" ref="V18:V28" si="5">IF(T$12=0,0,T18/T$12)</f>
        <v>0</v>
      </c>
      <c r="W18" s="4"/>
      <c r="X18" s="21">
        <f t="shared" ref="X18:X28" si="6">+P18-T18</f>
        <v>-212464.91</v>
      </c>
      <c r="Y18" s="4"/>
      <c r="Z18" s="35">
        <f t="shared" ref="Z18:Z28" si="7">IF(T18=0,0,X18/T18)</f>
        <v>-0.99999825853899516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0.14000000000000001</v>
      </c>
      <c r="E19" s="1"/>
      <c r="F19" s="5">
        <f t="shared" si="0"/>
        <v>0</v>
      </c>
      <c r="G19" s="1"/>
      <c r="H19" s="1">
        <f>SUM(OSRRefH22_0x_0)</f>
        <v>4919.03</v>
      </c>
      <c r="I19" s="1"/>
      <c r="J19" s="5">
        <f t="shared" si="1"/>
        <v>0</v>
      </c>
      <c r="K19" s="1"/>
      <c r="L19" s="1">
        <f t="shared" si="2"/>
        <v>-4918.8899999999994</v>
      </c>
      <c r="M19" s="1"/>
      <c r="N19" s="5">
        <f t="shared" si="3"/>
        <v>-0.99997153910425418</v>
      </c>
      <c r="O19" s="13"/>
      <c r="P19" s="1">
        <f>SUM(OSRRefP22_0x_0)</f>
        <v>0.1400000000000432</v>
      </c>
      <c r="Q19" s="1"/>
      <c r="R19" s="5">
        <f t="shared" si="4"/>
        <v>0</v>
      </c>
      <c r="S19" s="1"/>
      <c r="T19" s="1">
        <f>SUM(OSRRefT22_0x_0)</f>
        <v>32342.26</v>
      </c>
      <c r="U19" s="1"/>
      <c r="V19" s="5">
        <f t="shared" si="5"/>
        <v>0</v>
      </c>
      <c r="W19" s="1"/>
      <c r="X19" s="1">
        <f t="shared" si="6"/>
        <v>-32342.12</v>
      </c>
      <c r="Y19" s="1"/>
      <c r="Z19" s="5">
        <f t="shared" si="7"/>
        <v>-0.99999567129817146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0.14000000000000001</v>
      </c>
      <c r="E20" s="2"/>
      <c r="F20" s="7">
        <f t="shared" si="0"/>
        <v>0</v>
      </c>
      <c r="G20" s="2"/>
      <c r="H20" s="6">
        <v>708.91</v>
      </c>
      <c r="I20" s="2"/>
      <c r="J20" s="7">
        <f t="shared" si="1"/>
        <v>0</v>
      </c>
      <c r="K20" s="2"/>
      <c r="L20" s="6">
        <f t="shared" si="2"/>
        <v>-708.77</v>
      </c>
      <c r="M20" s="2"/>
      <c r="N20" s="7">
        <f t="shared" si="3"/>
        <v>-0.99980251371824347</v>
      </c>
      <c r="O20" s="11"/>
      <c r="P20" s="6">
        <v>402.04</v>
      </c>
      <c r="Q20" s="2"/>
      <c r="R20" s="7">
        <f t="shared" si="4"/>
        <v>0</v>
      </c>
      <c r="S20" s="2"/>
      <c r="T20" s="6">
        <v>9244.34</v>
      </c>
      <c r="U20" s="2"/>
      <c r="V20" s="7">
        <f t="shared" si="5"/>
        <v>0</v>
      </c>
      <c r="W20" s="2"/>
      <c r="X20" s="6">
        <f t="shared" si="6"/>
        <v>-8842.2999999999993</v>
      </c>
      <c r="Y20" s="2"/>
      <c r="Z20" s="7">
        <f t="shared" si="7"/>
        <v>-0.95650960479601566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/>
      <c r="E21" s="2"/>
      <c r="F21" s="7">
        <f t="shared" si="0"/>
        <v>0</v>
      </c>
      <c r="G21" s="2"/>
      <c r="H21" s="6">
        <v>417.94</v>
      </c>
      <c r="I21" s="2"/>
      <c r="J21" s="7">
        <f t="shared" si="1"/>
        <v>0</v>
      </c>
      <c r="K21" s="2"/>
      <c r="L21" s="6">
        <f t="shared" si="2"/>
        <v>-417.94</v>
      </c>
      <c r="M21" s="2"/>
      <c r="N21" s="7">
        <f t="shared" si="3"/>
        <v>-1</v>
      </c>
      <c r="O21" s="11"/>
      <c r="P21" s="6"/>
      <c r="Q21" s="2"/>
      <c r="R21" s="7">
        <f t="shared" si="4"/>
        <v>0</v>
      </c>
      <c r="S21" s="2"/>
      <c r="T21" s="6">
        <v>2640.9</v>
      </c>
      <c r="U21" s="2"/>
      <c r="V21" s="7">
        <f t="shared" si="5"/>
        <v>0</v>
      </c>
      <c r="W21" s="2"/>
      <c r="X21" s="6">
        <f t="shared" si="6"/>
        <v>-2640.9</v>
      </c>
      <c r="Y21" s="2"/>
      <c r="Z21" s="7">
        <f t="shared" si="7"/>
        <v>-1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0"/>
        <v>0</v>
      </c>
      <c r="G22" s="2"/>
      <c r="H22" s="6">
        <v>1949.27</v>
      </c>
      <c r="I22" s="2"/>
      <c r="J22" s="7">
        <f t="shared" si="1"/>
        <v>0</v>
      </c>
      <c r="K22" s="2"/>
      <c r="L22" s="6">
        <f t="shared" si="2"/>
        <v>-1949.27</v>
      </c>
      <c r="M22" s="2"/>
      <c r="N22" s="7">
        <f t="shared" si="3"/>
        <v>-1</v>
      </c>
      <c r="O22" s="11"/>
      <c r="P22" s="6"/>
      <c r="Q22" s="2"/>
      <c r="R22" s="7">
        <f t="shared" si="4"/>
        <v>0</v>
      </c>
      <c r="S22" s="2"/>
      <c r="T22" s="6">
        <v>9746.35</v>
      </c>
      <c r="U22" s="2"/>
      <c r="V22" s="7">
        <f t="shared" si="5"/>
        <v>0</v>
      </c>
      <c r="W22" s="2"/>
      <c r="X22" s="6">
        <f t="shared" si="6"/>
        <v>-9746.35</v>
      </c>
      <c r="Y22" s="2"/>
      <c r="Z22" s="7">
        <f t="shared" si="7"/>
        <v>-1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/>
      <c r="E23" s="2"/>
      <c r="F23" s="7">
        <f t="shared" si="0"/>
        <v>0</v>
      </c>
      <c r="G23" s="2"/>
      <c r="H23" s="6">
        <v>57.19</v>
      </c>
      <c r="I23" s="2"/>
      <c r="J23" s="7">
        <f t="shared" si="1"/>
        <v>0</v>
      </c>
      <c r="K23" s="2"/>
      <c r="L23" s="6">
        <f t="shared" si="2"/>
        <v>-57.19</v>
      </c>
      <c r="M23" s="2"/>
      <c r="N23" s="7">
        <f t="shared" si="3"/>
        <v>-1</v>
      </c>
      <c r="O23" s="11"/>
      <c r="P23" s="6"/>
      <c r="Q23" s="2"/>
      <c r="R23" s="7">
        <f t="shared" si="4"/>
        <v>0</v>
      </c>
      <c r="S23" s="2"/>
      <c r="T23" s="6">
        <v>457.25</v>
      </c>
      <c r="U23" s="2"/>
      <c r="V23" s="7">
        <f t="shared" si="5"/>
        <v>0</v>
      </c>
      <c r="W23" s="2"/>
      <c r="X23" s="6">
        <f t="shared" si="6"/>
        <v>-457.25</v>
      </c>
      <c r="Y23" s="2"/>
      <c r="Z23" s="7">
        <f t="shared" si="7"/>
        <v>-1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691.3</v>
      </c>
      <c r="I24" s="2"/>
      <c r="J24" s="7">
        <f t="shared" si="1"/>
        <v>0</v>
      </c>
      <c r="K24" s="2"/>
      <c r="L24" s="6">
        <f t="shared" si="2"/>
        <v>-691.3</v>
      </c>
      <c r="M24" s="2"/>
      <c r="N24" s="7">
        <f t="shared" si="3"/>
        <v>-1</v>
      </c>
      <c r="O24" s="11"/>
      <c r="P24" s="6"/>
      <c r="Q24" s="2"/>
      <c r="R24" s="7">
        <f t="shared" si="4"/>
        <v>0</v>
      </c>
      <c r="S24" s="2"/>
      <c r="T24" s="6">
        <v>3737.12</v>
      </c>
      <c r="U24" s="2"/>
      <c r="V24" s="7">
        <f t="shared" si="5"/>
        <v>0</v>
      </c>
      <c r="W24" s="2"/>
      <c r="X24" s="6">
        <f t="shared" si="6"/>
        <v>-3737.12</v>
      </c>
      <c r="Y24" s="2"/>
      <c r="Z24" s="7">
        <f t="shared" si="7"/>
        <v>-1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-401.9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-401.9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/>
      <c r="E26" s="2"/>
      <c r="F26" s="7">
        <f t="shared" si="0"/>
        <v>0</v>
      </c>
      <c r="G26" s="2"/>
      <c r="H26" s="6">
        <v>400.01</v>
      </c>
      <c r="I26" s="2"/>
      <c r="J26" s="7">
        <f t="shared" si="1"/>
        <v>0</v>
      </c>
      <c r="K26" s="2"/>
      <c r="L26" s="6">
        <f t="shared" si="2"/>
        <v>-400.01</v>
      </c>
      <c r="M26" s="2"/>
      <c r="N26" s="7">
        <f t="shared" si="3"/>
        <v>-1</v>
      </c>
      <c r="O26" s="11"/>
      <c r="P26" s="6"/>
      <c r="Q26" s="2"/>
      <c r="R26" s="7">
        <f t="shared" si="4"/>
        <v>0</v>
      </c>
      <c r="S26" s="2"/>
      <c r="T26" s="6">
        <v>2019.99</v>
      </c>
      <c r="U26" s="2"/>
      <c r="V26" s="7">
        <f t="shared" si="5"/>
        <v>0</v>
      </c>
      <c r="W26" s="2"/>
      <c r="X26" s="6">
        <f t="shared" si="6"/>
        <v>-2019.99</v>
      </c>
      <c r="Y26" s="2"/>
      <c r="Z26" s="7">
        <f t="shared" si="7"/>
        <v>-1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/>
      <c r="E27" s="2"/>
      <c r="F27" s="7">
        <f t="shared" si="0"/>
        <v>0</v>
      </c>
      <c r="G27" s="2"/>
      <c r="H27" s="6">
        <v>374.44</v>
      </c>
      <c r="I27" s="2"/>
      <c r="J27" s="7">
        <f t="shared" si="1"/>
        <v>0</v>
      </c>
      <c r="K27" s="2"/>
      <c r="L27" s="6">
        <f t="shared" si="2"/>
        <v>-374.44</v>
      </c>
      <c r="M27" s="2"/>
      <c r="N27" s="7">
        <f t="shared" si="3"/>
        <v>-1</v>
      </c>
      <c r="O27" s="11"/>
      <c r="P27" s="6"/>
      <c r="Q27" s="2"/>
      <c r="R27" s="7">
        <f t="shared" si="4"/>
        <v>0</v>
      </c>
      <c r="S27" s="2"/>
      <c r="T27" s="6">
        <v>2938.05</v>
      </c>
      <c r="U27" s="2"/>
      <c r="V27" s="7">
        <f t="shared" si="5"/>
        <v>0</v>
      </c>
      <c r="W27" s="2"/>
      <c r="X27" s="6">
        <f t="shared" si="6"/>
        <v>-2938.05</v>
      </c>
      <c r="Y27" s="2"/>
      <c r="Z27" s="7">
        <f t="shared" si="7"/>
        <v>-1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>
        <v>319.97000000000003</v>
      </c>
      <c r="I28" s="2"/>
      <c r="J28" s="7">
        <f t="shared" si="1"/>
        <v>0</v>
      </c>
      <c r="K28" s="2"/>
      <c r="L28" s="6">
        <f t="shared" si="2"/>
        <v>-319.97000000000003</v>
      </c>
      <c r="M28" s="2"/>
      <c r="N28" s="7">
        <f t="shared" si="3"/>
        <v>-1</v>
      </c>
      <c r="O28" s="11"/>
      <c r="P28" s="6"/>
      <c r="Q28" s="2"/>
      <c r="R28" s="7">
        <f t="shared" si="4"/>
        <v>0</v>
      </c>
      <c r="S28" s="2"/>
      <c r="T28" s="6">
        <v>1558.26</v>
      </c>
      <c r="U28" s="2"/>
      <c r="V28" s="7">
        <f t="shared" si="5"/>
        <v>0</v>
      </c>
      <c r="W28" s="2"/>
      <c r="X28" s="6">
        <f t="shared" si="6"/>
        <v>-1558.26</v>
      </c>
      <c r="Y28" s="2"/>
      <c r="Z28" s="7">
        <f t="shared" si="7"/>
        <v>-1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0</v>
      </c>
      <c r="E29" s="1"/>
      <c r="F29" s="5">
        <f t="shared" ref="F29:F35" si="8">IF(D$12=0,0,D29/D$12)</f>
        <v>0</v>
      </c>
      <c r="G29" s="1"/>
      <c r="H29" s="1">
        <f>SUM(OSRRefH22_1x_0)</f>
        <v>20438.61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-20438.61</v>
      </c>
      <c r="M29" s="1"/>
      <c r="N29" s="5">
        <f t="shared" ref="N29:N35" si="11">IF(H29=0,0,L29/H29)</f>
        <v>-1</v>
      </c>
      <c r="O29" s="13"/>
      <c r="P29" s="1">
        <f>SUM(OSRRefP22_1x_0)</f>
        <v>0.23</v>
      </c>
      <c r="Q29" s="1"/>
      <c r="R29" s="5">
        <f t="shared" ref="R29:R35" si="12">IF(P$12=0,0,P29/P$12)</f>
        <v>0</v>
      </c>
      <c r="S29" s="1"/>
      <c r="T29" s="1">
        <f>SUM(OSRRefT22_1x_0)</f>
        <v>176790.59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-176790.36</v>
      </c>
      <c r="Y29" s="1"/>
      <c r="Z29" s="5">
        <f t="shared" ref="Z29:Z35" si="15">IF(T29=0,0,X29/T29)</f>
        <v>-0.99999869902577954</v>
      </c>
    </row>
    <row r="30" spans="1:26" s="24" customFormat="1" hidden="1" outlineLevel="2" x14ac:dyDescent="0.25">
      <c r="A30" s="25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>
        <v>7519.95</v>
      </c>
      <c r="I30" s="2"/>
      <c r="J30" s="7">
        <f t="shared" si="9"/>
        <v>0</v>
      </c>
      <c r="K30" s="2"/>
      <c r="L30" s="6">
        <f t="shared" si="10"/>
        <v>-7519.95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42684.34</v>
      </c>
      <c r="U30" s="2"/>
      <c r="V30" s="7">
        <f t="shared" si="13"/>
        <v>0</v>
      </c>
      <c r="W30" s="2"/>
      <c r="X30" s="6">
        <f t="shared" si="14"/>
        <v>-42684.34</v>
      </c>
      <c r="Y30" s="2"/>
      <c r="Z30" s="7">
        <f t="shared" si="15"/>
        <v>-1</v>
      </c>
    </row>
    <row r="31" spans="1:26" s="24" customFormat="1" hidden="1" outlineLevel="2" x14ac:dyDescent="0.25">
      <c r="A31" s="25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>
        <v>0.23</v>
      </c>
      <c r="Q31" s="2"/>
      <c r="R31" s="7">
        <f t="shared" si="12"/>
        <v>0</v>
      </c>
      <c r="S31" s="2"/>
      <c r="T31" s="6"/>
      <c r="U31" s="2"/>
      <c r="V31" s="7">
        <f t="shared" si="13"/>
        <v>0</v>
      </c>
      <c r="W31" s="2"/>
      <c r="X31" s="6">
        <f t="shared" si="14"/>
        <v>0.23</v>
      </c>
      <c r="Y31" s="2"/>
      <c r="Z31" s="7">
        <f t="shared" si="15"/>
        <v>0</v>
      </c>
    </row>
    <row r="32" spans="1:26" s="24" customFormat="1" hidden="1" outlineLevel="2" x14ac:dyDescent="0.25">
      <c r="A32" s="25"/>
      <c r="B32" s="11" t="str">
        <f>CONCATENATE("          ", "6005", " - ", "TEMPORARY WAGES-HOURLY")</f>
        <v xml:space="preserve">          6005 - TEMPORARY WAGES-HOURLY</v>
      </c>
      <c r="C32" s="11"/>
      <c r="D32" s="6"/>
      <c r="E32" s="2"/>
      <c r="F32" s="7">
        <f t="shared" si="8"/>
        <v>0</v>
      </c>
      <c r="G32" s="2"/>
      <c r="H32" s="6">
        <v>957.13</v>
      </c>
      <c r="I32" s="2"/>
      <c r="J32" s="7">
        <f t="shared" si="9"/>
        <v>0</v>
      </c>
      <c r="K32" s="2"/>
      <c r="L32" s="6">
        <f t="shared" si="10"/>
        <v>-957.13</v>
      </c>
      <c r="M32" s="2"/>
      <c r="N32" s="7">
        <f t="shared" si="11"/>
        <v>-1</v>
      </c>
      <c r="O32" s="11"/>
      <c r="P32" s="6"/>
      <c r="Q32" s="2"/>
      <c r="R32" s="7">
        <f t="shared" si="12"/>
        <v>0</v>
      </c>
      <c r="S32" s="2"/>
      <c r="T32" s="6">
        <v>10039.59</v>
      </c>
      <c r="U32" s="2"/>
      <c r="V32" s="7">
        <f t="shared" si="13"/>
        <v>0</v>
      </c>
      <c r="W32" s="2"/>
      <c r="X32" s="6">
        <f t="shared" si="14"/>
        <v>-10039.59</v>
      </c>
      <c r="Y32" s="2"/>
      <c r="Z32" s="7">
        <f t="shared" si="15"/>
        <v>-1</v>
      </c>
    </row>
    <row r="33" spans="1:26" s="24" customFormat="1" hidden="1" outlineLevel="2" x14ac:dyDescent="0.25">
      <c r="A33" s="25"/>
      <c r="B33" s="11" t="str">
        <f>CONCATENATE("          ", "6006", " - ", "TEMPORARY PART TIME")</f>
        <v xml:space="preserve">          6006 - TEMPORARY PART TIME</v>
      </c>
      <c r="C33" s="11"/>
      <c r="D33" s="6"/>
      <c r="E33" s="2"/>
      <c r="F33" s="7">
        <f t="shared" si="8"/>
        <v>0</v>
      </c>
      <c r="G33" s="2"/>
      <c r="H33" s="6">
        <v>192</v>
      </c>
      <c r="I33" s="2"/>
      <c r="J33" s="7">
        <f t="shared" si="9"/>
        <v>0</v>
      </c>
      <c r="K33" s="2"/>
      <c r="L33" s="6">
        <f t="shared" si="10"/>
        <v>-192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9085.3700000000008</v>
      </c>
      <c r="U33" s="2"/>
      <c r="V33" s="7">
        <f t="shared" si="13"/>
        <v>0</v>
      </c>
      <c r="W33" s="2"/>
      <c r="X33" s="6">
        <f t="shared" si="14"/>
        <v>-9085.3700000000008</v>
      </c>
      <c r="Y33" s="2"/>
      <c r="Z33" s="7">
        <f t="shared" si="15"/>
        <v>-1</v>
      </c>
    </row>
    <row r="34" spans="1:26" s="24" customFormat="1" hidden="1" outlineLevel="2" x14ac:dyDescent="0.25">
      <c r="A34" s="25"/>
      <c r="B34" s="11" t="str">
        <f>CONCATENATE("          ", "6007", " - ", "STUDENT HOURLY")</f>
        <v xml:space="preserve">          6007 - STUDENT HOURLY</v>
      </c>
      <c r="C34" s="11"/>
      <c r="D34" s="6"/>
      <c r="E34" s="2"/>
      <c r="F34" s="7">
        <f t="shared" si="8"/>
        <v>0</v>
      </c>
      <c r="G34" s="2"/>
      <c r="H34" s="6">
        <v>11217.53</v>
      </c>
      <c r="I34" s="2"/>
      <c r="J34" s="7">
        <f t="shared" si="9"/>
        <v>0</v>
      </c>
      <c r="K34" s="2"/>
      <c r="L34" s="6">
        <f t="shared" si="10"/>
        <v>-11217.53</v>
      </c>
      <c r="M34" s="2"/>
      <c r="N34" s="7">
        <f t="shared" si="11"/>
        <v>-1</v>
      </c>
      <c r="O34" s="11"/>
      <c r="P34" s="6"/>
      <c r="Q34" s="2"/>
      <c r="R34" s="7">
        <f t="shared" si="12"/>
        <v>0</v>
      </c>
      <c r="S34" s="2"/>
      <c r="T34" s="6">
        <v>110445.29</v>
      </c>
      <c r="U34" s="2"/>
      <c r="V34" s="7">
        <f t="shared" si="13"/>
        <v>0</v>
      </c>
      <c r="W34" s="2"/>
      <c r="X34" s="6">
        <f t="shared" si="14"/>
        <v>-110445.29</v>
      </c>
      <c r="Y34" s="2"/>
      <c r="Z34" s="7">
        <f t="shared" si="15"/>
        <v>-1</v>
      </c>
    </row>
    <row r="35" spans="1:26" s="24" customFormat="1" hidden="1" outlineLevel="2" x14ac:dyDescent="0.25">
      <c r="A35" s="25"/>
      <c r="B35" s="11" t="str">
        <f>CONCATENATE("          ", "6008", " - ", "STUDENT HOURLY-FICA EXEMPT")</f>
        <v xml:space="preserve">          6008 - STUDENT HOURLY-FICA EXEMPT</v>
      </c>
      <c r="C35" s="11"/>
      <c r="D35" s="6"/>
      <c r="E35" s="2"/>
      <c r="F35" s="7">
        <f t="shared" si="8"/>
        <v>0</v>
      </c>
      <c r="G35" s="2"/>
      <c r="H35" s="6">
        <v>552</v>
      </c>
      <c r="I35" s="2"/>
      <c r="J35" s="7">
        <f t="shared" si="9"/>
        <v>0</v>
      </c>
      <c r="K35" s="2"/>
      <c r="L35" s="6">
        <f t="shared" si="10"/>
        <v>-552</v>
      </c>
      <c r="M35" s="2"/>
      <c r="N35" s="7">
        <f t="shared" si="11"/>
        <v>-1</v>
      </c>
      <c r="O35" s="11"/>
      <c r="P35" s="6"/>
      <c r="Q35" s="2"/>
      <c r="R35" s="7">
        <f t="shared" si="12"/>
        <v>0</v>
      </c>
      <c r="S35" s="2"/>
      <c r="T35" s="6">
        <v>4536</v>
      </c>
      <c r="U35" s="2"/>
      <c r="V35" s="7">
        <f t="shared" si="13"/>
        <v>0</v>
      </c>
      <c r="W35" s="2"/>
      <c r="X35" s="6">
        <f t="shared" si="14"/>
        <v>-4536</v>
      </c>
      <c r="Y35" s="2"/>
      <c r="Z35" s="7">
        <f t="shared" si="15"/>
        <v>-1</v>
      </c>
    </row>
    <row r="36" spans="1:26" s="26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6" si="16">IF(D$12=0,0,D36/D$12)</f>
        <v>0</v>
      </c>
      <c r="G36" s="1"/>
      <c r="H36" s="1">
        <f>SUM(OSRRefH22_2x_0)</f>
        <v>0</v>
      </c>
      <c r="I36" s="1"/>
      <c r="J36" s="5">
        <f t="shared" ref="J36:J46" si="17">IF(H$12=0,0,H36/H$12)</f>
        <v>0</v>
      </c>
      <c r="K36" s="1"/>
      <c r="L36" s="1">
        <f t="shared" ref="L36:L46" si="18">+D36-H36</f>
        <v>0</v>
      </c>
      <c r="M36" s="1"/>
      <c r="N36" s="5">
        <f t="shared" ref="N36:N46" si="19">IF(H36=0,0,L36/H36)</f>
        <v>0</v>
      </c>
      <c r="O36" s="13"/>
      <c r="P36" s="1">
        <f>SUM(OSRRefP22_2x_0)</f>
        <v>0</v>
      </c>
      <c r="Q36" s="1"/>
      <c r="R36" s="5">
        <f t="shared" ref="R36:R46" si="20">IF(P$12=0,0,P36/P$12)</f>
        <v>0</v>
      </c>
      <c r="S36" s="1"/>
      <c r="T36" s="1">
        <f>SUM(OSRRefT22_2x_0)</f>
        <v>150</v>
      </c>
      <c r="U36" s="1"/>
      <c r="V36" s="5">
        <f t="shared" ref="V36:V46" si="21">IF(T$12=0,0,T36/T$12)</f>
        <v>0</v>
      </c>
      <c r="W36" s="1"/>
      <c r="X36" s="1">
        <f t="shared" ref="X36:X46" si="22">+P36-T36</f>
        <v>-150</v>
      </c>
      <c r="Y36" s="1"/>
      <c r="Z36" s="5">
        <f t="shared" ref="Z36:Z46" si="23">IF(T36=0,0,X36/T36)</f>
        <v>-1</v>
      </c>
    </row>
    <row r="37" spans="1:26" s="24" customFormat="1" hidden="1" outlineLevel="2" x14ac:dyDescent="0.25">
      <c r="A37" s="25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/>
      <c r="Q37" s="2"/>
      <c r="R37" s="7">
        <f t="shared" si="20"/>
        <v>0</v>
      </c>
      <c r="S37" s="2"/>
      <c r="T37" s="6">
        <v>150</v>
      </c>
      <c r="U37" s="2"/>
      <c r="V37" s="7">
        <f t="shared" si="21"/>
        <v>0</v>
      </c>
      <c r="W37" s="2"/>
      <c r="X37" s="6">
        <f t="shared" si="22"/>
        <v>-150</v>
      </c>
      <c r="Y37" s="2"/>
      <c r="Z37" s="7">
        <f t="shared" si="23"/>
        <v>-1</v>
      </c>
    </row>
    <row r="38" spans="1:26" s="26" customFormat="1" outlineLevel="1" collapsed="1" x14ac:dyDescent="0.25">
      <c r="A38" s="27"/>
      <c r="B38" s="13" t="str">
        <f>CONCATENATE("     ","Equipment Rental                                  ")</f>
        <v xml:space="preserve">     Equipment Rental                                  </v>
      </c>
      <c r="C38" s="13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427.9</v>
      </c>
      <c r="I38" s="1"/>
      <c r="J38" s="5">
        <f t="shared" si="17"/>
        <v>0</v>
      </c>
      <c r="K38" s="1"/>
      <c r="L38" s="1">
        <f t="shared" si="18"/>
        <v>-427.9</v>
      </c>
      <c r="M38" s="1"/>
      <c r="N38" s="5">
        <f t="shared" si="19"/>
        <v>-1</v>
      </c>
      <c r="O38" s="13"/>
      <c r="P38" s="1">
        <f>SUM(OSRRefP22_3x_0)</f>
        <v>0</v>
      </c>
      <c r="Q38" s="1"/>
      <c r="R38" s="5">
        <f t="shared" si="20"/>
        <v>0</v>
      </c>
      <c r="S38" s="1"/>
      <c r="T38" s="1">
        <f>SUM(OSRRefT22_3x_0)</f>
        <v>610.41999999999996</v>
      </c>
      <c r="U38" s="1"/>
      <c r="V38" s="5">
        <f t="shared" si="21"/>
        <v>0</v>
      </c>
      <c r="W38" s="1"/>
      <c r="X38" s="1">
        <f t="shared" si="22"/>
        <v>-610.41999999999996</v>
      </c>
      <c r="Y38" s="1"/>
      <c r="Z38" s="5">
        <f t="shared" si="23"/>
        <v>-1</v>
      </c>
    </row>
    <row r="39" spans="1:26" s="24" customFormat="1" hidden="1" outlineLevel="2" x14ac:dyDescent="0.25">
      <c r="A39" s="25"/>
      <c r="B39" s="11" t="str">
        <f>CONCATENATE("          ", "6351", " - ", "EQUIPMENT RENTAL")</f>
        <v xml:space="preserve">          6351 - EQUIPMENT RENTAL</v>
      </c>
      <c r="C39" s="11"/>
      <c r="D39" s="6"/>
      <c r="E39" s="2"/>
      <c r="F39" s="7">
        <f t="shared" si="16"/>
        <v>0</v>
      </c>
      <c r="G39" s="2"/>
      <c r="H39" s="6">
        <v>427.9</v>
      </c>
      <c r="I39" s="2"/>
      <c r="J39" s="7">
        <f t="shared" si="17"/>
        <v>0</v>
      </c>
      <c r="K39" s="2"/>
      <c r="L39" s="6">
        <f t="shared" si="18"/>
        <v>-427.9</v>
      </c>
      <c r="M39" s="2"/>
      <c r="N39" s="7">
        <f t="shared" si="19"/>
        <v>-1</v>
      </c>
      <c r="O39" s="11"/>
      <c r="P39" s="6"/>
      <c r="Q39" s="2"/>
      <c r="R39" s="7">
        <f t="shared" si="20"/>
        <v>0</v>
      </c>
      <c r="S39" s="2"/>
      <c r="T39" s="6">
        <v>610.41999999999996</v>
      </c>
      <c r="U39" s="2"/>
      <c r="V39" s="7">
        <f t="shared" si="21"/>
        <v>0</v>
      </c>
      <c r="W39" s="2"/>
      <c r="X39" s="6">
        <f t="shared" si="22"/>
        <v>-610.41999999999996</v>
      </c>
      <c r="Y39" s="2"/>
      <c r="Z39" s="7">
        <f t="shared" si="23"/>
        <v>-1</v>
      </c>
    </row>
    <row r="40" spans="1:26" s="26" customFormat="1" outlineLevel="1" collapsed="1" x14ac:dyDescent="0.25">
      <c r="A40" s="27"/>
      <c r="B40" s="13" t="str">
        <f>CONCATENATE("     ","Freight out/Postage                               ")</f>
        <v xml:space="preserve">     Freight out/Postage                               </v>
      </c>
      <c r="C40" s="13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400</v>
      </c>
      <c r="I40" s="1"/>
      <c r="J40" s="5">
        <f t="shared" si="17"/>
        <v>0</v>
      </c>
      <c r="K40" s="1"/>
      <c r="L40" s="1">
        <f t="shared" si="18"/>
        <v>-400</v>
      </c>
      <c r="M40" s="1"/>
      <c r="N40" s="5">
        <f t="shared" si="19"/>
        <v>-1</v>
      </c>
      <c r="O40" s="13"/>
      <c r="P40" s="1">
        <f>SUM(OSRRefP22_4x_0)</f>
        <v>0</v>
      </c>
      <c r="Q40" s="1"/>
      <c r="R40" s="5">
        <f t="shared" si="20"/>
        <v>0</v>
      </c>
      <c r="S40" s="1"/>
      <c r="T40" s="1">
        <f>SUM(OSRRefT22_4x_0)</f>
        <v>400</v>
      </c>
      <c r="U40" s="1"/>
      <c r="V40" s="5">
        <f t="shared" si="21"/>
        <v>0</v>
      </c>
      <c r="W40" s="1"/>
      <c r="X40" s="1">
        <f t="shared" si="22"/>
        <v>-400</v>
      </c>
      <c r="Y40" s="1"/>
      <c r="Z40" s="5">
        <f t="shared" si="23"/>
        <v>-1</v>
      </c>
    </row>
    <row r="41" spans="1:26" s="24" customFormat="1" hidden="1" outlineLevel="2" x14ac:dyDescent="0.25">
      <c r="A41" s="25"/>
      <c r="B41" s="11" t="str">
        <f>CONCATENATE("          ", "6307", " - ", "POSTAGE")</f>
        <v xml:space="preserve">          6307 - POSTAGE</v>
      </c>
      <c r="C41" s="11"/>
      <c r="D41" s="6"/>
      <c r="E41" s="2"/>
      <c r="F41" s="7">
        <f t="shared" si="16"/>
        <v>0</v>
      </c>
      <c r="G41" s="2"/>
      <c r="H41" s="6">
        <v>400</v>
      </c>
      <c r="I41" s="2"/>
      <c r="J41" s="7">
        <f t="shared" si="17"/>
        <v>0</v>
      </c>
      <c r="K41" s="2"/>
      <c r="L41" s="6">
        <f t="shared" si="18"/>
        <v>-400</v>
      </c>
      <c r="M41" s="2"/>
      <c r="N41" s="7">
        <f t="shared" si="19"/>
        <v>-1</v>
      </c>
      <c r="O41" s="11"/>
      <c r="P41" s="6"/>
      <c r="Q41" s="2"/>
      <c r="R41" s="7">
        <f t="shared" si="20"/>
        <v>0</v>
      </c>
      <c r="S41" s="2"/>
      <c r="T41" s="6">
        <v>400</v>
      </c>
      <c r="U41" s="2"/>
      <c r="V41" s="7">
        <f t="shared" si="21"/>
        <v>0</v>
      </c>
      <c r="W41" s="2"/>
      <c r="X41" s="6">
        <f t="shared" si="22"/>
        <v>-400</v>
      </c>
      <c r="Y41" s="2"/>
      <c r="Z41" s="7">
        <f t="shared" si="23"/>
        <v>-1</v>
      </c>
    </row>
    <row r="42" spans="1:26" s="26" customFormat="1" outlineLevel="1" collapsed="1" x14ac:dyDescent="0.25">
      <c r="A42" s="27"/>
      <c r="B42" s="13" t="str">
        <f>CONCATENATE("     ","General                                           ")</f>
        <v xml:space="preserve">     General                                           </v>
      </c>
      <c r="C42" s="13"/>
      <c r="D42" s="1">
        <f>SUM(OSRRefD22_5x_0)</f>
        <v>0</v>
      </c>
      <c r="E42" s="1"/>
      <c r="F42" s="5">
        <f t="shared" si="16"/>
        <v>0</v>
      </c>
      <c r="G42" s="1"/>
      <c r="H42" s="1">
        <f>SUM(OSRRefH22_5x_0)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3"/>
      <c r="P42" s="1">
        <f>SUM(OSRRefP22_5x_0)</f>
        <v>0</v>
      </c>
      <c r="Q42" s="1"/>
      <c r="R42" s="5">
        <f t="shared" si="20"/>
        <v>0</v>
      </c>
      <c r="S42" s="1"/>
      <c r="T42" s="1">
        <f>SUM(OSRRefT22_5x_0)</f>
        <v>89.45</v>
      </c>
      <c r="U42" s="1"/>
      <c r="V42" s="5">
        <f t="shared" si="21"/>
        <v>0</v>
      </c>
      <c r="W42" s="1"/>
      <c r="X42" s="1">
        <f t="shared" si="22"/>
        <v>-89.45</v>
      </c>
      <c r="Y42" s="1"/>
      <c r="Z42" s="5">
        <f t="shared" si="23"/>
        <v>-1</v>
      </c>
    </row>
    <row r="43" spans="1:26" s="24" customFormat="1" hidden="1" outlineLevel="2" x14ac:dyDescent="0.25">
      <c r="A43" s="25"/>
      <c r="B43" s="11" t="str">
        <f>CONCATENATE("          ", "6279", " - ", "GENERAL EXPENSE")</f>
        <v xml:space="preserve">          6279 - GENERAL EXPENSE</v>
      </c>
      <c r="C43" s="11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/>
      <c r="Q43" s="2"/>
      <c r="R43" s="7">
        <f t="shared" si="20"/>
        <v>0</v>
      </c>
      <c r="S43" s="2"/>
      <c r="T43" s="6">
        <v>89.45</v>
      </c>
      <c r="U43" s="2"/>
      <c r="V43" s="7">
        <f t="shared" si="21"/>
        <v>0</v>
      </c>
      <c r="W43" s="2"/>
      <c r="X43" s="6">
        <f t="shared" si="22"/>
        <v>-89.45</v>
      </c>
      <c r="Y43" s="2"/>
      <c r="Z43" s="7">
        <f t="shared" si="23"/>
        <v>-1</v>
      </c>
    </row>
    <row r="44" spans="1:26" s="26" customFormat="1" outlineLevel="1" collapsed="1" x14ac:dyDescent="0.25">
      <c r="A44" s="27"/>
      <c r="B44" s="13" t="str">
        <f>CONCATENATE("     ","Repair and Maintenance                            ")</f>
        <v xml:space="preserve">     Repair and Maintenance                            </v>
      </c>
      <c r="C44" s="13"/>
      <c r="D44" s="1">
        <f>SUM(OSRRefD22_6x_0)</f>
        <v>0</v>
      </c>
      <c r="E44" s="1"/>
      <c r="F44" s="5">
        <f t="shared" si="16"/>
        <v>0</v>
      </c>
      <c r="G44" s="1"/>
      <c r="H44" s="1">
        <f>SUM(OSRRefH22_6x_0)</f>
        <v>35.119999999999997</v>
      </c>
      <c r="I44" s="1"/>
      <c r="J44" s="5">
        <f t="shared" si="17"/>
        <v>0</v>
      </c>
      <c r="K44" s="1"/>
      <c r="L44" s="1">
        <f t="shared" si="18"/>
        <v>-35.119999999999997</v>
      </c>
      <c r="M44" s="1"/>
      <c r="N44" s="5">
        <f t="shared" si="19"/>
        <v>-1</v>
      </c>
      <c r="O44" s="13"/>
      <c r="P44" s="1">
        <f>SUM(OSRRefP22_6x_0)</f>
        <v>0</v>
      </c>
      <c r="Q44" s="1"/>
      <c r="R44" s="5">
        <f t="shared" si="20"/>
        <v>0</v>
      </c>
      <c r="S44" s="1"/>
      <c r="T44" s="1">
        <f>SUM(OSRRefT22_6x_0)</f>
        <v>242.41000000000003</v>
      </c>
      <c r="U44" s="1"/>
      <c r="V44" s="5">
        <f t="shared" si="21"/>
        <v>0</v>
      </c>
      <c r="W44" s="1"/>
      <c r="X44" s="1">
        <f t="shared" si="22"/>
        <v>-242.41000000000003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"6373", " - ", "MAINTENANCE CONTRACTS")</f>
        <v xml:space="preserve">          6373 - MAINTENANCE CONTRACTS</v>
      </c>
      <c r="C45" s="11"/>
      <c r="D45" s="6"/>
      <c r="E45" s="2"/>
      <c r="F45" s="7">
        <f t="shared" si="16"/>
        <v>0</v>
      </c>
      <c r="G45" s="2"/>
      <c r="H45" s="6">
        <v>35.119999999999997</v>
      </c>
      <c r="I45" s="2"/>
      <c r="J45" s="7">
        <f t="shared" si="17"/>
        <v>0</v>
      </c>
      <c r="K45" s="2"/>
      <c r="L45" s="6">
        <f t="shared" si="18"/>
        <v>-35.119999999999997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50.08</v>
      </c>
      <c r="U45" s="2"/>
      <c r="V45" s="7">
        <f t="shared" si="21"/>
        <v>0</v>
      </c>
      <c r="W45" s="2"/>
      <c r="X45" s="6">
        <f t="shared" si="22"/>
        <v>-50.08</v>
      </c>
      <c r="Y45" s="2"/>
      <c r="Z45" s="7">
        <f t="shared" si="23"/>
        <v>-1</v>
      </c>
    </row>
    <row r="46" spans="1:26" s="24" customFormat="1" hidden="1" outlineLevel="2" x14ac:dyDescent="0.25">
      <c r="A46" s="25"/>
      <c r="B46" s="11" t="str">
        <f>CONCATENATE("          ", "6375", " - ", "OUTSIDE REPAIRS &amp; MAINTENANCE")</f>
        <v xml:space="preserve">          6375 - OUTSIDE REPAIRS &amp; MAINTENANCE</v>
      </c>
      <c r="C46" s="11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1"/>
      <c r="P46" s="6"/>
      <c r="Q46" s="2"/>
      <c r="R46" s="7">
        <f t="shared" si="20"/>
        <v>0</v>
      </c>
      <c r="S46" s="2"/>
      <c r="T46" s="6">
        <v>192.33</v>
      </c>
      <c r="U46" s="2"/>
      <c r="V46" s="7">
        <f t="shared" si="21"/>
        <v>0</v>
      </c>
      <c r="W46" s="2"/>
      <c r="X46" s="6">
        <f t="shared" si="22"/>
        <v>-192.33</v>
      </c>
      <c r="Y46" s="2"/>
      <c r="Z46" s="7">
        <f t="shared" si="23"/>
        <v>-1</v>
      </c>
    </row>
    <row r="47" spans="1:26" s="26" customFormat="1" outlineLevel="1" collapsed="1" x14ac:dyDescent="0.25">
      <c r="A47" s="27"/>
      <c r="B47" s="13" t="str">
        <f>CONCATENATE("     ","Supplies                                          ")</f>
        <v xml:space="preserve">     Supplies                                          </v>
      </c>
      <c r="C47" s="13"/>
      <c r="D47" s="1">
        <f>SUM(OSRRefD22_7x_0)</f>
        <v>0</v>
      </c>
      <c r="E47" s="1"/>
      <c r="F47" s="5">
        <f t="shared" ref="F47:F50" si="24">IF(D$12=0,0,D47/D$12)</f>
        <v>0</v>
      </c>
      <c r="G47" s="1"/>
      <c r="H47" s="1">
        <f>SUM(OSRRefH22_7x_0)</f>
        <v>319.49</v>
      </c>
      <c r="I47" s="1"/>
      <c r="J47" s="5">
        <f t="shared" ref="J47:J50" si="25">IF(H$12=0,0,H47/H$12)</f>
        <v>0</v>
      </c>
      <c r="K47" s="1"/>
      <c r="L47" s="1">
        <f t="shared" ref="L47:L50" si="26">+D47-H47</f>
        <v>-319.49</v>
      </c>
      <c r="M47" s="1"/>
      <c r="N47" s="5">
        <f t="shared" ref="N47:N50" si="27">IF(H47=0,0,L47/H47)</f>
        <v>-1</v>
      </c>
      <c r="O47" s="13"/>
      <c r="P47" s="1">
        <f>SUM(OSRRefP22_7x_0)</f>
        <v>0</v>
      </c>
      <c r="Q47" s="1"/>
      <c r="R47" s="5">
        <f t="shared" ref="R47:R50" si="28">IF(P$12=0,0,P47/P$12)</f>
        <v>0</v>
      </c>
      <c r="S47" s="1"/>
      <c r="T47" s="1">
        <f>SUM(OSRRefT22_7x_0)</f>
        <v>987.94999999999993</v>
      </c>
      <c r="U47" s="1"/>
      <c r="V47" s="5">
        <f t="shared" ref="V47:V50" si="29">IF(T$12=0,0,T47/T$12)</f>
        <v>0</v>
      </c>
      <c r="W47" s="1"/>
      <c r="X47" s="1">
        <f t="shared" ref="X47:X50" si="30">+P47-T47</f>
        <v>-987.94999999999993</v>
      </c>
      <c r="Y47" s="1"/>
      <c r="Z47" s="5">
        <f t="shared" ref="Z47:Z50" si="31">IF(T47=0,0,X47/T47)</f>
        <v>-1</v>
      </c>
    </row>
    <row r="48" spans="1:26" s="24" customFormat="1" hidden="1" outlineLevel="2" x14ac:dyDescent="0.25">
      <c r="A48" s="25"/>
      <c r="B48" s="11" t="str">
        <f>CONCATENATE("          ", "6237", " - ", "JANITORIAL SUPPLIES")</f>
        <v xml:space="preserve">          6237 - JANITORIAL SUPPLIES</v>
      </c>
      <c r="C48" s="11"/>
      <c r="D48" s="6"/>
      <c r="E48" s="2"/>
      <c r="F48" s="7">
        <f t="shared" si="24"/>
        <v>0</v>
      </c>
      <c r="G48" s="2"/>
      <c r="H48" s="6">
        <v>226.95</v>
      </c>
      <c r="I48" s="2"/>
      <c r="J48" s="7">
        <f t="shared" si="25"/>
        <v>0</v>
      </c>
      <c r="K48" s="2"/>
      <c r="L48" s="6">
        <f t="shared" si="26"/>
        <v>-226.95</v>
      </c>
      <c r="M48" s="2"/>
      <c r="N48" s="7">
        <f t="shared" si="27"/>
        <v>-1</v>
      </c>
      <c r="O48" s="11"/>
      <c r="P48" s="6"/>
      <c r="Q48" s="2"/>
      <c r="R48" s="7">
        <f t="shared" si="28"/>
        <v>0</v>
      </c>
      <c r="S48" s="2"/>
      <c r="T48" s="6">
        <v>226.95</v>
      </c>
      <c r="U48" s="2"/>
      <c r="V48" s="7">
        <f t="shared" si="29"/>
        <v>0</v>
      </c>
      <c r="W48" s="2"/>
      <c r="X48" s="6">
        <f t="shared" si="30"/>
        <v>-226.95</v>
      </c>
      <c r="Y48" s="2"/>
      <c r="Z48" s="7">
        <f t="shared" si="31"/>
        <v>-1</v>
      </c>
    </row>
    <row r="49" spans="1:26" s="24" customFormat="1" hidden="1" outlineLevel="2" x14ac:dyDescent="0.25">
      <c r="A49" s="25"/>
      <c r="B49" s="11" t="str">
        <f>CONCATENATE("          ", "6241", " - ", "OFFICE EXPENSE")</f>
        <v xml:space="preserve">          6241 - OFFICE EXPENSE</v>
      </c>
      <c r="C49" s="11"/>
      <c r="D49" s="6"/>
      <c r="E49" s="2"/>
      <c r="F49" s="7">
        <f t="shared" si="24"/>
        <v>0</v>
      </c>
      <c r="G49" s="2"/>
      <c r="H49" s="6">
        <v>92.54</v>
      </c>
      <c r="I49" s="2"/>
      <c r="J49" s="7">
        <f t="shared" si="25"/>
        <v>0</v>
      </c>
      <c r="K49" s="2"/>
      <c r="L49" s="6">
        <f t="shared" si="26"/>
        <v>-92.54</v>
      </c>
      <c r="M49" s="2"/>
      <c r="N49" s="7">
        <f t="shared" si="27"/>
        <v>-1</v>
      </c>
      <c r="O49" s="11"/>
      <c r="P49" s="6"/>
      <c r="Q49" s="2"/>
      <c r="R49" s="7">
        <f t="shared" si="28"/>
        <v>0</v>
      </c>
      <c r="S49" s="2"/>
      <c r="T49" s="6">
        <v>313.87</v>
      </c>
      <c r="U49" s="2"/>
      <c r="V49" s="7">
        <f t="shared" si="29"/>
        <v>0</v>
      </c>
      <c r="W49" s="2"/>
      <c r="X49" s="6">
        <f t="shared" si="30"/>
        <v>-313.87</v>
      </c>
      <c r="Y49" s="2"/>
      <c r="Z49" s="7">
        <f t="shared" si="31"/>
        <v>-1</v>
      </c>
    </row>
    <row r="50" spans="1:26" s="24" customFormat="1" hidden="1" outlineLevel="2" x14ac:dyDescent="0.25">
      <c r="A50" s="25"/>
      <c r="B50" s="11" t="str">
        <f>CONCATENATE("          ", "6247", " - ", "STORE SUPPLIES")</f>
        <v xml:space="preserve">          6247 - STORE SUPPLIES</v>
      </c>
      <c r="C50" s="11"/>
      <c r="D50" s="6"/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0</v>
      </c>
      <c r="M50" s="2"/>
      <c r="N50" s="7">
        <f t="shared" si="27"/>
        <v>0</v>
      </c>
      <c r="O50" s="11"/>
      <c r="P50" s="6"/>
      <c r="Q50" s="2"/>
      <c r="R50" s="7">
        <f t="shared" si="28"/>
        <v>0</v>
      </c>
      <c r="S50" s="2"/>
      <c r="T50" s="6">
        <v>447.13</v>
      </c>
      <c r="U50" s="2"/>
      <c r="V50" s="7">
        <f t="shared" si="29"/>
        <v>0</v>
      </c>
      <c r="W50" s="2"/>
      <c r="X50" s="6">
        <f t="shared" si="30"/>
        <v>-447.13</v>
      </c>
      <c r="Y50" s="2"/>
      <c r="Z50" s="7">
        <f t="shared" si="31"/>
        <v>-1</v>
      </c>
    </row>
    <row r="51" spans="1:26" s="26" customFormat="1" outlineLevel="1" collapsed="1" x14ac:dyDescent="0.25">
      <c r="A51" s="27"/>
      <c r="B51" s="13" t="str">
        <f>CONCATENATE("     ","Telephone/Data Lines                              ")</f>
        <v xml:space="preserve">     Telephone/Data Lines                              </v>
      </c>
      <c r="C51" s="13"/>
      <c r="D51" s="1">
        <f>SUM(OSRRefD22_8x_0)</f>
        <v>0</v>
      </c>
      <c r="E51" s="1"/>
      <c r="F51" s="5">
        <f t="shared" ref="F51:F54" si="32">IF(D$12=0,0,D51/D$12)</f>
        <v>0</v>
      </c>
      <c r="G51" s="1"/>
      <c r="H51" s="1">
        <f>SUM(OSRRefH22_8x_0)</f>
        <v>159.35</v>
      </c>
      <c r="I51" s="1"/>
      <c r="J51" s="5">
        <f t="shared" ref="J51:J54" si="33">IF(H$12=0,0,H51/H$12)</f>
        <v>0</v>
      </c>
      <c r="K51" s="1"/>
      <c r="L51" s="1">
        <f t="shared" ref="L51:L54" si="34">+D51-H51</f>
        <v>-159.35</v>
      </c>
      <c r="M51" s="1"/>
      <c r="N51" s="5">
        <f t="shared" ref="N51:N54" si="35">IF(H51=0,0,L51/H51)</f>
        <v>-1</v>
      </c>
      <c r="O51" s="13"/>
      <c r="P51" s="1">
        <f>SUM(OSRRefP22_8x_0)</f>
        <v>0</v>
      </c>
      <c r="Q51" s="1"/>
      <c r="R51" s="5">
        <f t="shared" ref="R51:R54" si="36">IF(P$12=0,0,P51/P$12)</f>
        <v>0</v>
      </c>
      <c r="S51" s="1"/>
      <c r="T51" s="1">
        <f>SUM(OSRRefT22_8x_0)</f>
        <v>772.2</v>
      </c>
      <c r="U51" s="1"/>
      <c r="V51" s="5">
        <f t="shared" ref="V51:V54" si="37">IF(T$12=0,0,T51/T$12)</f>
        <v>0</v>
      </c>
      <c r="W51" s="1"/>
      <c r="X51" s="1">
        <f t="shared" ref="X51:X54" si="38">+P51-T51</f>
        <v>-772.2</v>
      </c>
      <c r="Y51" s="1"/>
      <c r="Z51" s="5">
        <f t="shared" ref="Z51:Z54" si="39">IF(T51=0,0,X51/T51)</f>
        <v>-1</v>
      </c>
    </row>
    <row r="52" spans="1:26" s="24" customFormat="1" hidden="1" outlineLevel="2" x14ac:dyDescent="0.25">
      <c r="A52" s="25"/>
      <c r="B52" s="11" t="str">
        <f>CONCATENATE("          ", "6309", " - ", "TELEPHONE")</f>
        <v xml:space="preserve">          6309 - TELEPHONE</v>
      </c>
      <c r="C52" s="11"/>
      <c r="D52" s="6"/>
      <c r="E52" s="2"/>
      <c r="F52" s="7">
        <f t="shared" si="32"/>
        <v>0</v>
      </c>
      <c r="G52" s="2"/>
      <c r="H52" s="6">
        <v>159.35</v>
      </c>
      <c r="I52" s="2"/>
      <c r="J52" s="7">
        <f t="shared" si="33"/>
        <v>0</v>
      </c>
      <c r="K52" s="2"/>
      <c r="L52" s="6">
        <f t="shared" si="34"/>
        <v>-159.35</v>
      </c>
      <c r="M52" s="2"/>
      <c r="N52" s="7">
        <f t="shared" si="35"/>
        <v>-1</v>
      </c>
      <c r="O52" s="11"/>
      <c r="P52" s="6"/>
      <c r="Q52" s="2"/>
      <c r="R52" s="7">
        <f t="shared" si="36"/>
        <v>0</v>
      </c>
      <c r="S52" s="2"/>
      <c r="T52" s="6">
        <v>772.2</v>
      </c>
      <c r="U52" s="2"/>
      <c r="V52" s="7">
        <f t="shared" si="37"/>
        <v>0</v>
      </c>
      <c r="W52" s="2"/>
      <c r="X52" s="6">
        <f t="shared" si="38"/>
        <v>-772.2</v>
      </c>
      <c r="Y52" s="2"/>
      <c r="Z52" s="7">
        <f t="shared" si="39"/>
        <v>-1</v>
      </c>
    </row>
    <row r="53" spans="1:26" s="26" customFormat="1" outlineLevel="1" collapsed="1" x14ac:dyDescent="0.25">
      <c r="A53" s="27"/>
      <c r="B53" s="13" t="str">
        <f>CONCATENATE("     ","Training                                          ")</f>
        <v xml:space="preserve">     Training                                          </v>
      </c>
      <c r="C53" s="13"/>
      <c r="D53" s="1">
        <f>SUM(OSRRefD22_9x_0)</f>
        <v>0</v>
      </c>
      <c r="E53" s="1"/>
      <c r="F53" s="5">
        <f t="shared" si="32"/>
        <v>0</v>
      </c>
      <c r="G53" s="1"/>
      <c r="H53" s="1">
        <f>SUM(OSRRefH22_9x_0)</f>
        <v>0</v>
      </c>
      <c r="I53" s="1"/>
      <c r="J53" s="5">
        <f t="shared" si="33"/>
        <v>0</v>
      </c>
      <c r="K53" s="1"/>
      <c r="L53" s="1">
        <f t="shared" si="34"/>
        <v>0</v>
      </c>
      <c r="M53" s="1"/>
      <c r="N53" s="5">
        <f t="shared" si="35"/>
        <v>0</v>
      </c>
      <c r="O53" s="13"/>
      <c r="P53" s="1">
        <f>SUM(OSRRefP22_9x_0)</f>
        <v>0</v>
      </c>
      <c r="Q53" s="1"/>
      <c r="R53" s="5">
        <f t="shared" si="36"/>
        <v>0</v>
      </c>
      <c r="S53" s="1"/>
      <c r="T53" s="1">
        <f>SUM(OSRRefT22_9x_0)</f>
        <v>80</v>
      </c>
      <c r="U53" s="1"/>
      <c r="V53" s="5">
        <f t="shared" si="37"/>
        <v>0</v>
      </c>
      <c r="W53" s="1"/>
      <c r="X53" s="1">
        <f t="shared" si="38"/>
        <v>-80</v>
      </c>
      <c r="Y53" s="1"/>
      <c r="Z53" s="5">
        <f t="shared" si="39"/>
        <v>-1</v>
      </c>
    </row>
    <row r="54" spans="1:26" s="24" customFormat="1" hidden="1" outlineLevel="2" x14ac:dyDescent="0.25">
      <c r="A54" s="25"/>
      <c r="B54" s="11" t="str">
        <f>CONCATENATE("          ", "6376", " - ", "TRAINING")</f>
        <v xml:space="preserve">          6376 - TRAINING</v>
      </c>
      <c r="C54" s="11"/>
      <c r="D54" s="6"/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0</v>
      </c>
      <c r="M54" s="2"/>
      <c r="N54" s="7">
        <f t="shared" si="35"/>
        <v>0</v>
      </c>
      <c r="O54" s="11"/>
      <c r="P54" s="6"/>
      <c r="Q54" s="2"/>
      <c r="R54" s="7">
        <f t="shared" si="36"/>
        <v>0</v>
      </c>
      <c r="S54" s="2"/>
      <c r="T54" s="6">
        <v>80</v>
      </c>
      <c r="U54" s="2"/>
      <c r="V54" s="7">
        <f t="shared" si="37"/>
        <v>0</v>
      </c>
      <c r="W54" s="2"/>
      <c r="X54" s="6">
        <f t="shared" si="38"/>
        <v>-80</v>
      </c>
      <c r="Y54" s="2"/>
      <c r="Z54" s="7">
        <f t="shared" si="39"/>
        <v>-1</v>
      </c>
    </row>
    <row r="55" spans="1:26" s="53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0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8" t="s">
        <v>3</v>
      </c>
      <c r="C58" s="28"/>
      <c r="D58" s="20">
        <f>+D16-D18+D56</f>
        <v>-0.14000000000000001</v>
      </c>
      <c r="E58" s="14"/>
      <c r="F58" s="22">
        <f>IF(D$12=0,0,D58/D$12)</f>
        <v>0</v>
      </c>
      <c r="G58" s="14"/>
      <c r="H58" s="20">
        <f>+H16-H18+H56</f>
        <v>-26699.5</v>
      </c>
      <c r="I58" s="14"/>
      <c r="J58" s="22">
        <f>IF(H$12=0,0,H58/H$12)</f>
        <v>0</v>
      </c>
      <c r="K58" s="15"/>
      <c r="L58" s="20">
        <f>+D58-H58</f>
        <v>26699.360000000001</v>
      </c>
      <c r="M58" s="15"/>
      <c r="N58" s="22">
        <f>IF(H58=0,0,L58/H58)</f>
        <v>-0.99999475645611346</v>
      </c>
      <c r="O58" s="29"/>
      <c r="P58" s="20">
        <f>+P16-P18+P56</f>
        <v>-0.37000000000004318</v>
      </c>
      <c r="Q58" s="14"/>
      <c r="R58" s="22">
        <f>IF(P$12=0,0,P58/P$12)</f>
        <v>0</v>
      </c>
      <c r="S58" s="14"/>
      <c r="T58" s="20">
        <f>+T16-T18+T56</f>
        <v>-212465.28</v>
      </c>
      <c r="U58" s="14"/>
      <c r="V58" s="22">
        <f>IF(T$12=0,0,T58/T$12)</f>
        <v>0</v>
      </c>
      <c r="W58" s="15"/>
      <c r="X58" s="20">
        <f>+P58-T58</f>
        <v>212464.91</v>
      </c>
      <c r="Y58" s="15"/>
      <c r="Z58" s="22">
        <f>IF(T58=0,0,X58/T58)</f>
        <v>-0.99999825853899516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1"/>
      <c r="B60" s="10" t="s">
        <v>13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8" t="s">
        <v>4</v>
      </c>
      <c r="C62" s="28"/>
      <c r="D62" s="31">
        <f>+D58-D60</f>
        <v>-0.14000000000000001</v>
      </c>
      <c r="E62" s="14"/>
      <c r="F62" s="34">
        <f>IF(D$12=0,0,D62/D$12)</f>
        <v>0</v>
      </c>
      <c r="G62" s="14"/>
      <c r="H62" s="31">
        <f>+H58-H60</f>
        <v>-26699.5</v>
      </c>
      <c r="I62" s="14"/>
      <c r="J62" s="34">
        <f>IF(H$12=0,0,H62/H$12)</f>
        <v>0</v>
      </c>
      <c r="K62" s="15"/>
      <c r="L62" s="31">
        <f>D62-H62</f>
        <v>26699.360000000001</v>
      </c>
      <c r="M62" s="15"/>
      <c r="N62" s="34">
        <f>IF(H62=0,0,L62/H62)</f>
        <v>-0.99999475645611346</v>
      </c>
      <c r="O62" s="29"/>
      <c r="P62" s="31">
        <f>+P58-P60</f>
        <v>-0.37000000000004318</v>
      </c>
      <c r="Q62" s="14"/>
      <c r="R62" s="34">
        <f>IF(P$12=0,0,P62/P$12)</f>
        <v>0</v>
      </c>
      <c r="S62" s="14"/>
      <c r="T62" s="31">
        <f>+T58-T60</f>
        <v>-212465.28</v>
      </c>
      <c r="U62" s="14"/>
      <c r="V62" s="34">
        <f>IF(T$12=0,0,T62/T$12)</f>
        <v>0</v>
      </c>
      <c r="W62" s="15"/>
      <c r="X62" s="31">
        <f>P62-T62</f>
        <v>212464.91</v>
      </c>
      <c r="Y62" s="15"/>
      <c r="Z62" s="34">
        <f>IF(T62=0,0,X62/T62)</f>
        <v>-0.99999825853899516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8" t="s">
        <v>5</v>
      </c>
      <c r="C65" s="28"/>
      <c r="D65" s="32">
        <f>SUM(D62:D64)</f>
        <v>-0.14000000000000001</v>
      </c>
      <c r="E65" s="14"/>
      <c r="F65" s="30">
        <f>IF(D$12=0,0,D65/D$12)</f>
        <v>0</v>
      </c>
      <c r="G65" s="14"/>
      <c r="H65" s="32">
        <f>SUM(H62:H64)</f>
        <v>-26699.5</v>
      </c>
      <c r="I65" s="14"/>
      <c r="J65" s="30">
        <f>IF(H$12=0,0,H65/H$12)</f>
        <v>0</v>
      </c>
      <c r="K65" s="15"/>
      <c r="L65" s="32">
        <f>+D65-H65</f>
        <v>26699.360000000001</v>
      </c>
      <c r="M65" s="15"/>
      <c r="N65" s="30">
        <f>IF(H65=0,0,L65/H65)</f>
        <v>-0.99999475645611346</v>
      </c>
      <c r="O65" s="29"/>
      <c r="P65" s="32">
        <f>SUM(P62:P64)</f>
        <v>-0.37000000000004318</v>
      </c>
      <c r="Q65" s="14"/>
      <c r="R65" s="30">
        <f>IF(P$12=0,0,P65/P$12)</f>
        <v>0</v>
      </c>
      <c r="S65" s="14"/>
      <c r="T65" s="32">
        <f>SUM(T62:T64)</f>
        <v>-212465.28</v>
      </c>
      <c r="U65" s="14"/>
      <c r="V65" s="30">
        <f>IF(T$12=0,0,T65/T$12)</f>
        <v>0</v>
      </c>
      <c r="W65" s="15"/>
      <c r="X65" s="32">
        <f>+P65-T65</f>
        <v>212464.91</v>
      </c>
      <c r="Y65" s="15"/>
      <c r="Z65" s="30">
        <f>IF(T65=0,0,X65/T65)</f>
        <v>-0.99999825853899516</v>
      </c>
    </row>
    <row r="66" spans="1:26" ht="15.75" thickTop="1" x14ac:dyDescent="0.25">
      <c r="A66" s="9"/>
      <c r="C66" s="9"/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  <row r="67" spans="1:26" x14ac:dyDescent="0.25">
      <c r="A67" s="9"/>
      <c r="B67" s="54">
        <v>44174.685532291667</v>
      </c>
      <c r="D67" s="17"/>
      <c r="E67" s="17"/>
      <c r="G67" s="17"/>
      <c r="H67" s="17"/>
      <c r="I67" s="17"/>
      <c r="J67" s="43"/>
      <c r="K67" s="17"/>
      <c r="L67" s="17"/>
      <c r="M67" s="17"/>
      <c r="P67" s="17"/>
      <c r="Q67" s="17"/>
      <c r="R67" s="43"/>
      <c r="S67" s="17"/>
      <c r="T67" s="17"/>
      <c r="U67" s="17"/>
      <c r="V67" s="43"/>
      <c r="W67" s="17"/>
      <c r="X67" s="17"/>
    </row>
    <row r="68" spans="1:26" x14ac:dyDescent="0.25">
      <c r="A68" s="9"/>
      <c r="B68" s="56" t="s">
        <v>313</v>
      </c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6" x14ac:dyDescent="0.25">
      <c r="A69" s="9"/>
      <c r="B69" s="61"/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25"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304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65247.899999999987</v>
      </c>
      <c r="I12" s="4"/>
      <c r="J12" s="12"/>
      <c r="K12" s="4"/>
      <c r="L12" s="4">
        <f t="shared" ref="L12:L47" si="0">+D12-H12</f>
        <v>-65247.899999999987</v>
      </c>
      <c r="M12" s="4"/>
      <c r="N12" s="12">
        <f t="shared" ref="N12:N47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471780.86000000004</v>
      </c>
      <c r="U12" s="4"/>
      <c r="V12" s="12"/>
      <c r="W12" s="4"/>
      <c r="X12" s="4">
        <f t="shared" ref="X12:X47" si="2">+P12-T12</f>
        <v>-450468.94000000006</v>
      </c>
      <c r="Y12" s="4"/>
      <c r="Z12" s="12">
        <f t="shared" ref="Z12:Z47" si="3">IF(T12=0,0,X12/T12)</f>
        <v>-0.95482665405290079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47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-1096.44</f>
        <v>-1096.44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>
        <f>--5.49</f>
        <v>5.49</v>
      </c>
      <c r="I14" s="2"/>
      <c r="J14" s="19"/>
      <c r="K14" s="2"/>
      <c r="L14" s="2">
        <f t="shared" si="0"/>
        <v>-5.49</v>
      </c>
      <c r="M14" s="2"/>
      <c r="N14" s="19">
        <f t="shared" si="1"/>
        <v>-1</v>
      </c>
      <c r="O14" s="11"/>
      <c r="P14" s="2">
        <f t="shared" ref="P14:P16" si="5">0</f>
        <v>0</v>
      </c>
      <c r="Q14" s="2"/>
      <c r="R14" s="19"/>
      <c r="S14" s="2"/>
      <c r="T14" s="2">
        <f>--231.16</f>
        <v>231.16</v>
      </c>
      <c r="U14" s="2"/>
      <c r="V14" s="19"/>
      <c r="W14" s="2"/>
      <c r="X14" s="2">
        <f t="shared" si="2"/>
        <v>-231.16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 t="shared" si="4"/>
        <v>0</v>
      </c>
      <c r="E15" s="2"/>
      <c r="F15" s="19"/>
      <c r="G15" s="2"/>
      <c r="H15" s="2">
        <f>--3.98</f>
        <v>3.98</v>
      </c>
      <c r="I15" s="2"/>
      <c r="J15" s="19"/>
      <c r="K15" s="2"/>
      <c r="L15" s="2">
        <f t="shared" si="0"/>
        <v>-3.98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--33.88</f>
        <v>33.880000000000003</v>
      </c>
      <c r="U15" s="2"/>
      <c r="V15" s="19"/>
      <c r="W15" s="2"/>
      <c r="X15" s="2">
        <f t="shared" si="2"/>
        <v>-33.880000000000003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 t="shared" si="4"/>
        <v>0</v>
      </c>
      <c r="E16" s="2"/>
      <c r="F16" s="19"/>
      <c r="G16" s="2"/>
      <c r="H16" s="2">
        <f>--3212.68</f>
        <v>3212.68</v>
      </c>
      <c r="I16" s="2"/>
      <c r="J16" s="19"/>
      <c r="K16" s="2"/>
      <c r="L16" s="2">
        <f t="shared" si="0"/>
        <v>-3212.68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--29544.72</f>
        <v>29544.720000000001</v>
      </c>
      <c r="U16" s="2"/>
      <c r="V16" s="19"/>
      <c r="W16" s="2"/>
      <c r="X16" s="2">
        <f t="shared" si="2"/>
        <v>-29544.720000000001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 t="shared" si="4"/>
        <v>0</v>
      </c>
      <c r="E17" s="2"/>
      <c r="F17" s="19"/>
      <c r="G17" s="2"/>
      <c r="H17" s="2">
        <f>--6586.5</f>
        <v>6586.5</v>
      </c>
      <c r="I17" s="2"/>
      <c r="J17" s="19"/>
      <c r="K17" s="2"/>
      <c r="L17" s="2">
        <f t="shared" si="0"/>
        <v>-6586.5</v>
      </c>
      <c r="M17" s="2"/>
      <c r="N17" s="19">
        <f t="shared" si="1"/>
        <v>-1</v>
      </c>
      <c r="O17" s="11"/>
      <c r="P17" s="2">
        <f>--17.51</f>
        <v>17.510000000000002</v>
      </c>
      <c r="Q17" s="2"/>
      <c r="R17" s="19"/>
      <c r="S17" s="2"/>
      <c r="T17" s="2">
        <f>--43550.76</f>
        <v>43550.76</v>
      </c>
      <c r="U17" s="2"/>
      <c r="V17" s="19"/>
      <c r="W17" s="2"/>
      <c r="X17" s="2">
        <f t="shared" si="2"/>
        <v>-43533.25</v>
      </c>
      <c r="Y17" s="2"/>
      <c r="Z17" s="19">
        <f t="shared" si="3"/>
        <v>-0.9995979404262979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 t="shared" si="4"/>
        <v>0</v>
      </c>
      <c r="E18" s="2"/>
      <c r="F18" s="19"/>
      <c r="G18" s="2"/>
      <c r="H18" s="2">
        <f>--10515.54</f>
        <v>10515.54</v>
      </c>
      <c r="I18" s="2"/>
      <c r="J18" s="19"/>
      <c r="K18" s="2"/>
      <c r="L18" s="2">
        <f t="shared" si="0"/>
        <v>-10515.54</v>
      </c>
      <c r="M18" s="2"/>
      <c r="N18" s="19">
        <f t="shared" si="1"/>
        <v>-1</v>
      </c>
      <c r="O18" s="11"/>
      <c r="P18" s="2">
        <f>--7990.32</f>
        <v>7990.32</v>
      </c>
      <c r="Q18" s="2"/>
      <c r="R18" s="19"/>
      <c r="S18" s="2"/>
      <c r="T18" s="2">
        <f>--154741.17</f>
        <v>154741.17000000001</v>
      </c>
      <c r="U18" s="2"/>
      <c r="V18" s="19"/>
      <c r="W18" s="2"/>
      <c r="X18" s="2">
        <f t="shared" si="2"/>
        <v>-146750.85</v>
      </c>
      <c r="Y18" s="2"/>
      <c r="Z18" s="19">
        <f t="shared" si="3"/>
        <v>-0.94836332179729543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 t="shared" si="4"/>
        <v>0</v>
      </c>
      <c r="E19" s="2"/>
      <c r="F19" s="19"/>
      <c r="G19" s="2"/>
      <c r="H19" s="2">
        <f>--29388.04</f>
        <v>29388.04</v>
      </c>
      <c r="I19" s="2"/>
      <c r="J19" s="19"/>
      <c r="K19" s="2"/>
      <c r="L19" s="2">
        <f t="shared" si="0"/>
        <v>-29388.04</v>
      </c>
      <c r="M19" s="2"/>
      <c r="N19" s="19">
        <f t="shared" si="1"/>
        <v>-1</v>
      </c>
      <c r="O19" s="11"/>
      <c r="P19" s="2">
        <f>--12479.05</f>
        <v>12479.05</v>
      </c>
      <c r="Q19" s="2"/>
      <c r="R19" s="19"/>
      <c r="S19" s="2"/>
      <c r="T19" s="2">
        <f>--175952.71</f>
        <v>175952.71</v>
      </c>
      <c r="U19" s="2"/>
      <c r="V19" s="19"/>
      <c r="W19" s="2"/>
      <c r="X19" s="2">
        <f t="shared" si="2"/>
        <v>-163473.66</v>
      </c>
      <c r="Y19" s="2"/>
      <c r="Z19" s="19">
        <f t="shared" si="3"/>
        <v>-0.92907725035891753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 t="shared" si="4"/>
        <v>0</v>
      </c>
      <c r="E20" s="2"/>
      <c r="F20" s="19"/>
      <c r="G20" s="2"/>
      <c r="H20" s="2">
        <f>--58.77</f>
        <v>58.77</v>
      </c>
      <c r="I20" s="2"/>
      <c r="J20" s="19"/>
      <c r="K20" s="2"/>
      <c r="L20" s="2">
        <f t="shared" si="0"/>
        <v>-58.77</v>
      </c>
      <c r="M20" s="2"/>
      <c r="N20" s="19">
        <f t="shared" si="1"/>
        <v>-1</v>
      </c>
      <c r="O20" s="11"/>
      <c r="P20" s="2">
        <f>--374.55</f>
        <v>374.55</v>
      </c>
      <c r="Q20" s="2"/>
      <c r="R20" s="19"/>
      <c r="S20" s="2"/>
      <c r="T20" s="2">
        <f>--280.05</f>
        <v>280.05</v>
      </c>
      <c r="U20" s="2"/>
      <c r="V20" s="19"/>
      <c r="W20" s="2"/>
      <c r="X20" s="2">
        <f t="shared" si="2"/>
        <v>94.5</v>
      </c>
      <c r="Y20" s="2"/>
      <c r="Z20" s="19">
        <f t="shared" si="3"/>
        <v>0.33743974290305301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 t="shared" si="4"/>
        <v>0</v>
      </c>
      <c r="E21" s="2"/>
      <c r="F21" s="19"/>
      <c r="G21" s="2"/>
      <c r="H21" s="2">
        <f>--609.66</f>
        <v>609.66</v>
      </c>
      <c r="I21" s="2"/>
      <c r="J21" s="19"/>
      <c r="K21" s="2"/>
      <c r="L21" s="2">
        <f t="shared" si="0"/>
        <v>-609.66</v>
      </c>
      <c r="M21" s="2"/>
      <c r="N21" s="19">
        <f t="shared" si="1"/>
        <v>-1</v>
      </c>
      <c r="O21" s="11"/>
      <c r="P21" s="2">
        <f t="shared" ref="P21:P25" si="6">0</f>
        <v>0</v>
      </c>
      <c r="Q21" s="2"/>
      <c r="R21" s="19"/>
      <c r="S21" s="2"/>
      <c r="T21" s="2">
        <f>--663.08</f>
        <v>663.08</v>
      </c>
      <c r="U21" s="2"/>
      <c r="V21" s="19"/>
      <c r="W21" s="2"/>
      <c r="X21" s="2">
        <f t="shared" si="2"/>
        <v>-663.08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 t="shared" si="4"/>
        <v>0</v>
      </c>
      <c r="E22" s="2"/>
      <c r="F22" s="19"/>
      <c r="G22" s="2"/>
      <c r="H22" s="2">
        <f>--23.21</f>
        <v>23.21</v>
      </c>
      <c r="I22" s="2"/>
      <c r="J22" s="19"/>
      <c r="K22" s="2"/>
      <c r="L22" s="2">
        <f t="shared" si="0"/>
        <v>-23.21</v>
      </c>
      <c r="M22" s="2"/>
      <c r="N22" s="19">
        <f t="shared" si="1"/>
        <v>-1</v>
      </c>
      <c r="O22" s="11"/>
      <c r="P22" s="2">
        <f t="shared" si="6"/>
        <v>0</v>
      </c>
      <c r="Q22" s="2"/>
      <c r="R22" s="19"/>
      <c r="S22" s="2"/>
      <c r="T22" s="2">
        <f>--108.61</f>
        <v>108.61</v>
      </c>
      <c r="U22" s="2"/>
      <c r="V22" s="19"/>
      <c r="W22" s="2"/>
      <c r="X22" s="2">
        <f t="shared" si="2"/>
        <v>-108.61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 t="shared" si="4"/>
        <v>0</v>
      </c>
      <c r="E23" s="2"/>
      <c r="F23" s="19"/>
      <c r="G23" s="2"/>
      <c r="H23" s="2">
        <f>--1010.01</f>
        <v>1010.01</v>
      </c>
      <c r="I23" s="2"/>
      <c r="J23" s="19"/>
      <c r="K23" s="2"/>
      <c r="L23" s="2">
        <f t="shared" si="0"/>
        <v>-1010.01</v>
      </c>
      <c r="M23" s="2"/>
      <c r="N23" s="19">
        <f t="shared" si="1"/>
        <v>-1</v>
      </c>
      <c r="O23" s="11"/>
      <c r="P23" s="2">
        <f t="shared" si="6"/>
        <v>0</v>
      </c>
      <c r="Q23" s="2"/>
      <c r="R23" s="19"/>
      <c r="S23" s="2"/>
      <c r="T23" s="2">
        <f>--4724.25</f>
        <v>4724.25</v>
      </c>
      <c r="U23" s="2"/>
      <c r="V23" s="19"/>
      <c r="W23" s="2"/>
      <c r="X23" s="2">
        <f t="shared" si="2"/>
        <v>-4724.25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 t="shared" si="4"/>
        <v>0</v>
      </c>
      <c r="E24" s="2"/>
      <c r="F24" s="19"/>
      <c r="G24" s="2"/>
      <c r="H24" s="2">
        <f>--269.24</f>
        <v>269.24</v>
      </c>
      <c r="I24" s="2"/>
      <c r="J24" s="19"/>
      <c r="K24" s="2"/>
      <c r="L24" s="2">
        <f t="shared" si="0"/>
        <v>-269.24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--1133.6</f>
        <v>1133.5999999999999</v>
      </c>
      <c r="U24" s="2"/>
      <c r="V24" s="19"/>
      <c r="W24" s="2"/>
      <c r="X24" s="2">
        <f t="shared" si="2"/>
        <v>-1133.5999999999999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 t="shared" si="4"/>
        <v>0</v>
      </c>
      <c r="E25" s="2"/>
      <c r="F25" s="19"/>
      <c r="G25" s="2"/>
      <c r="H25" s="2">
        <f>--74.6</f>
        <v>74.599999999999994</v>
      </c>
      <c r="I25" s="2"/>
      <c r="J25" s="19"/>
      <c r="K25" s="2"/>
      <c r="L25" s="2">
        <f t="shared" si="0"/>
        <v>-74.599999999999994</v>
      </c>
      <c r="M25" s="2"/>
      <c r="N25" s="19">
        <f t="shared" si="1"/>
        <v>-1</v>
      </c>
      <c r="O25" s="11"/>
      <c r="P25" s="2">
        <f t="shared" si="6"/>
        <v>0</v>
      </c>
      <c r="Q25" s="2"/>
      <c r="R25" s="19"/>
      <c r="S25" s="2"/>
      <c r="T25" s="2">
        <f>--377.17</f>
        <v>377.17</v>
      </c>
      <c r="U25" s="2"/>
      <c r="V25" s="19"/>
      <c r="W25" s="2"/>
      <c r="X25" s="2">
        <f t="shared" si="2"/>
        <v>-377.17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"4081", " - ", "TAXABLE SALES-ELECTRONICS")</f>
        <v xml:space="preserve">          4081 - TAXABLE SALES-ELECTRONICS</v>
      </c>
      <c r="C26" s="11"/>
      <c r="D26" s="2">
        <f t="shared" si="4"/>
        <v>0</v>
      </c>
      <c r="E26" s="2"/>
      <c r="F26" s="19"/>
      <c r="G26" s="2"/>
      <c r="H26" s="2">
        <f>--430.76</f>
        <v>430.76</v>
      </c>
      <c r="I26" s="2"/>
      <c r="J26" s="19"/>
      <c r="K26" s="2"/>
      <c r="L26" s="2">
        <f t="shared" si="0"/>
        <v>-430.76</v>
      </c>
      <c r="M26" s="2"/>
      <c r="N26" s="19">
        <f t="shared" si="1"/>
        <v>-1</v>
      </c>
      <c r="O26" s="11"/>
      <c r="P26" s="2">
        <f>--71.95</f>
        <v>71.95</v>
      </c>
      <c r="Q26" s="2"/>
      <c r="R26" s="19"/>
      <c r="S26" s="2"/>
      <c r="T26" s="2">
        <f>--2223.67</f>
        <v>2223.67</v>
      </c>
      <c r="U26" s="2"/>
      <c r="V26" s="19"/>
      <c r="W26" s="2"/>
      <c r="X26" s="2">
        <f t="shared" si="2"/>
        <v>-2151.7200000000003</v>
      </c>
      <c r="Y26" s="2"/>
      <c r="Z26" s="19">
        <f t="shared" si="3"/>
        <v>-0.96764358020749486</v>
      </c>
    </row>
    <row r="27" spans="1:26" s="24" customFormat="1" hidden="1" outlineLevel="1" x14ac:dyDescent="0.25">
      <c r="A27" s="44"/>
      <c r="B27" s="11" t="str">
        <f>CONCATENATE("          ", "4082", " - ", "TAXABLE SALES-COMPUTER HARDWAR")</f>
        <v xml:space="preserve">          4082 - TAXABLE SALES-COMPUTER HARDWAR</v>
      </c>
      <c r="C27" s="11"/>
      <c r="D27" s="2">
        <f t="shared" si="4"/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0</f>
        <v>0</v>
      </c>
      <c r="Q27" s="2"/>
      <c r="R27" s="19"/>
      <c r="S27" s="2"/>
      <c r="T27" s="2">
        <f>--162</f>
        <v>162</v>
      </c>
      <c r="U27" s="2"/>
      <c r="V27" s="19"/>
      <c r="W27" s="2"/>
      <c r="X27" s="2">
        <f t="shared" si="2"/>
        <v>-162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"4083", " - ", "TAXABLE SALES-COMPUTER EQUIPME")</f>
        <v xml:space="preserve">          4083 - TAXABLE SALES-COMPUTER EQUIPME</v>
      </c>
      <c r="C28" s="11"/>
      <c r="D28" s="2">
        <f t="shared" si="4"/>
        <v>0</v>
      </c>
      <c r="E28" s="2"/>
      <c r="F28" s="19"/>
      <c r="G28" s="2"/>
      <c r="H28" s="2">
        <f>--139.91</f>
        <v>139.91</v>
      </c>
      <c r="I28" s="2"/>
      <c r="J28" s="19"/>
      <c r="K28" s="2"/>
      <c r="L28" s="2">
        <f t="shared" si="0"/>
        <v>-139.91</v>
      </c>
      <c r="M28" s="2"/>
      <c r="N28" s="19">
        <f t="shared" si="1"/>
        <v>-1</v>
      </c>
      <c r="O28" s="11"/>
      <c r="P28" s="2">
        <f>--9.99</f>
        <v>9.99</v>
      </c>
      <c r="Q28" s="2"/>
      <c r="R28" s="19"/>
      <c r="S28" s="2"/>
      <c r="T28" s="2">
        <f>--569.6</f>
        <v>569.6</v>
      </c>
      <c r="U28" s="2"/>
      <c r="V28" s="19"/>
      <c r="W28" s="2"/>
      <c r="X28" s="2">
        <f t="shared" si="2"/>
        <v>-559.61</v>
      </c>
      <c r="Y28" s="2"/>
      <c r="Z28" s="19">
        <f t="shared" si="3"/>
        <v>-0.98246137640449438</v>
      </c>
    </row>
    <row r="29" spans="1:26" s="24" customFormat="1" hidden="1" outlineLevel="1" x14ac:dyDescent="0.25">
      <c r="A29" s="44"/>
      <c r="B29" s="11" t="str">
        <f>CONCATENATE("          ", "4086", " - ", "TAXABLE SALES-COMPUTER SUPPLIE")</f>
        <v xml:space="preserve">          4086 - TAXABLE SALES-COMPUTER SUPPLIE</v>
      </c>
      <c r="C29" s="11"/>
      <c r="D29" s="2">
        <f t="shared" si="4"/>
        <v>0</v>
      </c>
      <c r="E29" s="2"/>
      <c r="F29" s="19"/>
      <c r="G29" s="2"/>
      <c r="H29" s="2">
        <f>--105</f>
        <v>105</v>
      </c>
      <c r="I29" s="2"/>
      <c r="J29" s="19"/>
      <c r="K29" s="2"/>
      <c r="L29" s="2">
        <f t="shared" si="0"/>
        <v>-105</v>
      </c>
      <c r="M29" s="2"/>
      <c r="N29" s="19">
        <f t="shared" si="1"/>
        <v>-1</v>
      </c>
      <c r="O29" s="11"/>
      <c r="P29" s="2">
        <f t="shared" ref="P29:P33" si="7">0</f>
        <v>0</v>
      </c>
      <c r="Q29" s="2"/>
      <c r="R29" s="19"/>
      <c r="S29" s="2"/>
      <c r="T29" s="2">
        <f>--639.79</f>
        <v>639.79</v>
      </c>
      <c r="U29" s="2"/>
      <c r="V29" s="19"/>
      <c r="W29" s="2"/>
      <c r="X29" s="2">
        <f t="shared" si="2"/>
        <v>-639.79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"4125", " - ", "NON-TAXABLE SALES-TEST FORMS")</f>
        <v xml:space="preserve">          4125 - NON-TAXABLE SALES-TEST FORMS</v>
      </c>
      <c r="C30" s="11"/>
      <c r="D30" s="2">
        <f t="shared" si="4"/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 t="shared" si="7"/>
        <v>0</v>
      </c>
      <c r="Q30" s="2"/>
      <c r="R30" s="19"/>
      <c r="S30" s="2"/>
      <c r="T30" s="2">
        <f>--124.18</f>
        <v>124.18</v>
      </c>
      <c r="U30" s="2"/>
      <c r="V30" s="19"/>
      <c r="W30" s="2"/>
      <c r="X30" s="2">
        <f t="shared" si="2"/>
        <v>-124.18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"4126", " - ", "NON-TAXABLE SALES-WRITING INST")</f>
        <v xml:space="preserve">          4126 - NON-TAXABLE SALES-WRITING INST</v>
      </c>
      <c r="C31" s="11"/>
      <c r="D31" s="2">
        <f t="shared" si="4"/>
        <v>0</v>
      </c>
      <c r="E31" s="2"/>
      <c r="F31" s="19"/>
      <c r="G31" s="2"/>
      <c r="H31" s="2">
        <f>--11.85</f>
        <v>11.85</v>
      </c>
      <c r="I31" s="2"/>
      <c r="J31" s="19"/>
      <c r="K31" s="2"/>
      <c r="L31" s="2">
        <f t="shared" si="0"/>
        <v>-11.85</v>
      </c>
      <c r="M31" s="2"/>
      <c r="N31" s="19">
        <f t="shared" si="1"/>
        <v>-1</v>
      </c>
      <c r="O31" s="11"/>
      <c r="P31" s="2">
        <f t="shared" si="7"/>
        <v>0</v>
      </c>
      <c r="Q31" s="2"/>
      <c r="R31" s="19"/>
      <c r="S31" s="2"/>
      <c r="T31" s="2">
        <f>--1470.38</f>
        <v>1470.38</v>
      </c>
      <c r="U31" s="2"/>
      <c r="V31" s="19"/>
      <c r="W31" s="2"/>
      <c r="X31" s="2">
        <f t="shared" si="2"/>
        <v>-1470.38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"4127", " - ", "NON-TAXABLE SALES-SCHOOL SUPPL")</f>
        <v xml:space="preserve">          4127 - NON-TAXABLE SALES-SCHOOL SUPPL</v>
      </c>
      <c r="C32" s="11"/>
      <c r="D32" s="2">
        <f t="shared" si="4"/>
        <v>0</v>
      </c>
      <c r="E32" s="2"/>
      <c r="F32" s="19"/>
      <c r="G32" s="2"/>
      <c r="H32" s="2">
        <f>--6.28</f>
        <v>6.28</v>
      </c>
      <c r="I32" s="2"/>
      <c r="J32" s="19"/>
      <c r="K32" s="2"/>
      <c r="L32" s="2">
        <f t="shared" si="0"/>
        <v>-6.28</v>
      </c>
      <c r="M32" s="2"/>
      <c r="N32" s="19">
        <f t="shared" si="1"/>
        <v>-1</v>
      </c>
      <c r="O32" s="11"/>
      <c r="P32" s="2">
        <f t="shared" si="7"/>
        <v>0</v>
      </c>
      <c r="Q32" s="2"/>
      <c r="R32" s="19"/>
      <c r="S32" s="2"/>
      <c r="T32" s="2">
        <f>--2603.4</f>
        <v>2603.4</v>
      </c>
      <c r="U32" s="2"/>
      <c r="V32" s="19"/>
      <c r="W32" s="2"/>
      <c r="X32" s="2">
        <f t="shared" si="2"/>
        <v>-2603.4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"4128", " - ", "NON-TAXABLE SALES-ART/TECH")</f>
        <v xml:space="preserve">          4128 - NON-TAXABLE SALES-ART/TECH</v>
      </c>
      <c r="C33" s="11"/>
      <c r="D33" s="2">
        <f t="shared" si="4"/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 t="shared" si="7"/>
        <v>0</v>
      </c>
      <c r="Q33" s="2"/>
      <c r="R33" s="19"/>
      <c r="S33" s="2"/>
      <c r="T33" s="2">
        <f>--348.72</f>
        <v>348.72</v>
      </c>
      <c r="U33" s="2"/>
      <c r="V33" s="19"/>
      <c r="W33" s="2"/>
      <c r="X33" s="2">
        <f t="shared" si="2"/>
        <v>-348.72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"4131", " - ", "NON-TAXABLE SALES-FOOD")</f>
        <v xml:space="preserve">          4131 - NON-TAXABLE SALES-FOOD</v>
      </c>
      <c r="C34" s="11"/>
      <c r="D34" s="2">
        <f t="shared" si="4"/>
        <v>0</v>
      </c>
      <c r="E34" s="2"/>
      <c r="F34" s="19"/>
      <c r="G34" s="2"/>
      <c r="H34" s="2">
        <f>--8305.09</f>
        <v>8305.09</v>
      </c>
      <c r="I34" s="2"/>
      <c r="J34" s="19"/>
      <c r="K34" s="2"/>
      <c r="L34" s="2">
        <f t="shared" si="0"/>
        <v>-8305.09</v>
      </c>
      <c r="M34" s="2"/>
      <c r="N34" s="19">
        <f t="shared" si="1"/>
        <v>-1</v>
      </c>
      <c r="O34" s="11"/>
      <c r="P34" s="2">
        <f>--1847.16</f>
        <v>1847.16</v>
      </c>
      <c r="Q34" s="2"/>
      <c r="R34" s="19"/>
      <c r="S34" s="2"/>
      <c r="T34" s="2">
        <f>--35027.51</f>
        <v>35027.51</v>
      </c>
      <c r="U34" s="2"/>
      <c r="V34" s="19"/>
      <c r="W34" s="2"/>
      <c r="X34" s="2">
        <f t="shared" si="2"/>
        <v>-33180.35</v>
      </c>
      <c r="Y34" s="2"/>
      <c r="Z34" s="19">
        <f t="shared" si="3"/>
        <v>-0.94726544935680546</v>
      </c>
    </row>
    <row r="35" spans="1:26" s="24" customFormat="1" hidden="1" outlineLevel="1" x14ac:dyDescent="0.25">
      <c r="A35" s="44"/>
      <c r="B35" s="11" t="str">
        <f>CONCATENATE("          ", "4132", " - ", "NON-TAXABLE SALES-JUICE")</f>
        <v xml:space="preserve">          4132 - NON-TAXABLE SALES-JUICE</v>
      </c>
      <c r="C35" s="11"/>
      <c r="D35" s="2">
        <f t="shared" si="4"/>
        <v>0</v>
      </c>
      <c r="E35" s="2"/>
      <c r="F35" s="19"/>
      <c r="G35" s="2"/>
      <c r="H35" s="2">
        <f>--2505.59</f>
        <v>2505.59</v>
      </c>
      <c r="I35" s="2"/>
      <c r="J35" s="19"/>
      <c r="K35" s="2"/>
      <c r="L35" s="2">
        <f t="shared" si="0"/>
        <v>-2505.59</v>
      </c>
      <c r="M35" s="2"/>
      <c r="N35" s="19">
        <f t="shared" si="1"/>
        <v>-1</v>
      </c>
      <c r="O35" s="11"/>
      <c r="P35" s="2">
        <f t="shared" ref="P35:P42" si="8">0</f>
        <v>0</v>
      </c>
      <c r="Q35" s="2"/>
      <c r="R35" s="19"/>
      <c r="S35" s="2"/>
      <c r="T35" s="2">
        <f>--10274.39</f>
        <v>10274.39</v>
      </c>
      <c r="U35" s="2"/>
      <c r="V35" s="19"/>
      <c r="W35" s="2"/>
      <c r="X35" s="2">
        <f t="shared" si="2"/>
        <v>-10274.39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"4133", " - ", "NON-TAXABLE SALES-CANDY")</f>
        <v xml:space="preserve">          4133 - NON-TAXABLE SALES-CANDY</v>
      </c>
      <c r="C36" s="11"/>
      <c r="D36" s="2">
        <f t="shared" si="4"/>
        <v>0</v>
      </c>
      <c r="E36" s="2"/>
      <c r="F36" s="19"/>
      <c r="G36" s="2"/>
      <c r="H36" s="2">
        <f>--2349.7</f>
        <v>2349.6999999999998</v>
      </c>
      <c r="I36" s="2"/>
      <c r="J36" s="19"/>
      <c r="K36" s="2"/>
      <c r="L36" s="2">
        <f t="shared" si="0"/>
        <v>-2349.6999999999998</v>
      </c>
      <c r="M36" s="2"/>
      <c r="N36" s="19">
        <f t="shared" si="1"/>
        <v>-1</v>
      </c>
      <c r="O36" s="11"/>
      <c r="P36" s="2">
        <f t="shared" si="8"/>
        <v>0</v>
      </c>
      <c r="Q36" s="2"/>
      <c r="R36" s="19"/>
      <c r="S36" s="2"/>
      <c r="T36" s="2">
        <f>--10816.56</f>
        <v>10816.56</v>
      </c>
      <c r="U36" s="2"/>
      <c r="V36" s="19"/>
      <c r="W36" s="2"/>
      <c r="X36" s="2">
        <f t="shared" si="2"/>
        <v>-10816.56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"4135", " - ", "NON-TAXABLE SALES")</f>
        <v xml:space="preserve">          4135 - NON-TAXABLE SALES</v>
      </c>
      <c r="C37" s="11"/>
      <c r="D37" s="2">
        <f t="shared" si="4"/>
        <v>0</v>
      </c>
      <c r="E37" s="2"/>
      <c r="F37" s="19"/>
      <c r="G37" s="2"/>
      <c r="H37" s="2">
        <f>--10.77</f>
        <v>10.77</v>
      </c>
      <c r="I37" s="2"/>
      <c r="J37" s="19"/>
      <c r="K37" s="2"/>
      <c r="L37" s="2">
        <f t="shared" si="0"/>
        <v>-10.77</v>
      </c>
      <c r="M37" s="2"/>
      <c r="N37" s="19">
        <f t="shared" si="1"/>
        <v>-1</v>
      </c>
      <c r="O37" s="11"/>
      <c r="P37" s="2">
        <f t="shared" si="8"/>
        <v>0</v>
      </c>
      <c r="Q37" s="2"/>
      <c r="R37" s="19"/>
      <c r="S37" s="2"/>
      <c r="T37" s="2">
        <f>--114.73</f>
        <v>114.73</v>
      </c>
      <c r="U37" s="2"/>
      <c r="V37" s="19"/>
      <c r="W37" s="2"/>
      <c r="X37" s="2">
        <f t="shared" si="2"/>
        <v>-114.73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"4137", " - ", "NON-TAXABLE SALES-WATER")</f>
        <v xml:space="preserve">          4137 - NON-TAXABLE SALES-WATER</v>
      </c>
      <c r="C38" s="11"/>
      <c r="D38" s="2">
        <f t="shared" si="4"/>
        <v>0</v>
      </c>
      <c r="E38" s="2"/>
      <c r="F38" s="19"/>
      <c r="G38" s="2"/>
      <c r="H38" s="2">
        <f>--1022.54</f>
        <v>1022.54</v>
      </c>
      <c r="I38" s="2"/>
      <c r="J38" s="19"/>
      <c r="K38" s="2"/>
      <c r="L38" s="2">
        <f t="shared" si="0"/>
        <v>-1022.54</v>
      </c>
      <c r="M38" s="2"/>
      <c r="N38" s="19">
        <f t="shared" si="1"/>
        <v>-1</v>
      </c>
      <c r="O38" s="11"/>
      <c r="P38" s="2">
        <f t="shared" si="8"/>
        <v>0</v>
      </c>
      <c r="Q38" s="2"/>
      <c r="R38" s="19"/>
      <c r="S38" s="2"/>
      <c r="T38" s="2">
        <f>--5202.34</f>
        <v>5202.34</v>
      </c>
      <c r="U38" s="2"/>
      <c r="V38" s="19"/>
      <c r="W38" s="2"/>
      <c r="X38" s="2">
        <f t="shared" si="2"/>
        <v>-5202.34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"4186", " - ", "NON-TAXABLE SALES-COMPUTER SUP")</f>
        <v xml:space="preserve">          4186 - NON-TAXABLE SALES-COMPUTER SUP</v>
      </c>
      <c r="C39" s="11"/>
      <c r="D39" s="2">
        <f t="shared" si="4"/>
        <v>0</v>
      </c>
      <c r="E39" s="2"/>
      <c r="F39" s="19"/>
      <c r="G39" s="2"/>
      <c r="H39" s="2">
        <f t="shared" ref="H39:H40" si="9">0</f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 t="shared" si="8"/>
        <v>0</v>
      </c>
      <c r="Q39" s="2"/>
      <c r="R39" s="19"/>
      <c r="S39" s="2"/>
      <c r="T39" s="2">
        <f>-30.97</f>
        <v>-30.97</v>
      </c>
      <c r="U39" s="2"/>
      <c r="V39" s="19"/>
      <c r="W39" s="2"/>
      <c r="X39" s="2">
        <f t="shared" si="2"/>
        <v>30.97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"4217", " - ", "NON-TAXABLE SALES-DORM/HOUSEWA")</f>
        <v xml:space="preserve">          4217 - NON-TAXABLE SALES-DORM/HOUSEWA</v>
      </c>
      <c r="C40" s="11"/>
      <c r="D40" s="2">
        <f t="shared" si="4"/>
        <v>0</v>
      </c>
      <c r="E40" s="2"/>
      <c r="F40" s="19"/>
      <c r="G40" s="2"/>
      <c r="H40" s="2">
        <f t="shared" si="9"/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 t="shared" si="8"/>
        <v>0</v>
      </c>
      <c r="Q40" s="2"/>
      <c r="R40" s="19"/>
      <c r="S40" s="2"/>
      <c r="T40" s="2">
        <f>-2.98</f>
        <v>-2.98</v>
      </c>
      <c r="U40" s="2"/>
      <c r="V40" s="19"/>
      <c r="W40" s="2"/>
      <c r="X40" s="2">
        <f t="shared" si="2"/>
        <v>2.98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"4225", " - ", "SALES RETURN TAXABLE-TEST FORM")</f>
        <v xml:space="preserve">          4225 - SALES RETURN TAXABLE-TEST FORM</v>
      </c>
      <c r="C41" s="11"/>
      <c r="D41" s="2">
        <f t="shared" si="4"/>
        <v>0</v>
      </c>
      <c r="E41" s="2"/>
      <c r="F41" s="19"/>
      <c r="G41" s="2"/>
      <c r="H41" s="2">
        <f>-23.91</f>
        <v>-23.91</v>
      </c>
      <c r="I41" s="2"/>
      <c r="J41" s="19"/>
      <c r="K41" s="2"/>
      <c r="L41" s="2">
        <f t="shared" si="0"/>
        <v>23.91</v>
      </c>
      <c r="M41" s="2"/>
      <c r="N41" s="19">
        <f t="shared" si="1"/>
        <v>-1</v>
      </c>
      <c r="O41" s="11"/>
      <c r="P41" s="2">
        <f t="shared" si="8"/>
        <v>0</v>
      </c>
      <c r="Q41" s="2"/>
      <c r="R41" s="19"/>
      <c r="S41" s="2"/>
      <c r="T41" s="2">
        <f>-65.46</f>
        <v>-65.459999999999994</v>
      </c>
      <c r="U41" s="2"/>
      <c r="V41" s="19"/>
      <c r="W41" s="2"/>
      <c r="X41" s="2">
        <f t="shared" si="2"/>
        <v>65.459999999999994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"4226", " - ", "SALES RETURN TAXABLE-WRITING I")</f>
        <v xml:space="preserve">          4226 - SALES RETURN TAXABLE-WRITING I</v>
      </c>
      <c r="C42" s="11"/>
      <c r="D42" s="2">
        <f t="shared" si="4"/>
        <v>0</v>
      </c>
      <c r="E42" s="2"/>
      <c r="F42" s="19"/>
      <c r="G42" s="2"/>
      <c r="H42" s="2">
        <f>-13.74</f>
        <v>-13.74</v>
      </c>
      <c r="I42" s="2"/>
      <c r="J42" s="19"/>
      <c r="K42" s="2"/>
      <c r="L42" s="2">
        <f t="shared" si="0"/>
        <v>13.74</v>
      </c>
      <c r="M42" s="2"/>
      <c r="N42" s="19">
        <f t="shared" si="1"/>
        <v>-1</v>
      </c>
      <c r="O42" s="11"/>
      <c r="P42" s="2">
        <f t="shared" si="8"/>
        <v>0</v>
      </c>
      <c r="Q42" s="2"/>
      <c r="R42" s="19"/>
      <c r="S42" s="2"/>
      <c r="T42" s="2">
        <f>-354.91</f>
        <v>-354.91</v>
      </c>
      <c r="U42" s="2"/>
      <c r="V42" s="19"/>
      <c r="W42" s="2"/>
      <c r="X42" s="2">
        <f t="shared" si="2"/>
        <v>354.91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"4227", " - ", "SALES RETURN TAXABLE-SCHOOL SU")</f>
        <v xml:space="preserve">          4227 - SALES RETURN TAXABLE-SCHOOL SU</v>
      </c>
      <c r="C43" s="11"/>
      <c r="D43" s="2">
        <f t="shared" si="4"/>
        <v>0</v>
      </c>
      <c r="E43" s="2"/>
      <c r="F43" s="19"/>
      <c r="G43" s="2"/>
      <c r="H43" s="2">
        <f>-917.34</f>
        <v>-917.34</v>
      </c>
      <c r="I43" s="2"/>
      <c r="J43" s="19"/>
      <c r="K43" s="2"/>
      <c r="L43" s="2">
        <f t="shared" si="0"/>
        <v>917.34</v>
      </c>
      <c r="M43" s="2"/>
      <c r="N43" s="19">
        <f t="shared" si="1"/>
        <v>-1</v>
      </c>
      <c r="O43" s="11"/>
      <c r="P43" s="2">
        <f>-159.97</f>
        <v>-159.97</v>
      </c>
      <c r="Q43" s="2"/>
      <c r="R43" s="19"/>
      <c r="S43" s="2"/>
      <c r="T43" s="2">
        <f>-5743.82</f>
        <v>-5743.82</v>
      </c>
      <c r="U43" s="2"/>
      <c r="V43" s="19"/>
      <c r="W43" s="2"/>
      <c r="X43" s="2">
        <f t="shared" si="2"/>
        <v>5583.8499999999995</v>
      </c>
      <c r="Y43" s="2"/>
      <c r="Z43" s="19">
        <f t="shared" si="3"/>
        <v>-0.97214919687594659</v>
      </c>
    </row>
    <row r="44" spans="1:26" s="24" customFormat="1" hidden="1" outlineLevel="1" x14ac:dyDescent="0.25">
      <c r="A44" s="44"/>
      <c r="B44" s="11" t="str">
        <f>CONCATENATE("          ", "4228", " - ", "SALES RETURN TAXABLE-ART/TECH")</f>
        <v xml:space="preserve">          4228 - SALES RETURN TAXABLE-ART/TECH</v>
      </c>
      <c r="C44" s="11"/>
      <c r="D44" s="2">
        <f t="shared" si="4"/>
        <v>0</v>
      </c>
      <c r="E44" s="2"/>
      <c r="F44" s="19"/>
      <c r="G44" s="2"/>
      <c r="H44" s="2">
        <f>-441.03</f>
        <v>-441.03</v>
      </c>
      <c r="I44" s="2"/>
      <c r="J44" s="19"/>
      <c r="K44" s="2"/>
      <c r="L44" s="2">
        <f t="shared" si="0"/>
        <v>441.03</v>
      </c>
      <c r="M44" s="2"/>
      <c r="N44" s="19">
        <f t="shared" si="1"/>
        <v>-1</v>
      </c>
      <c r="O44" s="11"/>
      <c r="P44" s="2">
        <f>-222.2</f>
        <v>-222.2</v>
      </c>
      <c r="Q44" s="2"/>
      <c r="R44" s="19"/>
      <c r="S44" s="2"/>
      <c r="T44" s="2">
        <f>-2871.29</f>
        <v>-2871.29</v>
      </c>
      <c r="U44" s="2"/>
      <c r="V44" s="19"/>
      <c r="W44" s="2"/>
      <c r="X44" s="2">
        <f t="shared" si="2"/>
        <v>2649.09</v>
      </c>
      <c r="Y44" s="2"/>
      <c r="Z44" s="19">
        <f t="shared" si="3"/>
        <v>-0.92261318083509514</v>
      </c>
    </row>
    <row r="45" spans="1:26" s="24" customFormat="1" hidden="1" outlineLevel="1" x14ac:dyDescent="0.25">
      <c r="A45" s="44"/>
      <c r="B45" s="11" t="str">
        <f>CONCATENATE("          ", "4233", " - ", "SALES RETURN TAXABLE-CANDY")</f>
        <v xml:space="preserve">          4233 - SALES RETURN TAXABLE-CANDY</v>
      </c>
      <c r="C45" s="11"/>
      <c r="D45" s="2">
        <f t="shared" si="4"/>
        <v>0</v>
      </c>
      <c r="E45" s="2"/>
      <c r="F45" s="19"/>
      <c r="G45" s="2"/>
      <c r="H45" s="2">
        <f>-1.29</f>
        <v>-1.29</v>
      </c>
      <c r="I45" s="2"/>
      <c r="J45" s="19"/>
      <c r="K45" s="2"/>
      <c r="L45" s="2">
        <f t="shared" si="0"/>
        <v>1.29</v>
      </c>
      <c r="M45" s="2"/>
      <c r="N45" s="19">
        <f t="shared" si="1"/>
        <v>-1</v>
      </c>
      <c r="O45" s="11"/>
      <c r="P45" s="2">
        <f t="shared" ref="P45:P47" si="10">0</f>
        <v>0</v>
      </c>
      <c r="Q45" s="2"/>
      <c r="R45" s="19"/>
      <c r="S45" s="2"/>
      <c r="T45" s="2">
        <f>-1.29</f>
        <v>-1.29</v>
      </c>
      <c r="U45" s="2"/>
      <c r="V45" s="19"/>
      <c r="W45" s="2"/>
      <c r="X45" s="2">
        <f t="shared" si="2"/>
        <v>1.29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"4281", " - ", "SALES RETURN TAXABLE-ELECTRONI")</f>
        <v xml:space="preserve">          4281 - SALES RETURN TAXABLE-ELECTRONI</v>
      </c>
      <c r="C46" s="11"/>
      <c r="D46" s="2">
        <f t="shared" si="4"/>
        <v>0</v>
      </c>
      <c r="E46" s="2"/>
      <c r="F46" s="19"/>
      <c r="G46" s="2"/>
      <c r="H46" s="2">
        <f t="shared" ref="H46:H47" si="11">0</f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 t="shared" si="10"/>
        <v>0</v>
      </c>
      <c r="Q46" s="2"/>
      <c r="R46" s="19"/>
      <c r="S46" s="2"/>
      <c r="T46" s="2">
        <f>-44.98</f>
        <v>-44.98</v>
      </c>
      <c r="U46" s="2"/>
      <c r="V46" s="19"/>
      <c r="W46" s="2"/>
      <c r="X46" s="2">
        <f t="shared" si="2"/>
        <v>44.98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"4327", " - ", "SALES RETURN NON TAXABLE-SCHOO")</f>
        <v xml:space="preserve">          4327 - SALES RETURN NON TAXABLE-SCHOO</v>
      </c>
      <c r="C47" s="11"/>
      <c r="D47" s="2">
        <f t="shared" si="4"/>
        <v>0</v>
      </c>
      <c r="E47" s="2"/>
      <c r="F47" s="19"/>
      <c r="G47" s="2"/>
      <c r="H47" s="2">
        <f t="shared" si="11"/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 t="shared" si="10"/>
        <v>0</v>
      </c>
      <c r="Q47" s="2"/>
      <c r="R47" s="19"/>
      <c r="S47" s="2"/>
      <c r="T47" s="2">
        <f>-21.87</f>
        <v>-21.87</v>
      </c>
      <c r="U47" s="2"/>
      <c r="V47" s="19"/>
      <c r="W47" s="2"/>
      <c r="X47" s="2">
        <f t="shared" si="2"/>
        <v>21.87</v>
      </c>
      <c r="Y47" s="2"/>
      <c r="Z47" s="19">
        <f t="shared" si="3"/>
        <v>-1</v>
      </c>
    </row>
    <row r="48" spans="1:26" x14ac:dyDescent="0.25">
      <c r="A48" s="9"/>
      <c r="B48" s="10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collapsed="1" x14ac:dyDescent="0.25">
      <c r="A49" s="10"/>
      <c r="B49" s="29" t="s">
        <v>8</v>
      </c>
      <c r="C49" s="10"/>
      <c r="D49" s="4">
        <f>SUM(OSRRefD16x_0)</f>
        <v>17.61</v>
      </c>
      <c r="E49" s="4"/>
      <c r="F49" s="12">
        <f t="shared" ref="F49:F72" si="12">IF(D$12=0,0,D49/D$12)</f>
        <v>0</v>
      </c>
      <c r="G49" s="4"/>
      <c r="H49" s="4">
        <f>SUM(OSRRefH16x_0)</f>
        <v>33976.109999999979</v>
      </c>
      <c r="I49" s="4"/>
      <c r="J49" s="12">
        <f t="shared" ref="J49:J72" si="13">IF(H$12=0,0,H49/H$12)</f>
        <v>0.52072342558151274</v>
      </c>
      <c r="K49" s="4"/>
      <c r="L49" s="4">
        <f t="shared" ref="L49:L72" si="14">+D49-H49</f>
        <v>-33958.499999999978</v>
      </c>
      <c r="M49" s="4"/>
      <c r="N49" s="12">
        <f t="shared" ref="N49:N72" si="15">IF(H49=0,0,L49/H49)</f>
        <v>-0.99948169463779102</v>
      </c>
      <c r="O49" s="10"/>
      <c r="P49" s="4">
        <f>SUM(OSRRefP16x_0)</f>
        <v>14200.659999999993</v>
      </c>
      <c r="Q49" s="4"/>
      <c r="R49" s="12">
        <f t="shared" ref="R49:R72" si="16">IF(P$12=0,0,P49/P$12)</f>
        <v>0.6663247609788322</v>
      </c>
      <c r="S49" s="4"/>
      <c r="T49" s="4">
        <f>SUM(OSRRefT16x_0)</f>
        <v>234329.82999999996</v>
      </c>
      <c r="U49" s="4"/>
      <c r="V49" s="12">
        <f t="shared" ref="V49:V72" si="17">IF(T$12=0,0,T49/T$12)</f>
        <v>0.49669210828095045</v>
      </c>
      <c r="W49" s="4"/>
      <c r="X49" s="4">
        <f t="shared" ref="X49:X72" si="18">+P49-T49</f>
        <v>-220129.16999999995</v>
      </c>
      <c r="Y49" s="4"/>
      <c r="Z49" s="12">
        <f t="shared" ref="Z49:Z72" si="19">IF(T49=0,0,X49/T49)</f>
        <v>-0.93939883795417767</v>
      </c>
    </row>
    <row r="50" spans="1:26" s="24" customFormat="1" hidden="1" outlineLevel="1" x14ac:dyDescent="0.25">
      <c r="A50" s="44"/>
      <c r="B50" s="11" t="str">
        <f>CONCATENATE("          ", "5014", " - ", "PURCHASES @ COST-REMAINDERS")</f>
        <v xml:space="preserve">          5014 - PURCHASES @ COST-REMAINDERS</v>
      </c>
      <c r="C50" s="11"/>
      <c r="D50" s="2"/>
      <c r="E50" s="2"/>
      <c r="F50" s="19">
        <f t="shared" si="12"/>
        <v>0</v>
      </c>
      <c r="G50" s="2"/>
      <c r="H50" s="2"/>
      <c r="I50" s="2"/>
      <c r="J50" s="19">
        <f t="shared" si="13"/>
        <v>0</v>
      </c>
      <c r="K50" s="2"/>
      <c r="L50" s="2">
        <f t="shared" si="14"/>
        <v>0</v>
      </c>
      <c r="M50" s="2"/>
      <c r="N50" s="19">
        <f t="shared" si="15"/>
        <v>0</v>
      </c>
      <c r="O50" s="11"/>
      <c r="P50" s="2"/>
      <c r="Q50" s="2"/>
      <c r="R50" s="19">
        <f t="shared" si="16"/>
        <v>0</v>
      </c>
      <c r="S50" s="2"/>
      <c r="T50" s="2">
        <v>14.46</v>
      </c>
      <c r="U50" s="2"/>
      <c r="V50" s="19">
        <f t="shared" si="17"/>
        <v>3.0649823309915541E-5</v>
      </c>
      <c r="W50" s="2"/>
      <c r="X50" s="2">
        <f t="shared" si="18"/>
        <v>-14.46</v>
      </c>
      <c r="Y50" s="2"/>
      <c r="Z50" s="19">
        <f t="shared" si="19"/>
        <v>-1</v>
      </c>
    </row>
    <row r="51" spans="1:26" s="24" customFormat="1" hidden="1" outlineLevel="1" x14ac:dyDescent="0.25">
      <c r="A51" s="44"/>
      <c r="B51" s="11" t="str">
        <f>CONCATENATE("          ", "5017", " - ", "PURCHASES @ COST-DORM/HOUSEWAR")</f>
        <v xml:space="preserve">          5017 - PURCHASES @ COST-DORM/HOUSEWAR</v>
      </c>
      <c r="C51" s="11"/>
      <c r="D51" s="2"/>
      <c r="E51" s="2"/>
      <c r="F51" s="19">
        <f t="shared" si="12"/>
        <v>0</v>
      </c>
      <c r="G51" s="2"/>
      <c r="H51" s="2"/>
      <c r="I51" s="2"/>
      <c r="J51" s="19">
        <f t="shared" si="13"/>
        <v>0</v>
      </c>
      <c r="K51" s="2"/>
      <c r="L51" s="2">
        <f t="shared" si="14"/>
        <v>0</v>
      </c>
      <c r="M51" s="2"/>
      <c r="N51" s="19">
        <f t="shared" si="15"/>
        <v>0</v>
      </c>
      <c r="O51" s="11"/>
      <c r="P51" s="2"/>
      <c r="Q51" s="2"/>
      <c r="R51" s="19">
        <f t="shared" si="16"/>
        <v>0</v>
      </c>
      <c r="S51" s="2"/>
      <c r="T51" s="2">
        <v>0</v>
      </c>
      <c r="U51" s="2"/>
      <c r="V51" s="19">
        <f t="shared" si="17"/>
        <v>0</v>
      </c>
      <c r="W51" s="2"/>
      <c r="X51" s="2">
        <f t="shared" si="18"/>
        <v>0</v>
      </c>
      <c r="Y51" s="2"/>
      <c r="Z51" s="19">
        <f t="shared" si="19"/>
        <v>0</v>
      </c>
    </row>
    <row r="52" spans="1:26" s="24" customFormat="1" hidden="1" outlineLevel="1" x14ac:dyDescent="0.25">
      <c r="A52" s="44"/>
      <c r="B52" s="11" t="str">
        <f>CONCATENATE("          ", "5025", " - ", "PURCHASES @ COST-TEST FORMS")</f>
        <v xml:space="preserve">          5025 - PURCHASES @ COST-TEST FORMS</v>
      </c>
      <c r="C52" s="11"/>
      <c r="D52" s="2"/>
      <c r="E52" s="2"/>
      <c r="F52" s="19">
        <f t="shared" si="12"/>
        <v>0</v>
      </c>
      <c r="G52" s="2"/>
      <c r="H52" s="2">
        <v>18846</v>
      </c>
      <c r="I52" s="2"/>
      <c r="J52" s="19">
        <f t="shared" si="13"/>
        <v>0.28883688210655062</v>
      </c>
      <c r="K52" s="2"/>
      <c r="L52" s="2">
        <f t="shared" si="14"/>
        <v>-18846</v>
      </c>
      <c r="M52" s="2"/>
      <c r="N52" s="19">
        <f t="shared" si="15"/>
        <v>-1</v>
      </c>
      <c r="O52" s="11"/>
      <c r="P52" s="2"/>
      <c r="Q52" s="2"/>
      <c r="R52" s="19">
        <f t="shared" si="16"/>
        <v>0</v>
      </c>
      <c r="S52" s="2"/>
      <c r="T52" s="2">
        <v>22098.390000000003</v>
      </c>
      <c r="U52" s="2"/>
      <c r="V52" s="19">
        <f t="shared" si="17"/>
        <v>4.6840369912420785E-2</v>
      </c>
      <c r="W52" s="2"/>
      <c r="X52" s="2">
        <f t="shared" si="18"/>
        <v>-22098.390000000003</v>
      </c>
      <c r="Y52" s="2"/>
      <c r="Z52" s="19">
        <f t="shared" si="19"/>
        <v>-1</v>
      </c>
    </row>
    <row r="53" spans="1:26" s="24" customFormat="1" hidden="1" outlineLevel="1" x14ac:dyDescent="0.25">
      <c r="A53" s="44"/>
      <c r="B53" s="11" t="str">
        <f>CONCATENATE("          ", "5026", " - ", "PURCHASES @ COST-WRITING INSTR")</f>
        <v xml:space="preserve">          5026 - PURCHASES @ COST-WRITING INSTR</v>
      </c>
      <c r="C53" s="11"/>
      <c r="D53" s="2"/>
      <c r="E53" s="2"/>
      <c r="F53" s="19">
        <f t="shared" si="12"/>
        <v>0</v>
      </c>
      <c r="G53" s="2"/>
      <c r="H53" s="2">
        <v>4633.8999999999996</v>
      </c>
      <c r="I53" s="2"/>
      <c r="J53" s="19">
        <f t="shared" si="13"/>
        <v>7.1019910219332738E-2</v>
      </c>
      <c r="K53" s="2"/>
      <c r="L53" s="2">
        <f t="shared" si="14"/>
        <v>-4633.8999999999996</v>
      </c>
      <c r="M53" s="2"/>
      <c r="N53" s="19">
        <f t="shared" si="15"/>
        <v>-1</v>
      </c>
      <c r="O53" s="11"/>
      <c r="P53" s="2">
        <v>370.02</v>
      </c>
      <c r="Q53" s="2"/>
      <c r="R53" s="19">
        <f t="shared" si="16"/>
        <v>1.7362114722652863E-2</v>
      </c>
      <c r="S53" s="2"/>
      <c r="T53" s="2">
        <v>29987.84</v>
      </c>
      <c r="U53" s="2"/>
      <c r="V53" s="19">
        <f t="shared" si="17"/>
        <v>6.3563070362795127E-2</v>
      </c>
      <c r="W53" s="2"/>
      <c r="X53" s="2">
        <f t="shared" si="18"/>
        <v>-29617.82</v>
      </c>
      <c r="Y53" s="2"/>
      <c r="Z53" s="19">
        <f t="shared" si="19"/>
        <v>-0.98766099859142908</v>
      </c>
    </row>
    <row r="54" spans="1:26" s="24" customFormat="1" hidden="1" outlineLevel="1" x14ac:dyDescent="0.25">
      <c r="A54" s="44"/>
      <c r="B54" s="11" t="str">
        <f>CONCATENATE("          ", "5027", " - ", "PURCHASES @ COST-SCHOOL SUPPLI")</f>
        <v xml:space="preserve">          5027 - PURCHASES @ COST-SCHOOL SUPPLI</v>
      </c>
      <c r="C54" s="11"/>
      <c r="D54" s="2"/>
      <c r="E54" s="2"/>
      <c r="F54" s="19">
        <f t="shared" si="12"/>
        <v>0</v>
      </c>
      <c r="G54" s="2"/>
      <c r="H54" s="2">
        <v>3479.69</v>
      </c>
      <c r="I54" s="2"/>
      <c r="J54" s="19">
        <f t="shared" si="13"/>
        <v>5.3330298752910066E-2</v>
      </c>
      <c r="K54" s="2"/>
      <c r="L54" s="2">
        <f t="shared" si="14"/>
        <v>-3479.69</v>
      </c>
      <c r="M54" s="2"/>
      <c r="N54" s="19">
        <f t="shared" si="15"/>
        <v>-1</v>
      </c>
      <c r="O54" s="11"/>
      <c r="P54" s="2">
        <v>895.47</v>
      </c>
      <c r="Q54" s="2"/>
      <c r="R54" s="19">
        <f t="shared" si="16"/>
        <v>4.201733114613794E-2</v>
      </c>
      <c r="S54" s="2"/>
      <c r="T54" s="2">
        <v>75455.069999999992</v>
      </c>
      <c r="U54" s="2"/>
      <c r="V54" s="19">
        <f t="shared" si="17"/>
        <v>0.1599366917937281</v>
      </c>
      <c r="W54" s="2"/>
      <c r="X54" s="2">
        <f t="shared" si="18"/>
        <v>-74559.599999999991</v>
      </c>
      <c r="Y54" s="2"/>
      <c r="Z54" s="19">
        <f t="shared" si="19"/>
        <v>-0.98813240780241807</v>
      </c>
    </row>
    <row r="55" spans="1:26" s="24" customFormat="1" hidden="1" outlineLevel="1" x14ac:dyDescent="0.25">
      <c r="A55" s="44"/>
      <c r="B55" s="11" t="str">
        <f>CONCATENATE("          ", "5028", " - ", "PURCHASES @ COST-ART/TECH")</f>
        <v xml:space="preserve">          5028 - PURCHASES @ COST-ART/TECH</v>
      </c>
      <c r="C55" s="11"/>
      <c r="D55" s="2">
        <v>15.89</v>
      </c>
      <c r="E55" s="2"/>
      <c r="F55" s="19">
        <f t="shared" si="12"/>
        <v>0</v>
      </c>
      <c r="G55" s="2"/>
      <c r="H55" s="2">
        <v>4931.4399999999996</v>
      </c>
      <c r="I55" s="2"/>
      <c r="J55" s="19">
        <f t="shared" si="13"/>
        <v>7.5580056982676849E-2</v>
      </c>
      <c r="K55" s="2"/>
      <c r="L55" s="2">
        <f t="shared" si="14"/>
        <v>-4915.5499999999993</v>
      </c>
      <c r="M55" s="2"/>
      <c r="N55" s="19">
        <f t="shared" si="15"/>
        <v>-0.99677781743263627</v>
      </c>
      <c r="O55" s="11"/>
      <c r="P55" s="2">
        <v>41441.85</v>
      </c>
      <c r="Q55" s="2"/>
      <c r="R55" s="19">
        <f t="shared" si="16"/>
        <v>1.9445385493188789</v>
      </c>
      <c r="S55" s="2"/>
      <c r="T55" s="2">
        <v>95270.51</v>
      </c>
      <c r="U55" s="2"/>
      <c r="V55" s="19">
        <f t="shared" si="17"/>
        <v>0.20193805657991293</v>
      </c>
      <c r="W55" s="2"/>
      <c r="X55" s="2">
        <f t="shared" si="18"/>
        <v>-53828.659999999996</v>
      </c>
      <c r="Y55" s="2"/>
      <c r="Z55" s="19">
        <f t="shared" si="19"/>
        <v>-0.56500862648893135</v>
      </c>
    </row>
    <row r="56" spans="1:26" s="24" customFormat="1" hidden="1" outlineLevel="1" x14ac:dyDescent="0.25">
      <c r="A56" s="44"/>
      <c r="B56" s="11" t="str">
        <f>CONCATENATE("          ", "5031", " - ", "PURCHASES @ COST-FOOD")</f>
        <v xml:space="preserve">          5031 - PURCHASES @ COST-FOOD</v>
      </c>
      <c r="C56" s="11"/>
      <c r="D56" s="2"/>
      <c r="E56" s="2"/>
      <c r="F56" s="19">
        <f t="shared" si="12"/>
        <v>0</v>
      </c>
      <c r="G56" s="2"/>
      <c r="H56" s="2">
        <v>4825.3999999999996</v>
      </c>
      <c r="I56" s="2"/>
      <c r="J56" s="19">
        <f t="shared" si="13"/>
        <v>7.3954870578210194E-2</v>
      </c>
      <c r="K56" s="2"/>
      <c r="L56" s="2">
        <f t="shared" si="14"/>
        <v>-4825.3999999999996</v>
      </c>
      <c r="M56" s="2"/>
      <c r="N56" s="19">
        <f t="shared" si="15"/>
        <v>-1</v>
      </c>
      <c r="O56" s="11"/>
      <c r="P56" s="2">
        <v>2929.67</v>
      </c>
      <c r="Q56" s="2"/>
      <c r="R56" s="19">
        <f t="shared" si="16"/>
        <v>0.13746626301149781</v>
      </c>
      <c r="S56" s="2"/>
      <c r="T56" s="2">
        <v>20814.489999999998</v>
      </c>
      <c r="U56" s="2"/>
      <c r="V56" s="19">
        <f t="shared" si="17"/>
        <v>4.4118979307469143E-2</v>
      </c>
      <c r="W56" s="2"/>
      <c r="X56" s="2">
        <f t="shared" si="18"/>
        <v>-17884.82</v>
      </c>
      <c r="Y56" s="2"/>
      <c r="Z56" s="19">
        <f t="shared" si="19"/>
        <v>-0.85924853311323035</v>
      </c>
    </row>
    <row r="57" spans="1:26" s="24" customFormat="1" hidden="1" outlineLevel="1" x14ac:dyDescent="0.25">
      <c r="A57" s="44"/>
      <c r="B57" s="11" t="str">
        <f>CONCATENATE("          ", "5032", " - ", "PURCHASES @ COST-JUICE")</f>
        <v xml:space="preserve">          5032 - PURCHASES @ COST-JUICE</v>
      </c>
      <c r="C57" s="11"/>
      <c r="D57" s="2"/>
      <c r="E57" s="2"/>
      <c r="F57" s="19">
        <f t="shared" si="12"/>
        <v>0</v>
      </c>
      <c r="G57" s="2"/>
      <c r="H57" s="2">
        <v>1278.21</v>
      </c>
      <c r="I57" s="2"/>
      <c r="J57" s="19">
        <f t="shared" si="13"/>
        <v>1.9590055771909906E-2</v>
      </c>
      <c r="K57" s="2"/>
      <c r="L57" s="2">
        <f t="shared" si="14"/>
        <v>-1278.21</v>
      </c>
      <c r="M57" s="2"/>
      <c r="N57" s="19">
        <f t="shared" si="15"/>
        <v>-1</v>
      </c>
      <c r="O57" s="11"/>
      <c r="P57" s="2"/>
      <c r="Q57" s="2"/>
      <c r="R57" s="19">
        <f t="shared" si="16"/>
        <v>0</v>
      </c>
      <c r="S57" s="2"/>
      <c r="T57" s="2">
        <v>4662.49</v>
      </c>
      <c r="U57" s="2"/>
      <c r="V57" s="19">
        <f t="shared" si="17"/>
        <v>9.8827451372232433E-3</v>
      </c>
      <c r="W57" s="2"/>
      <c r="X57" s="2">
        <f t="shared" si="18"/>
        <v>-4662.49</v>
      </c>
      <c r="Y57" s="2"/>
      <c r="Z57" s="19">
        <f t="shared" si="19"/>
        <v>-1</v>
      </c>
    </row>
    <row r="58" spans="1:26" s="24" customFormat="1" hidden="1" outlineLevel="1" x14ac:dyDescent="0.25">
      <c r="A58" s="44"/>
      <c r="B58" s="11" t="str">
        <f>CONCATENATE("          ", "5033", " - ", "PURCHASES @ COST-CANDY")</f>
        <v xml:space="preserve">          5033 - PURCHASES @ COST-CANDY</v>
      </c>
      <c r="C58" s="11"/>
      <c r="D58" s="2"/>
      <c r="E58" s="2"/>
      <c r="F58" s="19">
        <f t="shared" si="12"/>
        <v>0</v>
      </c>
      <c r="G58" s="2"/>
      <c r="H58" s="2">
        <v>1482.54</v>
      </c>
      <c r="I58" s="2"/>
      <c r="J58" s="19">
        <f t="shared" si="13"/>
        <v>2.2721650811750267E-2</v>
      </c>
      <c r="K58" s="2"/>
      <c r="L58" s="2">
        <f t="shared" si="14"/>
        <v>-1482.54</v>
      </c>
      <c r="M58" s="2"/>
      <c r="N58" s="19">
        <f t="shared" si="15"/>
        <v>-1</v>
      </c>
      <c r="O58" s="11"/>
      <c r="P58" s="2"/>
      <c r="Q58" s="2"/>
      <c r="R58" s="19">
        <f t="shared" si="16"/>
        <v>0</v>
      </c>
      <c r="S58" s="2"/>
      <c r="T58" s="2">
        <v>5937.74</v>
      </c>
      <c r="U58" s="2"/>
      <c r="V58" s="19">
        <f t="shared" si="17"/>
        <v>1.2585800958521291E-2</v>
      </c>
      <c r="W58" s="2"/>
      <c r="X58" s="2">
        <f t="shared" si="18"/>
        <v>-5937.74</v>
      </c>
      <c r="Y58" s="2"/>
      <c r="Z58" s="19">
        <f t="shared" si="19"/>
        <v>-1</v>
      </c>
    </row>
    <row r="59" spans="1:26" s="24" customFormat="1" hidden="1" outlineLevel="1" x14ac:dyDescent="0.25">
      <c r="A59" s="44"/>
      <c r="B59" s="11" t="str">
        <f>CONCATENATE("          ", "5034", " - ", "PURCHASES @ COST-SODA")</f>
        <v xml:space="preserve">          5034 - PURCHASES @ COST-SODA</v>
      </c>
      <c r="C59" s="11"/>
      <c r="D59" s="2"/>
      <c r="E59" s="2"/>
      <c r="F59" s="19">
        <f t="shared" si="12"/>
        <v>0</v>
      </c>
      <c r="G59" s="2"/>
      <c r="H59" s="2">
        <v>587.38</v>
      </c>
      <c r="I59" s="2"/>
      <c r="J59" s="19">
        <f t="shared" si="13"/>
        <v>9.002282065782961E-3</v>
      </c>
      <c r="K59" s="2"/>
      <c r="L59" s="2">
        <f t="shared" si="14"/>
        <v>-587.38</v>
      </c>
      <c r="M59" s="2"/>
      <c r="N59" s="19">
        <f t="shared" si="15"/>
        <v>-1</v>
      </c>
      <c r="O59" s="11"/>
      <c r="P59" s="2"/>
      <c r="Q59" s="2"/>
      <c r="R59" s="19">
        <f t="shared" si="16"/>
        <v>0</v>
      </c>
      <c r="S59" s="2"/>
      <c r="T59" s="2">
        <v>2081.92</v>
      </c>
      <c r="U59" s="2"/>
      <c r="V59" s="19">
        <f t="shared" si="17"/>
        <v>4.4128962756140632E-3</v>
      </c>
      <c r="W59" s="2"/>
      <c r="X59" s="2">
        <f t="shared" si="18"/>
        <v>-2081.92</v>
      </c>
      <c r="Y59" s="2"/>
      <c r="Z59" s="19">
        <f t="shared" si="19"/>
        <v>-1</v>
      </c>
    </row>
    <row r="60" spans="1:26" s="24" customFormat="1" hidden="1" outlineLevel="1" x14ac:dyDescent="0.25">
      <c r="A60" s="44"/>
      <c r="B60" s="11" t="str">
        <f>CONCATENATE("          ", "5035", " - ", "PURCHASES @ COST-HEALTH &amp; BEAU")</f>
        <v xml:space="preserve">          5035 - PURCHASES @ COST-HEALTH &amp; BEAU</v>
      </c>
      <c r="C60" s="11"/>
      <c r="D60" s="2"/>
      <c r="E60" s="2"/>
      <c r="F60" s="19">
        <f t="shared" si="12"/>
        <v>0</v>
      </c>
      <c r="G60" s="2"/>
      <c r="H60" s="2">
        <v>222.52</v>
      </c>
      <c r="I60" s="2"/>
      <c r="J60" s="19">
        <f t="shared" si="13"/>
        <v>3.4103779585243363E-3</v>
      </c>
      <c r="K60" s="2"/>
      <c r="L60" s="2">
        <f t="shared" si="14"/>
        <v>-222.52</v>
      </c>
      <c r="M60" s="2"/>
      <c r="N60" s="19">
        <f t="shared" si="15"/>
        <v>-1</v>
      </c>
      <c r="O60" s="11"/>
      <c r="P60" s="2"/>
      <c r="Q60" s="2"/>
      <c r="R60" s="19">
        <f t="shared" si="16"/>
        <v>0</v>
      </c>
      <c r="S60" s="2"/>
      <c r="T60" s="2">
        <v>801.21</v>
      </c>
      <c r="U60" s="2"/>
      <c r="V60" s="19">
        <f t="shared" si="17"/>
        <v>1.6982672845184943E-3</v>
      </c>
      <c r="W60" s="2"/>
      <c r="X60" s="2">
        <f t="shared" si="18"/>
        <v>-801.21</v>
      </c>
      <c r="Y60" s="2"/>
      <c r="Z60" s="19">
        <f t="shared" si="19"/>
        <v>-1</v>
      </c>
    </row>
    <row r="61" spans="1:26" s="24" customFormat="1" hidden="1" outlineLevel="1" x14ac:dyDescent="0.25">
      <c r="A61" s="44"/>
      <c r="B61" s="11" t="str">
        <f>CONCATENATE("          ", "5037", " - ", "PURCHASES @ COST-WATER")</f>
        <v xml:space="preserve">          5037 - PURCHASES @ COST-WATER</v>
      </c>
      <c r="C61" s="11"/>
      <c r="D61" s="2"/>
      <c r="E61" s="2"/>
      <c r="F61" s="19">
        <f t="shared" si="12"/>
        <v>0</v>
      </c>
      <c r="G61" s="2"/>
      <c r="H61" s="2">
        <v>667.52</v>
      </c>
      <c r="I61" s="2"/>
      <c r="J61" s="19">
        <f t="shared" si="13"/>
        <v>1.0230520829022852E-2</v>
      </c>
      <c r="K61" s="2"/>
      <c r="L61" s="2">
        <f t="shared" si="14"/>
        <v>-667.52</v>
      </c>
      <c r="M61" s="2"/>
      <c r="N61" s="19">
        <f t="shared" si="15"/>
        <v>-1</v>
      </c>
      <c r="O61" s="11"/>
      <c r="P61" s="2"/>
      <c r="Q61" s="2"/>
      <c r="R61" s="19">
        <f t="shared" si="16"/>
        <v>0</v>
      </c>
      <c r="S61" s="2"/>
      <c r="T61" s="2">
        <v>3493.61</v>
      </c>
      <c r="U61" s="2"/>
      <c r="V61" s="19">
        <f t="shared" si="17"/>
        <v>7.405154164160029E-3</v>
      </c>
      <c r="W61" s="2"/>
      <c r="X61" s="2">
        <f t="shared" si="18"/>
        <v>-3493.61</v>
      </c>
      <c r="Y61" s="2"/>
      <c r="Z61" s="19">
        <f t="shared" si="19"/>
        <v>-1</v>
      </c>
    </row>
    <row r="62" spans="1:26" s="24" customFormat="1" hidden="1" outlineLevel="1" x14ac:dyDescent="0.25">
      <c r="A62" s="44"/>
      <c r="B62" s="11" t="str">
        <f>CONCATENATE("          ", "5081", " - ", "PURCHASES @ COST-ELECTRONICS")</f>
        <v xml:space="preserve">          5081 - PURCHASES @ COST-ELECTRONICS</v>
      </c>
      <c r="C62" s="11"/>
      <c r="D62" s="2"/>
      <c r="E62" s="2"/>
      <c r="F62" s="19">
        <f t="shared" si="12"/>
        <v>0</v>
      </c>
      <c r="G62" s="2"/>
      <c r="H62" s="2">
        <v>281.74</v>
      </c>
      <c r="I62" s="2"/>
      <c r="J62" s="19">
        <f t="shared" si="13"/>
        <v>4.3179933760320267E-3</v>
      </c>
      <c r="K62" s="2"/>
      <c r="L62" s="2">
        <f t="shared" si="14"/>
        <v>-281.74</v>
      </c>
      <c r="M62" s="2"/>
      <c r="N62" s="19">
        <f t="shared" si="15"/>
        <v>-1</v>
      </c>
      <c r="O62" s="11"/>
      <c r="P62" s="2"/>
      <c r="Q62" s="2"/>
      <c r="R62" s="19">
        <f t="shared" si="16"/>
        <v>0</v>
      </c>
      <c r="S62" s="2"/>
      <c r="T62" s="2">
        <v>1244.81</v>
      </c>
      <c r="U62" s="2"/>
      <c r="V62" s="19">
        <f t="shared" si="17"/>
        <v>2.6385343398627912E-3</v>
      </c>
      <c r="W62" s="2"/>
      <c r="X62" s="2">
        <f t="shared" si="18"/>
        <v>-1244.81</v>
      </c>
      <c r="Y62" s="2"/>
      <c r="Z62" s="19">
        <f t="shared" si="19"/>
        <v>-1</v>
      </c>
    </row>
    <row r="63" spans="1:26" s="24" customFormat="1" hidden="1" outlineLevel="1" x14ac:dyDescent="0.25">
      <c r="A63" s="44"/>
      <c r="B63" s="11" t="str">
        <f>CONCATENATE("          ", "5082", " - ", "PURCHASES @ COST-COMPUTER HARD")</f>
        <v xml:space="preserve">          5082 - PURCHASES @ COST-COMPUTER HARD</v>
      </c>
      <c r="C63" s="11"/>
      <c r="D63" s="2"/>
      <c r="E63" s="2"/>
      <c r="F63" s="19">
        <f t="shared" si="12"/>
        <v>0</v>
      </c>
      <c r="G63" s="2"/>
      <c r="H63" s="2">
        <v>95</v>
      </c>
      <c r="I63" s="2"/>
      <c r="J63" s="19">
        <f t="shared" si="13"/>
        <v>1.4559855566232786E-3</v>
      </c>
      <c r="K63" s="2"/>
      <c r="L63" s="2">
        <f t="shared" si="14"/>
        <v>-95</v>
      </c>
      <c r="M63" s="2"/>
      <c r="N63" s="19">
        <f t="shared" si="15"/>
        <v>-1</v>
      </c>
      <c r="O63" s="11"/>
      <c r="P63" s="2"/>
      <c r="Q63" s="2"/>
      <c r="R63" s="19">
        <f t="shared" si="16"/>
        <v>0</v>
      </c>
      <c r="S63" s="2"/>
      <c r="T63" s="2">
        <v>244.6</v>
      </c>
      <c r="U63" s="2"/>
      <c r="V63" s="19">
        <f t="shared" si="17"/>
        <v>5.1846104990355048E-4</v>
      </c>
      <c r="W63" s="2"/>
      <c r="X63" s="2">
        <f t="shared" si="18"/>
        <v>-244.6</v>
      </c>
      <c r="Y63" s="2"/>
      <c r="Z63" s="19">
        <f t="shared" si="19"/>
        <v>-1</v>
      </c>
    </row>
    <row r="64" spans="1:26" s="24" customFormat="1" hidden="1" outlineLevel="1" x14ac:dyDescent="0.25">
      <c r="A64" s="44"/>
      <c r="B64" s="11" t="str">
        <f>CONCATENATE("          ", "5083", " - ", "PURCHASES @ COST-COMPUTER EQUI")</f>
        <v xml:space="preserve">          5083 - PURCHASES @ COST-COMPUTER EQUI</v>
      </c>
      <c r="C64" s="11"/>
      <c r="D64" s="2"/>
      <c r="E64" s="2"/>
      <c r="F64" s="19">
        <f t="shared" si="12"/>
        <v>0</v>
      </c>
      <c r="G64" s="2"/>
      <c r="H64" s="2"/>
      <c r="I64" s="2"/>
      <c r="J64" s="19">
        <f t="shared" si="13"/>
        <v>0</v>
      </c>
      <c r="K64" s="2"/>
      <c r="L64" s="2">
        <f t="shared" si="14"/>
        <v>0</v>
      </c>
      <c r="M64" s="2"/>
      <c r="N64" s="19">
        <f t="shared" si="15"/>
        <v>0</v>
      </c>
      <c r="O64" s="11"/>
      <c r="P64" s="2"/>
      <c r="Q64" s="2"/>
      <c r="R64" s="19">
        <f t="shared" si="16"/>
        <v>0</v>
      </c>
      <c r="S64" s="2"/>
      <c r="T64" s="2">
        <v>192.2</v>
      </c>
      <c r="U64" s="2"/>
      <c r="V64" s="19">
        <f t="shared" si="17"/>
        <v>4.0739253389804743E-4</v>
      </c>
      <c r="W64" s="2"/>
      <c r="X64" s="2">
        <f t="shared" si="18"/>
        <v>-192.2</v>
      </c>
      <c r="Y64" s="2"/>
      <c r="Z64" s="19">
        <f t="shared" si="19"/>
        <v>-1</v>
      </c>
    </row>
    <row r="65" spans="1:26" s="24" customFormat="1" hidden="1" outlineLevel="1" x14ac:dyDescent="0.25">
      <c r="A65" s="44"/>
      <c r="B65" s="11" t="str">
        <f>CONCATENATE("          ", "5086", " - ", "PURCHASES @ COST-COMPUTER SUPP")</f>
        <v xml:space="preserve">          5086 - PURCHASES @ COST-COMPUTER SUPP</v>
      </c>
      <c r="C65" s="11"/>
      <c r="D65" s="2"/>
      <c r="E65" s="2"/>
      <c r="F65" s="19">
        <f t="shared" si="12"/>
        <v>0</v>
      </c>
      <c r="G65" s="2"/>
      <c r="H65" s="2">
        <v>87</v>
      </c>
      <c r="I65" s="2"/>
      <c r="J65" s="19">
        <f t="shared" si="13"/>
        <v>1.3333762465918446E-3</v>
      </c>
      <c r="K65" s="2"/>
      <c r="L65" s="2">
        <f t="shared" si="14"/>
        <v>-87</v>
      </c>
      <c r="M65" s="2"/>
      <c r="N65" s="19">
        <f t="shared" si="15"/>
        <v>-1</v>
      </c>
      <c r="O65" s="11"/>
      <c r="P65" s="2"/>
      <c r="Q65" s="2"/>
      <c r="R65" s="19">
        <f t="shared" si="16"/>
        <v>0</v>
      </c>
      <c r="S65" s="2"/>
      <c r="T65" s="2">
        <v>228</v>
      </c>
      <c r="U65" s="2"/>
      <c r="V65" s="19">
        <f t="shared" si="17"/>
        <v>4.8327522231402089E-4</v>
      </c>
      <c r="W65" s="2"/>
      <c r="X65" s="2">
        <f t="shared" si="18"/>
        <v>-228</v>
      </c>
      <c r="Y65" s="2"/>
      <c r="Z65" s="19">
        <f t="shared" si="19"/>
        <v>-1</v>
      </c>
    </row>
    <row r="66" spans="1:26" s="24" customFormat="1" hidden="1" outlineLevel="1" x14ac:dyDescent="0.25">
      <c r="A66" s="44"/>
      <c r="B66" s="11" t="str">
        <f>CONCATENATE("          ", "5200", " - ", "PURCHASES OFFSET")</f>
        <v xml:space="preserve">          5200 - PURCHASES OFFSET</v>
      </c>
      <c r="C66" s="11"/>
      <c r="D66" s="2"/>
      <c r="E66" s="2"/>
      <c r="F66" s="19">
        <f t="shared" si="12"/>
        <v>0</v>
      </c>
      <c r="G66" s="2"/>
      <c r="H66" s="2">
        <v>-42157</v>
      </c>
      <c r="I66" s="2"/>
      <c r="J66" s="19">
        <f t="shared" si="13"/>
        <v>-0.64610508537439537</v>
      </c>
      <c r="K66" s="2"/>
      <c r="L66" s="2">
        <f t="shared" si="14"/>
        <v>42157</v>
      </c>
      <c r="M66" s="2"/>
      <c r="N66" s="19">
        <f t="shared" si="15"/>
        <v>-1</v>
      </c>
      <c r="O66" s="11"/>
      <c r="P66" s="2">
        <v>-45863.33</v>
      </c>
      <c r="Q66" s="2"/>
      <c r="R66" s="19">
        <f t="shared" si="16"/>
        <v>-2.1520036674311842</v>
      </c>
      <c r="S66" s="2"/>
      <c r="T66" s="2">
        <v>-264920</v>
      </c>
      <c r="U66" s="2"/>
      <c r="V66" s="19">
        <f t="shared" si="17"/>
        <v>-0.5615318942782036</v>
      </c>
      <c r="W66" s="2"/>
      <c r="X66" s="2">
        <f t="shared" si="18"/>
        <v>219056.66999999998</v>
      </c>
      <c r="Y66" s="2"/>
      <c r="Z66" s="19">
        <f t="shared" si="19"/>
        <v>-0.82687856711460062</v>
      </c>
    </row>
    <row r="67" spans="1:26" s="24" customFormat="1" hidden="1" outlineLevel="1" x14ac:dyDescent="0.25">
      <c r="A67" s="44"/>
      <c r="B67" s="11" t="str">
        <f>CONCATENATE("          ", "5300", " - ", "COG$ OFFSET")</f>
        <v xml:space="preserve">          5300 - COG$ OFFSET</v>
      </c>
      <c r="C67" s="11"/>
      <c r="D67" s="2"/>
      <c r="E67" s="2"/>
      <c r="F67" s="19">
        <f t="shared" si="12"/>
        <v>0</v>
      </c>
      <c r="G67" s="2"/>
      <c r="H67" s="2">
        <v>33979</v>
      </c>
      <c r="I67" s="2"/>
      <c r="J67" s="19">
        <f t="shared" si="13"/>
        <v>0.52076771819476197</v>
      </c>
      <c r="K67" s="2"/>
      <c r="L67" s="2">
        <f t="shared" si="14"/>
        <v>-33979</v>
      </c>
      <c r="M67" s="2"/>
      <c r="N67" s="19">
        <f t="shared" si="15"/>
        <v>-1</v>
      </c>
      <c r="O67" s="11"/>
      <c r="P67" s="2">
        <v>14145</v>
      </c>
      <c r="Q67" s="2"/>
      <c r="R67" s="19">
        <f t="shared" si="16"/>
        <v>0.66371307700103988</v>
      </c>
      <c r="S67" s="2"/>
      <c r="T67" s="2">
        <v>234328</v>
      </c>
      <c r="U67" s="2"/>
      <c r="V67" s="19">
        <f t="shared" si="17"/>
        <v>0.49668822936140306</v>
      </c>
      <c r="W67" s="2"/>
      <c r="X67" s="2">
        <f t="shared" si="18"/>
        <v>-220183</v>
      </c>
      <c r="Y67" s="2"/>
      <c r="Z67" s="19">
        <f t="shared" si="19"/>
        <v>-0.9396358949848076</v>
      </c>
    </row>
    <row r="68" spans="1:26" s="24" customFormat="1" hidden="1" outlineLevel="1" x14ac:dyDescent="0.25">
      <c r="A68" s="44"/>
      <c r="B68" s="11" t="str">
        <f>CONCATENATE("          ", "5500", " - ", "FREIGHT-IN")</f>
        <v xml:space="preserve">          5500 - FREIGHT-IN</v>
      </c>
      <c r="C68" s="11"/>
      <c r="D68" s="2"/>
      <c r="E68" s="2"/>
      <c r="F68" s="19">
        <f t="shared" si="12"/>
        <v>0</v>
      </c>
      <c r="G68" s="2"/>
      <c r="H68" s="2"/>
      <c r="I68" s="2"/>
      <c r="J68" s="19">
        <f t="shared" si="13"/>
        <v>0</v>
      </c>
      <c r="K68" s="2"/>
      <c r="L68" s="2">
        <f t="shared" si="14"/>
        <v>0</v>
      </c>
      <c r="M68" s="2"/>
      <c r="N68" s="19">
        <f t="shared" si="15"/>
        <v>0</v>
      </c>
      <c r="O68" s="11"/>
      <c r="P68" s="2"/>
      <c r="Q68" s="2"/>
      <c r="R68" s="19">
        <f t="shared" si="16"/>
        <v>0</v>
      </c>
      <c r="S68" s="2"/>
      <c r="T68" s="2">
        <v>6</v>
      </c>
      <c r="U68" s="2"/>
      <c r="V68" s="19">
        <f t="shared" si="17"/>
        <v>1.2717769008263708E-5</v>
      </c>
      <c r="W68" s="2"/>
      <c r="X68" s="2">
        <f t="shared" si="18"/>
        <v>-6</v>
      </c>
      <c r="Y68" s="2"/>
      <c r="Z68" s="19">
        <f t="shared" si="19"/>
        <v>-1</v>
      </c>
    </row>
    <row r="69" spans="1:26" s="24" customFormat="1" hidden="1" outlineLevel="1" x14ac:dyDescent="0.25">
      <c r="A69" s="44"/>
      <c r="B69" s="11" t="str">
        <f>CONCATENATE("          ", "5525", " - ", "FREIGHT-IN-TEST FORMS")</f>
        <v xml:space="preserve">          5525 - FREIGHT-IN-TEST FORMS</v>
      </c>
      <c r="C69" s="11"/>
      <c r="D69" s="2"/>
      <c r="E69" s="2"/>
      <c r="F69" s="19">
        <f t="shared" si="12"/>
        <v>0</v>
      </c>
      <c r="G69" s="2"/>
      <c r="H69" s="2">
        <v>335.7</v>
      </c>
      <c r="I69" s="2"/>
      <c r="J69" s="19">
        <f t="shared" si="13"/>
        <v>5.1449931721940486E-3</v>
      </c>
      <c r="K69" s="2"/>
      <c r="L69" s="2">
        <f t="shared" si="14"/>
        <v>-335.7</v>
      </c>
      <c r="M69" s="2"/>
      <c r="N69" s="19">
        <f t="shared" si="15"/>
        <v>-1</v>
      </c>
      <c r="O69" s="11"/>
      <c r="P69" s="2"/>
      <c r="Q69" s="2"/>
      <c r="R69" s="19">
        <f t="shared" si="16"/>
        <v>0</v>
      </c>
      <c r="S69" s="2"/>
      <c r="T69" s="2">
        <v>374.92</v>
      </c>
      <c r="U69" s="2"/>
      <c r="V69" s="19">
        <f t="shared" si="17"/>
        <v>7.9469099276303825E-4</v>
      </c>
      <c r="W69" s="2"/>
      <c r="X69" s="2">
        <f t="shared" si="18"/>
        <v>-374.92</v>
      </c>
      <c r="Y69" s="2"/>
      <c r="Z69" s="19">
        <f t="shared" si="19"/>
        <v>-1</v>
      </c>
    </row>
    <row r="70" spans="1:26" s="24" customFormat="1" hidden="1" outlineLevel="1" x14ac:dyDescent="0.25">
      <c r="A70" s="44"/>
      <c r="B70" s="11" t="str">
        <f>CONCATENATE("          ", "5526", " - ", "FREIGHT-IN-WRITING INSTRUMENTS")</f>
        <v xml:space="preserve">          5526 - FREIGHT-IN-WRITING INSTRUMENTS</v>
      </c>
      <c r="C70" s="11"/>
      <c r="D70" s="2"/>
      <c r="E70" s="2"/>
      <c r="F70" s="19">
        <f t="shared" si="12"/>
        <v>0</v>
      </c>
      <c r="G70" s="2"/>
      <c r="H70" s="2">
        <v>160.91999999999999</v>
      </c>
      <c r="I70" s="2"/>
      <c r="J70" s="19">
        <f t="shared" si="13"/>
        <v>2.4662862712822946E-3</v>
      </c>
      <c r="K70" s="2"/>
      <c r="L70" s="2">
        <f t="shared" si="14"/>
        <v>-160.91999999999999</v>
      </c>
      <c r="M70" s="2"/>
      <c r="N70" s="19">
        <f t="shared" si="15"/>
        <v>-1</v>
      </c>
      <c r="O70" s="11"/>
      <c r="P70" s="2"/>
      <c r="Q70" s="2"/>
      <c r="R70" s="19">
        <f t="shared" si="16"/>
        <v>0</v>
      </c>
      <c r="S70" s="2"/>
      <c r="T70" s="2">
        <v>217.49</v>
      </c>
      <c r="U70" s="2"/>
      <c r="V70" s="19">
        <f t="shared" si="17"/>
        <v>4.60997930267879E-4</v>
      </c>
      <c r="W70" s="2"/>
      <c r="X70" s="2">
        <f t="shared" si="18"/>
        <v>-217.49</v>
      </c>
      <c r="Y70" s="2"/>
      <c r="Z70" s="19">
        <f t="shared" si="19"/>
        <v>-1</v>
      </c>
    </row>
    <row r="71" spans="1:26" s="24" customFormat="1" hidden="1" outlineLevel="1" x14ac:dyDescent="0.25">
      <c r="A71" s="44"/>
      <c r="B71" s="11" t="str">
        <f>CONCATENATE("          ", "5527", " - ", "FREIGHT-IN-SCHOOL SUPPLIES")</f>
        <v xml:space="preserve">          5527 - FREIGHT-IN-SCHOOL SUPPLIES</v>
      </c>
      <c r="C71" s="11"/>
      <c r="D71" s="2"/>
      <c r="E71" s="2"/>
      <c r="F71" s="19">
        <f t="shared" si="12"/>
        <v>0</v>
      </c>
      <c r="G71" s="2"/>
      <c r="H71" s="2">
        <v>134.09</v>
      </c>
      <c r="I71" s="2"/>
      <c r="J71" s="19">
        <f t="shared" si="13"/>
        <v>2.055085297764373E-3</v>
      </c>
      <c r="K71" s="2"/>
      <c r="L71" s="2">
        <f t="shared" si="14"/>
        <v>-134.09</v>
      </c>
      <c r="M71" s="2"/>
      <c r="N71" s="19">
        <f t="shared" si="15"/>
        <v>-1</v>
      </c>
      <c r="O71" s="11"/>
      <c r="P71" s="2"/>
      <c r="Q71" s="2"/>
      <c r="R71" s="19">
        <f t="shared" si="16"/>
        <v>0</v>
      </c>
      <c r="S71" s="2"/>
      <c r="T71" s="2">
        <v>872.58</v>
      </c>
      <c r="U71" s="2"/>
      <c r="V71" s="19">
        <f t="shared" si="17"/>
        <v>1.8495451468717912E-3</v>
      </c>
      <c r="W71" s="2"/>
      <c r="X71" s="2">
        <f t="shared" si="18"/>
        <v>-872.58</v>
      </c>
      <c r="Y71" s="2"/>
      <c r="Z71" s="19">
        <f t="shared" si="19"/>
        <v>-1</v>
      </c>
    </row>
    <row r="72" spans="1:26" s="24" customFormat="1" hidden="1" outlineLevel="1" x14ac:dyDescent="0.25">
      <c r="A72" s="44"/>
      <c r="B72" s="11" t="str">
        <f>CONCATENATE("          ", "5528", " - ", "FREIGHT-IN-ART/TECH")</f>
        <v xml:space="preserve">          5528 - FREIGHT-IN-ART/TECH</v>
      </c>
      <c r="C72" s="11"/>
      <c r="D72" s="2">
        <v>1.72</v>
      </c>
      <c r="E72" s="2"/>
      <c r="F72" s="19">
        <f t="shared" si="12"/>
        <v>0</v>
      </c>
      <c r="G72" s="2"/>
      <c r="H72" s="2">
        <v>105.06</v>
      </c>
      <c r="I72" s="2"/>
      <c r="J72" s="19">
        <f t="shared" si="13"/>
        <v>1.6101667639878069E-3</v>
      </c>
      <c r="K72" s="2"/>
      <c r="L72" s="2">
        <f t="shared" si="14"/>
        <v>-103.34</v>
      </c>
      <c r="M72" s="2"/>
      <c r="N72" s="19">
        <f t="shared" si="15"/>
        <v>-0.98362840281743769</v>
      </c>
      <c r="O72" s="11"/>
      <c r="P72" s="2">
        <v>281.98</v>
      </c>
      <c r="Q72" s="2"/>
      <c r="R72" s="19">
        <f t="shared" si="16"/>
        <v>1.3231093209809348E-2</v>
      </c>
      <c r="S72" s="2"/>
      <c r="T72" s="2">
        <v>923.5</v>
      </c>
      <c r="U72" s="2"/>
      <c r="V72" s="19">
        <f t="shared" si="17"/>
        <v>1.957476613188589E-3</v>
      </c>
      <c r="W72" s="2"/>
      <c r="X72" s="2">
        <f t="shared" si="18"/>
        <v>-641.52</v>
      </c>
      <c r="Y72" s="2"/>
      <c r="Z72" s="19">
        <f t="shared" si="19"/>
        <v>-0.69466161342717914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8" t="s">
        <v>6</v>
      </c>
      <c r="C74" s="28"/>
      <c r="D74" s="20">
        <f>D12-D49</f>
        <v>-17.61</v>
      </c>
      <c r="E74" s="14"/>
      <c r="F74" s="22">
        <f>IF(D$12=0,0,D74/D$12)</f>
        <v>0</v>
      </c>
      <c r="G74" s="14"/>
      <c r="H74" s="20">
        <f>H12-H49</f>
        <v>31271.790000000008</v>
      </c>
      <c r="I74" s="14"/>
      <c r="J74" s="22">
        <f>IF(H$12=0,0,H74/H$12)</f>
        <v>0.47927657441848726</v>
      </c>
      <c r="K74" s="15"/>
      <c r="L74" s="20">
        <f>+D74-H74</f>
        <v>-31289.400000000009</v>
      </c>
      <c r="M74" s="15"/>
      <c r="N74" s="22">
        <f>IF(H74=0,0,L74/H74)</f>
        <v>-1.0005631273425666</v>
      </c>
      <c r="O74" s="29"/>
      <c r="P74" s="20">
        <f>P12-P49</f>
        <v>7111.2600000000057</v>
      </c>
      <c r="Q74" s="14"/>
      <c r="R74" s="22">
        <f>IF(P$12=0,0,P74/P$12)</f>
        <v>0.3336752390211678</v>
      </c>
      <c r="S74" s="14"/>
      <c r="T74" s="20">
        <f>T12-T49</f>
        <v>237451.03000000009</v>
      </c>
      <c r="U74" s="14"/>
      <c r="V74" s="22">
        <f>IF(T$12=0,0,T74/T$12)</f>
        <v>0.50330789171904955</v>
      </c>
      <c r="W74" s="15"/>
      <c r="X74" s="20">
        <f>+P74-T74</f>
        <v>-230339.77000000008</v>
      </c>
      <c r="Y74" s="15"/>
      <c r="Z74" s="22">
        <f>IF(T74=0,0,X74/T74)</f>
        <v>-0.97005167760274613</v>
      </c>
    </row>
    <row r="75" spans="1:26" x14ac:dyDescent="0.25">
      <c r="A75" s="9"/>
      <c r="B75" s="10"/>
      <c r="C75" s="9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9" t="s">
        <v>9</v>
      </c>
      <c r="C76" s="10"/>
      <c r="D76" s="21">
        <f>SUM(OSRRefD22x_0)</f>
        <v>535.58000000000004</v>
      </c>
      <c r="E76" s="21"/>
      <c r="F76" s="35">
        <f t="shared" ref="F76:F85" si="20">IF(D$12=0,0,D76/D$12)</f>
        <v>0</v>
      </c>
      <c r="G76" s="21"/>
      <c r="H76" s="21">
        <f>SUM(OSRRefH22x_0)</f>
        <v>23516.780000000002</v>
      </c>
      <c r="I76" s="21"/>
      <c r="J76" s="35">
        <f t="shared" ref="J76:J85" si="21">IF(H$12=0,0,H76/H$12)</f>
        <v>0.36042202124512829</v>
      </c>
      <c r="K76" s="4"/>
      <c r="L76" s="21">
        <f t="shared" ref="L76:L85" si="22">+D76-H76</f>
        <v>-22981.200000000001</v>
      </c>
      <c r="M76" s="4"/>
      <c r="N76" s="35">
        <f t="shared" ref="N76:N85" si="23">IF(H76=0,0,L76/H76)</f>
        <v>-0.97722562357601672</v>
      </c>
      <c r="O76" s="10"/>
      <c r="P76" s="21">
        <f>SUM(OSRRefP22x_0)</f>
        <v>12153.639999999996</v>
      </c>
      <c r="Q76" s="21"/>
      <c r="R76" s="35">
        <f t="shared" ref="R76:R85" si="24">IF(P$12=0,0,P76/P$12)</f>
        <v>0.57027428781639555</v>
      </c>
      <c r="S76" s="21"/>
      <c r="T76" s="21">
        <f>SUM(OSRRefT22x_0)</f>
        <v>111464.37999999998</v>
      </c>
      <c r="U76" s="21"/>
      <c r="V76" s="35">
        <f t="shared" ref="V76:V85" si="25">IF(T$12=0,0,T76/T$12)</f>
        <v>0.23626303958155481</v>
      </c>
      <c r="W76" s="4"/>
      <c r="X76" s="21">
        <f t="shared" ref="X76:X85" si="26">+P76-T76</f>
        <v>-99310.739999999976</v>
      </c>
      <c r="Y76" s="4"/>
      <c r="Z76" s="35">
        <f t="shared" ref="Z76:Z85" si="27">IF(T76=0,0,X76/T76)</f>
        <v>-0.89096391152043364</v>
      </c>
    </row>
    <row r="77" spans="1:26" s="26" customFormat="1" outlineLevel="1" collapsed="1" x14ac:dyDescent="0.25">
      <c r="A77" s="27"/>
      <c r="B77" s="13" t="str">
        <f>CONCATENATE("     ","*Benefits                                         ")</f>
        <v xml:space="preserve">     *Benefits                                         </v>
      </c>
      <c r="C77" s="13"/>
      <c r="D77" s="1">
        <f>SUM(OSRRefD22_0x_0)</f>
        <v>1.39</v>
      </c>
      <c r="E77" s="1"/>
      <c r="F77" s="5">
        <f t="shared" si="20"/>
        <v>0</v>
      </c>
      <c r="G77" s="1"/>
      <c r="H77" s="1">
        <f>SUM(OSRRefH22_0x_0)</f>
        <v>5059.2400000000007</v>
      </c>
      <c r="I77" s="1"/>
      <c r="J77" s="5">
        <f t="shared" si="21"/>
        <v>7.7538740710429016E-2</v>
      </c>
      <c r="K77" s="1"/>
      <c r="L77" s="1">
        <f t="shared" si="22"/>
        <v>-5057.8500000000004</v>
      </c>
      <c r="M77" s="1"/>
      <c r="N77" s="5">
        <f t="shared" si="23"/>
        <v>-0.99972525517666677</v>
      </c>
      <c r="O77" s="13"/>
      <c r="P77" s="1">
        <f>SUM(OSRRefP22_0x_0)</f>
        <v>778.2</v>
      </c>
      <c r="Q77" s="1"/>
      <c r="R77" s="5">
        <f t="shared" si="24"/>
        <v>3.6514776707119778E-2</v>
      </c>
      <c r="S77" s="1"/>
      <c r="T77" s="1">
        <f>SUM(OSRRefT22_0x_0)</f>
        <v>18098.61</v>
      </c>
      <c r="U77" s="1"/>
      <c r="V77" s="5">
        <f t="shared" si="25"/>
        <v>3.8362323558441942E-2</v>
      </c>
      <c r="W77" s="1"/>
      <c r="X77" s="1">
        <f t="shared" si="26"/>
        <v>-17320.41</v>
      </c>
      <c r="Y77" s="1"/>
      <c r="Z77" s="5">
        <f t="shared" si="27"/>
        <v>-0.95700222282263658</v>
      </c>
    </row>
    <row r="78" spans="1:26" s="24" customFormat="1" hidden="1" outlineLevel="2" x14ac:dyDescent="0.25">
      <c r="A78" s="25"/>
      <c r="B78" s="11" t="str">
        <f>CONCATENATE("          ", "6111", " - ", "F.I.C.A.")</f>
        <v xml:space="preserve">          6111 - F.I.C.A.</v>
      </c>
      <c r="C78" s="11"/>
      <c r="D78" s="6">
        <v>1.39</v>
      </c>
      <c r="E78" s="2"/>
      <c r="F78" s="7">
        <f t="shared" si="20"/>
        <v>0</v>
      </c>
      <c r="G78" s="2"/>
      <c r="H78" s="6">
        <v>501.2</v>
      </c>
      <c r="I78" s="2"/>
      <c r="J78" s="7">
        <f t="shared" si="21"/>
        <v>7.6814732734693395E-3</v>
      </c>
      <c r="K78" s="2"/>
      <c r="L78" s="6">
        <f t="shared" si="22"/>
        <v>-499.81</v>
      </c>
      <c r="M78" s="2"/>
      <c r="N78" s="7">
        <f t="shared" si="23"/>
        <v>-0.99722665602553873</v>
      </c>
      <c r="O78" s="11"/>
      <c r="P78" s="6">
        <v>484.61</v>
      </c>
      <c r="Q78" s="2"/>
      <c r="R78" s="7">
        <f t="shared" si="24"/>
        <v>2.2738917938881154E-2</v>
      </c>
      <c r="S78" s="2"/>
      <c r="T78" s="6">
        <v>2937.82</v>
      </c>
      <c r="U78" s="2"/>
      <c r="V78" s="7">
        <f t="shared" si="25"/>
        <v>6.2270860246428812E-3</v>
      </c>
      <c r="W78" s="2"/>
      <c r="X78" s="6">
        <f t="shared" si="26"/>
        <v>-2453.21</v>
      </c>
      <c r="Y78" s="2"/>
      <c r="Z78" s="7">
        <f t="shared" si="27"/>
        <v>-0.83504435261520449</v>
      </c>
    </row>
    <row r="79" spans="1:26" s="24" customFormat="1" hidden="1" outlineLevel="2" x14ac:dyDescent="0.25">
      <c r="A79" s="25"/>
      <c r="B79" s="11" t="str">
        <f>CONCATENATE("          ", "6112", " - ", "COMPENSATION INSURANCE")</f>
        <v xml:space="preserve">          6112 - COMPENSATION INSURANCE</v>
      </c>
      <c r="C79" s="11"/>
      <c r="D79" s="6"/>
      <c r="E79" s="2"/>
      <c r="F79" s="7">
        <f t="shared" si="20"/>
        <v>0</v>
      </c>
      <c r="G79" s="2"/>
      <c r="H79" s="6">
        <v>328.21</v>
      </c>
      <c r="I79" s="2"/>
      <c r="J79" s="7">
        <f t="shared" si="21"/>
        <v>5.030200205677118E-3</v>
      </c>
      <c r="K79" s="2"/>
      <c r="L79" s="6">
        <f t="shared" si="22"/>
        <v>-328.21</v>
      </c>
      <c r="M79" s="2"/>
      <c r="N79" s="7">
        <f t="shared" si="23"/>
        <v>-1</v>
      </c>
      <c r="O79" s="11"/>
      <c r="P79" s="6">
        <v>255.57</v>
      </c>
      <c r="Q79" s="2"/>
      <c r="R79" s="7">
        <f t="shared" si="24"/>
        <v>1.1991880600152403E-2</v>
      </c>
      <c r="S79" s="2"/>
      <c r="T79" s="6">
        <v>1111.1199999999999</v>
      </c>
      <c r="U79" s="2"/>
      <c r="V79" s="7">
        <f t="shared" si="25"/>
        <v>2.3551612500769948E-3</v>
      </c>
      <c r="W79" s="2"/>
      <c r="X79" s="6">
        <f t="shared" si="26"/>
        <v>-855.55</v>
      </c>
      <c r="Y79" s="2"/>
      <c r="Z79" s="7">
        <f t="shared" si="27"/>
        <v>-0.76998884008927937</v>
      </c>
    </row>
    <row r="80" spans="1:26" s="24" customFormat="1" hidden="1" outlineLevel="2" x14ac:dyDescent="0.25">
      <c r="A80" s="25"/>
      <c r="B80" s="11" t="str">
        <f>CONCATENATE("          ", "6113", " - ", "GROUP INSURANCE")</f>
        <v xml:space="preserve">          6113 - GROUP INSURANCE</v>
      </c>
      <c r="C80" s="11"/>
      <c r="D80" s="6"/>
      <c r="E80" s="2"/>
      <c r="F80" s="7">
        <f t="shared" si="20"/>
        <v>0</v>
      </c>
      <c r="G80" s="2"/>
      <c r="H80" s="6">
        <v>3100.31</v>
      </c>
      <c r="I80" s="2"/>
      <c r="J80" s="7">
        <f t="shared" si="21"/>
        <v>4.7515858747944388E-2</v>
      </c>
      <c r="K80" s="2"/>
      <c r="L80" s="6">
        <f t="shared" si="22"/>
        <v>-3100.31</v>
      </c>
      <c r="M80" s="2"/>
      <c r="N80" s="7">
        <f t="shared" si="23"/>
        <v>-1</v>
      </c>
      <c r="O80" s="11"/>
      <c r="P80" s="6"/>
      <c r="Q80" s="2"/>
      <c r="R80" s="7">
        <f t="shared" si="24"/>
        <v>0</v>
      </c>
      <c r="S80" s="2"/>
      <c r="T80" s="6">
        <v>7975.51</v>
      </c>
      <c r="U80" s="2"/>
      <c r="V80" s="7">
        <f t="shared" si="25"/>
        <v>1.6905115650516216E-2</v>
      </c>
      <c r="W80" s="2"/>
      <c r="X80" s="6">
        <f t="shared" si="26"/>
        <v>-7975.51</v>
      </c>
      <c r="Y80" s="2"/>
      <c r="Z80" s="7">
        <f t="shared" si="27"/>
        <v>-1</v>
      </c>
    </row>
    <row r="81" spans="1:26" s="24" customFormat="1" hidden="1" outlineLevel="2" x14ac:dyDescent="0.25">
      <c r="A81" s="25"/>
      <c r="B81" s="11" t="str">
        <f>CONCATENATE("          ", "6114", " - ", "STATE UNEMPLOYMENT INSURANCE")</f>
        <v xml:space="preserve">          6114 - STATE UNEMPLOYMENT INSURANCE</v>
      </c>
      <c r="C81" s="11"/>
      <c r="D81" s="6"/>
      <c r="E81" s="2"/>
      <c r="F81" s="7">
        <f t="shared" si="20"/>
        <v>0</v>
      </c>
      <c r="G81" s="2"/>
      <c r="H81" s="6">
        <v>45.94</v>
      </c>
      <c r="I81" s="2"/>
      <c r="J81" s="7">
        <f t="shared" si="21"/>
        <v>7.0408396285550961E-4</v>
      </c>
      <c r="K81" s="2"/>
      <c r="L81" s="6">
        <f t="shared" si="22"/>
        <v>-45.94</v>
      </c>
      <c r="M81" s="2"/>
      <c r="N81" s="7">
        <f t="shared" si="23"/>
        <v>-1</v>
      </c>
      <c r="O81" s="11"/>
      <c r="P81" s="6">
        <v>38.020000000000003</v>
      </c>
      <c r="Q81" s="2"/>
      <c r="R81" s="7">
        <f t="shared" si="24"/>
        <v>1.7839781680862169E-3</v>
      </c>
      <c r="S81" s="2"/>
      <c r="T81" s="6">
        <v>194.02</v>
      </c>
      <c r="U81" s="2"/>
      <c r="V81" s="7">
        <f t="shared" si="25"/>
        <v>4.1125025716388746E-4</v>
      </c>
      <c r="W81" s="2"/>
      <c r="X81" s="6">
        <f t="shared" si="26"/>
        <v>-156</v>
      </c>
      <c r="Y81" s="2"/>
      <c r="Z81" s="7">
        <f t="shared" si="27"/>
        <v>-0.80404082053396553</v>
      </c>
    </row>
    <row r="82" spans="1:26" s="24" customFormat="1" hidden="1" outlineLevel="2" x14ac:dyDescent="0.25">
      <c r="A82" s="25"/>
      <c r="B82" s="11" t="str">
        <f>CONCATENATE("          ", "6115", " - ", "P.E.R.S.")</f>
        <v xml:space="preserve">          6115 - P.E.R.S.</v>
      </c>
      <c r="C82" s="11"/>
      <c r="D82" s="6"/>
      <c r="E82" s="2"/>
      <c r="F82" s="7">
        <f t="shared" si="20"/>
        <v>0</v>
      </c>
      <c r="G82" s="2"/>
      <c r="H82" s="6">
        <v>531.63</v>
      </c>
      <c r="I82" s="2"/>
      <c r="J82" s="7">
        <f t="shared" si="21"/>
        <v>8.1478484365014054E-3</v>
      </c>
      <c r="K82" s="2"/>
      <c r="L82" s="6">
        <f t="shared" si="22"/>
        <v>-531.63</v>
      </c>
      <c r="M82" s="2"/>
      <c r="N82" s="7">
        <f t="shared" si="23"/>
        <v>-1</v>
      </c>
      <c r="O82" s="11"/>
      <c r="P82" s="6"/>
      <c r="Q82" s="2"/>
      <c r="R82" s="7">
        <f t="shared" si="24"/>
        <v>0</v>
      </c>
      <c r="S82" s="2"/>
      <c r="T82" s="6">
        <v>1832.29</v>
      </c>
      <c r="U82" s="2"/>
      <c r="V82" s="7">
        <f t="shared" si="25"/>
        <v>3.8837734960252518E-3</v>
      </c>
      <c r="W82" s="2"/>
      <c r="X82" s="6">
        <f t="shared" si="26"/>
        <v>-1832.29</v>
      </c>
      <c r="Y82" s="2"/>
      <c r="Z82" s="7">
        <f t="shared" si="27"/>
        <v>-1</v>
      </c>
    </row>
    <row r="83" spans="1:26" s="24" customFormat="1" hidden="1" outlineLevel="2" x14ac:dyDescent="0.25">
      <c r="A83" s="25"/>
      <c r="B83" s="11" t="str">
        <f>CONCATENATE("          ", "6118", " - ", "VACATION")</f>
        <v xml:space="preserve">          6118 - VACATION</v>
      </c>
      <c r="C83" s="11"/>
      <c r="D83" s="6"/>
      <c r="E83" s="2"/>
      <c r="F83" s="7">
        <f t="shared" si="20"/>
        <v>0</v>
      </c>
      <c r="G83" s="2"/>
      <c r="H83" s="6">
        <v>597.84</v>
      </c>
      <c r="I83" s="2"/>
      <c r="J83" s="7">
        <f t="shared" si="21"/>
        <v>9.1625937386490622E-3</v>
      </c>
      <c r="K83" s="2"/>
      <c r="L83" s="6">
        <f t="shared" si="22"/>
        <v>-597.84</v>
      </c>
      <c r="M83" s="2"/>
      <c r="N83" s="7">
        <f t="shared" si="23"/>
        <v>-1</v>
      </c>
      <c r="O83" s="11"/>
      <c r="P83" s="6"/>
      <c r="Q83" s="2"/>
      <c r="R83" s="7">
        <f t="shared" si="24"/>
        <v>0</v>
      </c>
      <c r="S83" s="2"/>
      <c r="T83" s="6">
        <v>2038.58</v>
      </c>
      <c r="U83" s="2"/>
      <c r="V83" s="7">
        <f t="shared" si="25"/>
        <v>4.3210315908110385E-3</v>
      </c>
      <c r="W83" s="2"/>
      <c r="X83" s="6">
        <f t="shared" si="26"/>
        <v>-2038.58</v>
      </c>
      <c r="Y83" s="2"/>
      <c r="Z83" s="7">
        <f t="shared" si="27"/>
        <v>-1</v>
      </c>
    </row>
    <row r="84" spans="1:26" s="24" customFormat="1" hidden="1" outlineLevel="2" x14ac:dyDescent="0.25">
      <c r="A84" s="25"/>
      <c r="B84" s="11" t="str">
        <f>CONCATENATE("          ", "6119", " - ", "SICK LEAVE")</f>
        <v xml:space="preserve">          6119 - SICK LEAVE</v>
      </c>
      <c r="C84" s="11"/>
      <c r="D84" s="6"/>
      <c r="E84" s="2"/>
      <c r="F84" s="7">
        <f t="shared" si="20"/>
        <v>0</v>
      </c>
      <c r="G84" s="2"/>
      <c r="H84" s="6">
        <v>-182.24</v>
      </c>
      <c r="I84" s="2"/>
      <c r="J84" s="7">
        <f t="shared" si="21"/>
        <v>-2.7930400825160661E-3</v>
      </c>
      <c r="K84" s="2"/>
      <c r="L84" s="6">
        <f t="shared" si="22"/>
        <v>182.24</v>
      </c>
      <c r="M84" s="2"/>
      <c r="N84" s="7">
        <f t="shared" si="23"/>
        <v>-1</v>
      </c>
      <c r="O84" s="11"/>
      <c r="P84" s="6"/>
      <c r="Q84" s="2"/>
      <c r="R84" s="7">
        <f t="shared" si="24"/>
        <v>0</v>
      </c>
      <c r="S84" s="2"/>
      <c r="T84" s="6">
        <v>1225.27</v>
      </c>
      <c r="U84" s="2"/>
      <c r="V84" s="7">
        <f t="shared" si="25"/>
        <v>2.5971168054592124E-3</v>
      </c>
      <c r="W84" s="2"/>
      <c r="X84" s="6">
        <f t="shared" si="26"/>
        <v>-1225.27</v>
      </c>
      <c r="Y84" s="2"/>
      <c r="Z84" s="7">
        <f t="shared" si="27"/>
        <v>-1</v>
      </c>
    </row>
    <row r="85" spans="1:26" s="24" customFormat="1" hidden="1" outlineLevel="2" x14ac:dyDescent="0.25">
      <c r="A85" s="25"/>
      <c r="B85" s="11" t="str">
        <f>CONCATENATE("          ", "6156", " - ", "EMPLOYEE MEALS")</f>
        <v xml:space="preserve">          6156 - EMPLOYEE MEALS</v>
      </c>
      <c r="C85" s="11"/>
      <c r="D85" s="6"/>
      <c r="E85" s="2"/>
      <c r="F85" s="7">
        <f t="shared" si="20"/>
        <v>0</v>
      </c>
      <c r="G85" s="2"/>
      <c r="H85" s="6">
        <v>136.35</v>
      </c>
      <c r="I85" s="2"/>
      <c r="J85" s="7">
        <f t="shared" si="21"/>
        <v>2.0897224278482529E-3</v>
      </c>
      <c r="K85" s="2"/>
      <c r="L85" s="6">
        <f t="shared" si="22"/>
        <v>-136.35</v>
      </c>
      <c r="M85" s="2"/>
      <c r="N85" s="7">
        <f t="shared" si="23"/>
        <v>-1</v>
      </c>
      <c r="O85" s="11"/>
      <c r="P85" s="6"/>
      <c r="Q85" s="2"/>
      <c r="R85" s="7">
        <f t="shared" si="24"/>
        <v>0</v>
      </c>
      <c r="S85" s="2"/>
      <c r="T85" s="6">
        <v>784</v>
      </c>
      <c r="U85" s="2"/>
      <c r="V85" s="7">
        <f t="shared" si="25"/>
        <v>1.6617884837464578E-3</v>
      </c>
      <c r="W85" s="2"/>
      <c r="X85" s="6">
        <f t="shared" si="26"/>
        <v>-784</v>
      </c>
      <c r="Y85" s="2"/>
      <c r="Z85" s="7">
        <f t="shared" si="27"/>
        <v>-1</v>
      </c>
    </row>
    <row r="86" spans="1:26" s="26" customFormat="1" outlineLevel="1" collapsed="1" x14ac:dyDescent="0.25">
      <c r="A86" s="27"/>
      <c r="B86" s="13" t="str">
        <f>CONCATENATE("     ","*Payroll                                          ")</f>
        <v xml:space="preserve">     *Payroll                                          </v>
      </c>
      <c r="C86" s="13"/>
      <c r="D86" s="1">
        <f>SUM(OSRRefD22_1x_0)</f>
        <v>18.190000000000001</v>
      </c>
      <c r="E86" s="1"/>
      <c r="F86" s="5">
        <f t="shared" ref="F86:F91" si="28">IF(D$12=0,0,D86/D$12)</f>
        <v>0</v>
      </c>
      <c r="G86" s="1"/>
      <c r="H86" s="1">
        <f>SUM(OSRRefH22_1x_0)</f>
        <v>15333.169999999998</v>
      </c>
      <c r="I86" s="1"/>
      <c r="J86" s="5">
        <f t="shared" ref="J86:J91" si="29">IF(H$12=0,0,H86/H$12)</f>
        <v>0.2349986742868353</v>
      </c>
      <c r="K86" s="1"/>
      <c r="L86" s="1">
        <f t="shared" ref="L86:L91" si="30">+D86-H86</f>
        <v>-15314.979999999998</v>
      </c>
      <c r="M86" s="1"/>
      <c r="N86" s="5">
        <f t="shared" ref="N86:N91" si="31">IF(H86=0,0,L86/H86)</f>
        <v>-0.99881368301531903</v>
      </c>
      <c r="O86" s="13"/>
      <c r="P86" s="1">
        <f>SUM(OSRRefP22_1x_0)</f>
        <v>8152.5399999999991</v>
      </c>
      <c r="Q86" s="1"/>
      <c r="R86" s="5">
        <f t="shared" ref="R86:R91" si="32">IF(P$12=0,0,P86/P$12)</f>
        <v>0.38253428128483963</v>
      </c>
      <c r="S86" s="1"/>
      <c r="T86" s="1">
        <f>SUM(OSRRefT22_1x_0)</f>
        <v>76684.26999999999</v>
      </c>
      <c r="U86" s="1"/>
      <c r="V86" s="5">
        <f t="shared" ref="V86:V91" si="33">IF(T$12=0,0,T86/T$12)</f>
        <v>0.16254213873788773</v>
      </c>
      <c r="W86" s="1"/>
      <c r="X86" s="1">
        <f t="shared" ref="X86:X91" si="34">+P86-T86</f>
        <v>-68531.73</v>
      </c>
      <c r="Y86" s="1"/>
      <c r="Z86" s="5">
        <f t="shared" ref="Z86:Z91" si="35">IF(T86=0,0,X86/T86)</f>
        <v>-0.89368693214397166</v>
      </c>
    </row>
    <row r="87" spans="1:26" s="24" customFormat="1" hidden="1" outlineLevel="2" x14ac:dyDescent="0.25">
      <c r="A87" s="25"/>
      <c r="B87" s="11" t="str">
        <f>CONCATENATE("          ", "6002", " - ", "STAFF SALARIES")</f>
        <v xml:space="preserve">          6002 - STAFF SALARIES</v>
      </c>
      <c r="C87" s="11"/>
      <c r="D87" s="6"/>
      <c r="E87" s="2"/>
      <c r="F87" s="7">
        <f t="shared" si="28"/>
        <v>0</v>
      </c>
      <c r="G87" s="2"/>
      <c r="H87" s="6">
        <v>4928.6499999999996</v>
      </c>
      <c r="I87" s="2"/>
      <c r="J87" s="7">
        <f t="shared" si="29"/>
        <v>7.5537296985803387E-2</v>
      </c>
      <c r="K87" s="2"/>
      <c r="L87" s="6">
        <f t="shared" si="30"/>
        <v>-4928.6499999999996</v>
      </c>
      <c r="M87" s="2"/>
      <c r="N87" s="7">
        <f t="shared" si="31"/>
        <v>-1</v>
      </c>
      <c r="O87" s="11"/>
      <c r="P87" s="6"/>
      <c r="Q87" s="2"/>
      <c r="R87" s="7">
        <f t="shared" si="32"/>
        <v>0</v>
      </c>
      <c r="S87" s="2"/>
      <c r="T87" s="6">
        <v>24936.76</v>
      </c>
      <c r="U87" s="2"/>
      <c r="V87" s="7">
        <f t="shared" si="33"/>
        <v>5.2856658915751684E-2</v>
      </c>
      <c r="W87" s="2"/>
      <c r="X87" s="6">
        <f t="shared" si="34"/>
        <v>-24936.76</v>
      </c>
      <c r="Y87" s="2"/>
      <c r="Z87" s="7">
        <f t="shared" si="35"/>
        <v>-1</v>
      </c>
    </row>
    <row r="88" spans="1:26" s="24" customFormat="1" hidden="1" outlineLevel="2" x14ac:dyDescent="0.25">
      <c r="A88" s="25"/>
      <c r="B88" s="11" t="str">
        <f>CONCATENATE("          ", "6004", " - ", "STAFF HOURLY")</f>
        <v xml:space="preserve">          6004 - STAFF HOURLY</v>
      </c>
      <c r="C88" s="11"/>
      <c r="D88" s="6"/>
      <c r="E88" s="2"/>
      <c r="F88" s="7">
        <f t="shared" si="28"/>
        <v>0</v>
      </c>
      <c r="G88" s="2"/>
      <c r="H88" s="6">
        <v>-48</v>
      </c>
      <c r="I88" s="2"/>
      <c r="J88" s="7">
        <f t="shared" si="29"/>
        <v>-7.3565586018860393E-4</v>
      </c>
      <c r="K88" s="2"/>
      <c r="L88" s="6">
        <f t="shared" si="30"/>
        <v>48</v>
      </c>
      <c r="M88" s="2"/>
      <c r="N88" s="7">
        <f t="shared" si="31"/>
        <v>-1</v>
      </c>
      <c r="O88" s="11"/>
      <c r="P88" s="6"/>
      <c r="Q88" s="2"/>
      <c r="R88" s="7">
        <f t="shared" si="32"/>
        <v>0</v>
      </c>
      <c r="S88" s="2"/>
      <c r="T88" s="6">
        <v>-48</v>
      </c>
      <c r="U88" s="2"/>
      <c r="V88" s="7">
        <f t="shared" si="33"/>
        <v>-1.0174215206610967E-4</v>
      </c>
      <c r="W88" s="2"/>
      <c r="X88" s="6">
        <f t="shared" si="34"/>
        <v>48</v>
      </c>
      <c r="Y88" s="2"/>
      <c r="Z88" s="7">
        <f t="shared" si="35"/>
        <v>-1</v>
      </c>
    </row>
    <row r="89" spans="1:26" s="24" customFormat="1" hidden="1" outlineLevel="2" x14ac:dyDescent="0.25">
      <c r="A89" s="25"/>
      <c r="B89" s="11" t="str">
        <f>CONCATENATE("          ", "6005", " - ", "TEMPORARY WAGES-HOURLY")</f>
        <v xml:space="preserve">          6005 - TEMPORARY WAGES-HOURLY</v>
      </c>
      <c r="C89" s="11"/>
      <c r="D89" s="6">
        <v>18.190000000000001</v>
      </c>
      <c r="E89" s="2"/>
      <c r="F89" s="7">
        <f t="shared" si="28"/>
        <v>0</v>
      </c>
      <c r="G89" s="2"/>
      <c r="H89" s="6">
        <v>1265.1300000000001</v>
      </c>
      <c r="I89" s="2"/>
      <c r="J89" s="7">
        <f t="shared" si="29"/>
        <v>1.9389589550008513E-2</v>
      </c>
      <c r="K89" s="2"/>
      <c r="L89" s="6">
        <f t="shared" si="30"/>
        <v>-1246.94</v>
      </c>
      <c r="M89" s="2"/>
      <c r="N89" s="7">
        <f t="shared" si="31"/>
        <v>-0.98562203093753209</v>
      </c>
      <c r="O89" s="11"/>
      <c r="P89" s="6">
        <v>5379.19</v>
      </c>
      <c r="Q89" s="2"/>
      <c r="R89" s="7">
        <f t="shared" si="32"/>
        <v>0.25240288064144384</v>
      </c>
      <c r="S89" s="2"/>
      <c r="T89" s="6">
        <v>1682.01</v>
      </c>
      <c r="U89" s="2"/>
      <c r="V89" s="7">
        <f t="shared" si="33"/>
        <v>3.5652357749316067E-3</v>
      </c>
      <c r="W89" s="2"/>
      <c r="X89" s="6">
        <f t="shared" si="34"/>
        <v>3697.1799999999994</v>
      </c>
      <c r="Y89" s="2"/>
      <c r="Z89" s="7">
        <f t="shared" si="35"/>
        <v>2.1980725441584767</v>
      </c>
    </row>
    <row r="90" spans="1:26" s="24" customFormat="1" hidden="1" outlineLevel="2" x14ac:dyDescent="0.25">
      <c r="A90" s="25"/>
      <c r="B90" s="11" t="str">
        <f>CONCATENATE("          ", "6006", " - ", "TEMPORARY PART TIME")</f>
        <v xml:space="preserve">          6006 - TEMPORARY PART TIME</v>
      </c>
      <c r="C90" s="11"/>
      <c r="D90" s="6"/>
      <c r="E90" s="2"/>
      <c r="F90" s="7">
        <f t="shared" si="28"/>
        <v>0</v>
      </c>
      <c r="G90" s="2"/>
      <c r="H90" s="6"/>
      <c r="I90" s="2"/>
      <c r="J90" s="7">
        <f t="shared" si="29"/>
        <v>0</v>
      </c>
      <c r="K90" s="2"/>
      <c r="L90" s="6">
        <f t="shared" si="30"/>
        <v>0</v>
      </c>
      <c r="M90" s="2"/>
      <c r="N90" s="7">
        <f t="shared" si="31"/>
        <v>0</v>
      </c>
      <c r="O90" s="11"/>
      <c r="P90" s="6"/>
      <c r="Q90" s="2"/>
      <c r="R90" s="7">
        <f t="shared" si="32"/>
        <v>0</v>
      </c>
      <c r="S90" s="2"/>
      <c r="T90" s="6">
        <v>25.5</v>
      </c>
      <c r="U90" s="2"/>
      <c r="V90" s="7">
        <f t="shared" si="33"/>
        <v>5.4050518285120759E-5</v>
      </c>
      <c r="W90" s="2"/>
      <c r="X90" s="6">
        <f t="shared" si="34"/>
        <v>-25.5</v>
      </c>
      <c r="Y90" s="2"/>
      <c r="Z90" s="7">
        <f t="shared" si="35"/>
        <v>-1</v>
      </c>
    </row>
    <row r="91" spans="1:26" s="24" customFormat="1" hidden="1" outlineLevel="2" x14ac:dyDescent="0.25">
      <c r="A91" s="25"/>
      <c r="B91" s="11" t="str">
        <f>CONCATENATE("          ", "6007", " - ", "STUDENT HOURLY")</f>
        <v xml:space="preserve">          6007 - STUDENT HOURLY</v>
      </c>
      <c r="C91" s="11"/>
      <c r="D91" s="6"/>
      <c r="E91" s="2"/>
      <c r="F91" s="7">
        <f t="shared" si="28"/>
        <v>0</v>
      </c>
      <c r="G91" s="2"/>
      <c r="H91" s="6">
        <v>9187.39</v>
      </c>
      <c r="I91" s="2"/>
      <c r="J91" s="7">
        <f t="shared" si="29"/>
        <v>0.14080744361121203</v>
      </c>
      <c r="K91" s="2"/>
      <c r="L91" s="6">
        <f t="shared" si="30"/>
        <v>-9187.39</v>
      </c>
      <c r="M91" s="2"/>
      <c r="N91" s="7">
        <f t="shared" si="31"/>
        <v>-1</v>
      </c>
      <c r="O91" s="11"/>
      <c r="P91" s="6">
        <v>2773.35</v>
      </c>
      <c r="Q91" s="2"/>
      <c r="R91" s="7">
        <f t="shared" si="32"/>
        <v>0.13013140064339582</v>
      </c>
      <c r="S91" s="2"/>
      <c r="T91" s="6">
        <v>50088</v>
      </c>
      <c r="U91" s="2"/>
      <c r="V91" s="7">
        <f t="shared" si="33"/>
        <v>0.10616793568098544</v>
      </c>
      <c r="W91" s="2"/>
      <c r="X91" s="6">
        <f t="shared" si="34"/>
        <v>-47314.65</v>
      </c>
      <c r="Y91" s="2"/>
      <c r="Z91" s="7">
        <f t="shared" si="35"/>
        <v>-0.94463045040728322</v>
      </c>
    </row>
    <row r="92" spans="1:26" s="26" customFormat="1" outlineLevel="1" collapsed="1" x14ac:dyDescent="0.25">
      <c r="A92" s="27"/>
      <c r="B92" s="13" t="str">
        <f>CONCATENATE("     ","Advertising/Promo                                 ")</f>
        <v xml:space="preserve">     Advertising/Promo                                 </v>
      </c>
      <c r="C92" s="13"/>
      <c r="D92" s="1">
        <f>SUM(OSRRefD22_2x_0)</f>
        <v>0</v>
      </c>
      <c r="E92" s="1"/>
      <c r="F92" s="5">
        <f t="shared" ref="F92:F98" si="36">IF(D$12=0,0,D92/D$12)</f>
        <v>0</v>
      </c>
      <c r="G92" s="1"/>
      <c r="H92" s="1">
        <f>SUM(OSRRefH22_2x_0)</f>
        <v>660</v>
      </c>
      <c r="I92" s="1"/>
      <c r="J92" s="5">
        <f t="shared" ref="J92:J98" si="37">IF(H$12=0,0,H92/H$12)</f>
        <v>1.0115268077593303E-2</v>
      </c>
      <c r="K92" s="1"/>
      <c r="L92" s="1">
        <f t="shared" ref="L92:L98" si="38">+D92-H92</f>
        <v>-660</v>
      </c>
      <c r="M92" s="1"/>
      <c r="N92" s="5">
        <f t="shared" ref="N92:N98" si="39">IF(H92=0,0,L92/H92)</f>
        <v>-1</v>
      </c>
      <c r="O92" s="13"/>
      <c r="P92" s="1">
        <f>SUM(OSRRefP22_2x_0)</f>
        <v>124.72</v>
      </c>
      <c r="Q92" s="1"/>
      <c r="R92" s="5">
        <f t="shared" ref="R92:R98" si="40">IF(P$12=0,0,P92/P$12)</f>
        <v>5.8521240695347957E-3</v>
      </c>
      <c r="S92" s="1"/>
      <c r="T92" s="1">
        <f>SUM(OSRRefT22_2x_0)</f>
        <v>1845.48</v>
      </c>
      <c r="U92" s="1"/>
      <c r="V92" s="5">
        <f t="shared" ref="V92:V98" si="41">IF(T$12=0,0,T92/T$12)</f>
        <v>3.9117313915617517E-3</v>
      </c>
      <c r="W92" s="1"/>
      <c r="X92" s="1">
        <f t="shared" ref="X92:X98" si="42">+P92-T92</f>
        <v>-1720.76</v>
      </c>
      <c r="Y92" s="1"/>
      <c r="Z92" s="5">
        <f t="shared" ref="Z92:Z98" si="43">IF(T92=0,0,X92/T92)</f>
        <v>-0.93241866614647684</v>
      </c>
    </row>
    <row r="93" spans="1:26" s="24" customFormat="1" hidden="1" outlineLevel="2" x14ac:dyDescent="0.25">
      <c r="A93" s="25"/>
      <c r="B93" s="11" t="str">
        <f>CONCATENATE("          ", "6362", " - ", "ADVERTISING EXPENSE")</f>
        <v xml:space="preserve">          6362 - ADVERTISING EXPENSE</v>
      </c>
      <c r="C93" s="11"/>
      <c r="D93" s="6"/>
      <c r="E93" s="2"/>
      <c r="F93" s="7">
        <f t="shared" si="36"/>
        <v>0</v>
      </c>
      <c r="G93" s="2"/>
      <c r="H93" s="6">
        <v>660</v>
      </c>
      <c r="I93" s="2"/>
      <c r="J93" s="7">
        <f t="shared" si="37"/>
        <v>1.0115268077593303E-2</v>
      </c>
      <c r="K93" s="2"/>
      <c r="L93" s="6">
        <f t="shared" si="38"/>
        <v>-660</v>
      </c>
      <c r="M93" s="2"/>
      <c r="N93" s="7">
        <f t="shared" si="39"/>
        <v>-1</v>
      </c>
      <c r="O93" s="11"/>
      <c r="P93" s="6">
        <v>124.72</v>
      </c>
      <c r="Q93" s="2"/>
      <c r="R93" s="7">
        <f t="shared" si="40"/>
        <v>5.8521240695347957E-3</v>
      </c>
      <c r="S93" s="2"/>
      <c r="T93" s="6">
        <v>1845.48</v>
      </c>
      <c r="U93" s="2"/>
      <c r="V93" s="7">
        <f t="shared" si="41"/>
        <v>3.9117313915617517E-3</v>
      </c>
      <c r="W93" s="2"/>
      <c r="X93" s="6">
        <f t="shared" si="42"/>
        <v>-1720.76</v>
      </c>
      <c r="Y93" s="2"/>
      <c r="Z93" s="7">
        <f t="shared" si="43"/>
        <v>-0.93241866614647684</v>
      </c>
    </row>
    <row r="94" spans="1:26" s="26" customFormat="1" outlineLevel="1" collapsed="1" x14ac:dyDescent="0.25">
      <c r="A94" s="27"/>
      <c r="B94" s="13" t="str">
        <f>CONCATENATE("     ","Bad Debts/Over/Short                              ")</f>
        <v xml:space="preserve">     Bad Debts/Over/Short                              </v>
      </c>
      <c r="C94" s="13"/>
      <c r="D94" s="1">
        <f>SUM(OSRRefD22_3x_0)</f>
        <v>0</v>
      </c>
      <c r="E94" s="1"/>
      <c r="F94" s="5">
        <f t="shared" si="36"/>
        <v>0</v>
      </c>
      <c r="G94" s="1"/>
      <c r="H94" s="1">
        <f>SUM(OSRRefH22_3x_0)</f>
        <v>0.35</v>
      </c>
      <c r="I94" s="1"/>
      <c r="J94" s="5">
        <f t="shared" si="37"/>
        <v>5.3641573138752365E-6</v>
      </c>
      <c r="K94" s="1"/>
      <c r="L94" s="1">
        <f t="shared" si="38"/>
        <v>-0.35</v>
      </c>
      <c r="M94" s="1"/>
      <c r="N94" s="5">
        <f t="shared" si="39"/>
        <v>-1</v>
      </c>
      <c r="O94" s="13"/>
      <c r="P94" s="1">
        <f>SUM(OSRRefP22_3x_0)</f>
        <v>1.1000000000000001</v>
      </c>
      <c r="Q94" s="1"/>
      <c r="R94" s="5">
        <f t="shared" si="40"/>
        <v>5.1614307861516002E-5</v>
      </c>
      <c r="S94" s="1"/>
      <c r="T94" s="1">
        <f>SUM(OSRRefT22_3x_0)</f>
        <v>-47.21</v>
      </c>
      <c r="U94" s="1"/>
      <c r="V94" s="5">
        <f t="shared" si="41"/>
        <v>-1.0006764581335494E-4</v>
      </c>
      <c r="W94" s="1"/>
      <c r="X94" s="1">
        <f t="shared" si="42"/>
        <v>48.31</v>
      </c>
      <c r="Y94" s="1"/>
      <c r="Z94" s="5">
        <f t="shared" si="43"/>
        <v>-1.0233001482736708</v>
      </c>
    </row>
    <row r="95" spans="1:26" s="24" customFormat="1" hidden="1" outlineLevel="2" x14ac:dyDescent="0.25">
      <c r="A95" s="25"/>
      <c r="B95" s="11" t="str">
        <f>CONCATENATE("          ", "6272", " - ", "CASH (OVER/SHORT)")</f>
        <v xml:space="preserve">          6272 - CASH (OVER/SHORT)</v>
      </c>
      <c r="C95" s="11"/>
      <c r="D95" s="6"/>
      <c r="E95" s="2"/>
      <c r="F95" s="7">
        <f t="shared" si="36"/>
        <v>0</v>
      </c>
      <c r="G95" s="2"/>
      <c r="H95" s="6">
        <v>0.35</v>
      </c>
      <c r="I95" s="2"/>
      <c r="J95" s="7">
        <f t="shared" si="37"/>
        <v>5.3641573138752365E-6</v>
      </c>
      <c r="K95" s="2"/>
      <c r="L95" s="6">
        <f t="shared" si="38"/>
        <v>-0.35</v>
      </c>
      <c r="M95" s="2"/>
      <c r="N95" s="7">
        <f t="shared" si="39"/>
        <v>-1</v>
      </c>
      <c r="O95" s="11"/>
      <c r="P95" s="6">
        <v>1.1000000000000001</v>
      </c>
      <c r="Q95" s="2"/>
      <c r="R95" s="7">
        <f t="shared" si="40"/>
        <v>5.1614307861516002E-5</v>
      </c>
      <c r="S95" s="2"/>
      <c r="T95" s="6">
        <v>-47.21</v>
      </c>
      <c r="U95" s="2"/>
      <c r="V95" s="7">
        <f t="shared" si="41"/>
        <v>-1.0006764581335494E-4</v>
      </c>
      <c r="W95" s="2"/>
      <c r="X95" s="6">
        <f t="shared" si="42"/>
        <v>48.31</v>
      </c>
      <c r="Y95" s="2"/>
      <c r="Z95" s="7">
        <f t="shared" si="43"/>
        <v>-1.0233001482736708</v>
      </c>
    </row>
    <row r="96" spans="1:26" s="26" customFormat="1" outlineLevel="1" collapsed="1" x14ac:dyDescent="0.25">
      <c r="A96" s="27"/>
      <c r="B96" s="13" t="str">
        <f>CONCATENATE("     ","Discounts and Markdowns                           ")</f>
        <v xml:space="preserve">     Discounts and Markdowns                           </v>
      </c>
      <c r="C96" s="13"/>
      <c r="D96" s="1">
        <f>SUM(OSRRefD22_4x_0)</f>
        <v>418.85</v>
      </c>
      <c r="E96" s="1"/>
      <c r="F96" s="5">
        <f t="shared" si="36"/>
        <v>0</v>
      </c>
      <c r="G96" s="1"/>
      <c r="H96" s="1">
        <f>SUM(OSRRefH22_4x_0)</f>
        <v>1768.05</v>
      </c>
      <c r="I96" s="1"/>
      <c r="J96" s="5">
        <f t="shared" si="37"/>
        <v>2.7097423825134605E-2</v>
      </c>
      <c r="K96" s="1"/>
      <c r="L96" s="1">
        <f t="shared" si="38"/>
        <v>-1349.1999999999998</v>
      </c>
      <c r="M96" s="1"/>
      <c r="N96" s="5">
        <f t="shared" si="39"/>
        <v>-0.76310059104663319</v>
      </c>
      <c r="O96" s="13"/>
      <c r="P96" s="1">
        <f>SUM(OSRRefP22_4x_0)</f>
        <v>0</v>
      </c>
      <c r="Q96" s="1"/>
      <c r="R96" s="5">
        <f t="shared" si="40"/>
        <v>0</v>
      </c>
      <c r="S96" s="1"/>
      <c r="T96" s="1">
        <f>SUM(OSRRefT22_4x_0)</f>
        <v>10225.18</v>
      </c>
      <c r="U96" s="1"/>
      <c r="V96" s="5">
        <f t="shared" si="41"/>
        <v>2.1673579551319651E-2</v>
      </c>
      <c r="W96" s="1"/>
      <c r="X96" s="1">
        <f t="shared" si="42"/>
        <v>-10225.18</v>
      </c>
      <c r="Y96" s="1"/>
      <c r="Z96" s="5">
        <f t="shared" si="43"/>
        <v>-1</v>
      </c>
    </row>
    <row r="97" spans="1:26" s="24" customFormat="1" hidden="1" outlineLevel="2" x14ac:dyDescent="0.25">
      <c r="A97" s="25"/>
      <c r="B97" s="11" t="str">
        <f>CONCATENATE("          ", "6382", " - ", "DISCOUNTS/MARK DOWNS")</f>
        <v xml:space="preserve">          6382 - DISCOUNTS/MARK DOWNS</v>
      </c>
      <c r="C97" s="11"/>
      <c r="D97" s="6"/>
      <c r="E97" s="2"/>
      <c r="F97" s="7">
        <f t="shared" si="36"/>
        <v>0</v>
      </c>
      <c r="G97" s="2"/>
      <c r="H97" s="6">
        <v>1579.48</v>
      </c>
      <c r="I97" s="2"/>
      <c r="J97" s="7">
        <f t="shared" si="37"/>
        <v>2.4207369126056168E-2</v>
      </c>
      <c r="K97" s="2"/>
      <c r="L97" s="6">
        <f t="shared" si="38"/>
        <v>-1579.48</v>
      </c>
      <c r="M97" s="2"/>
      <c r="N97" s="7">
        <f t="shared" si="39"/>
        <v>-1</v>
      </c>
      <c r="O97" s="11"/>
      <c r="P97" s="6"/>
      <c r="Q97" s="2"/>
      <c r="R97" s="7">
        <f t="shared" si="40"/>
        <v>0</v>
      </c>
      <c r="S97" s="2"/>
      <c r="T97" s="6">
        <v>10225.18</v>
      </c>
      <c r="U97" s="2"/>
      <c r="V97" s="7">
        <f t="shared" si="41"/>
        <v>2.1673579551319651E-2</v>
      </c>
      <c r="W97" s="2"/>
      <c r="X97" s="6">
        <f t="shared" si="42"/>
        <v>-10225.18</v>
      </c>
      <c r="Y97" s="2"/>
      <c r="Z97" s="7">
        <f t="shared" si="43"/>
        <v>-1</v>
      </c>
    </row>
    <row r="98" spans="1:26" s="24" customFormat="1" hidden="1" outlineLevel="2" x14ac:dyDescent="0.25">
      <c r="A98" s="25"/>
      <c r="B98" s="11" t="str">
        <f>CONCATENATE("          ", "9175", " - ", "EARNED DISCOUNTS")</f>
        <v xml:space="preserve">          9175 - EARNED DISCOUNTS</v>
      </c>
      <c r="C98" s="11"/>
      <c r="D98" s="6">
        <v>418.85</v>
      </c>
      <c r="E98" s="2"/>
      <c r="F98" s="7">
        <f t="shared" si="36"/>
        <v>0</v>
      </c>
      <c r="G98" s="2"/>
      <c r="H98" s="6">
        <v>188.57</v>
      </c>
      <c r="I98" s="2"/>
      <c r="J98" s="7">
        <f t="shared" si="37"/>
        <v>2.8900546990784383E-3</v>
      </c>
      <c r="K98" s="2"/>
      <c r="L98" s="6">
        <f t="shared" si="38"/>
        <v>230.28000000000003</v>
      </c>
      <c r="M98" s="2"/>
      <c r="N98" s="7">
        <f t="shared" si="39"/>
        <v>1.2211910696293156</v>
      </c>
      <c r="O98" s="11"/>
      <c r="P98" s="6">
        <v>0</v>
      </c>
      <c r="Q98" s="2"/>
      <c r="R98" s="7">
        <f t="shared" si="40"/>
        <v>0</v>
      </c>
      <c r="S98" s="2"/>
      <c r="T98" s="6">
        <v>0</v>
      </c>
      <c r="U98" s="2"/>
      <c r="V98" s="7">
        <f t="shared" si="41"/>
        <v>0</v>
      </c>
      <c r="W98" s="2"/>
      <c r="X98" s="6">
        <f t="shared" si="42"/>
        <v>0</v>
      </c>
      <c r="Y98" s="2"/>
      <c r="Z98" s="7">
        <f t="shared" si="43"/>
        <v>0</v>
      </c>
    </row>
    <row r="99" spans="1:26" s="26" customFormat="1" outlineLevel="1" collapsed="1" x14ac:dyDescent="0.25">
      <c r="A99" s="27"/>
      <c r="B99" s="13" t="str">
        <f>CONCATENATE("     ","Freight out/Postage                               ")</f>
        <v xml:space="preserve">     Freight out/Postage                               </v>
      </c>
      <c r="C99" s="13"/>
      <c r="D99" s="1">
        <f>SUM(OSRRefD22_5x_0)</f>
        <v>0</v>
      </c>
      <c r="E99" s="1"/>
      <c r="F99" s="5">
        <f t="shared" ref="F99:F107" si="44">IF(D$12=0,0,D99/D$12)</f>
        <v>0</v>
      </c>
      <c r="G99" s="1"/>
      <c r="H99" s="1">
        <f>SUM(OSRRefH22_5x_0)</f>
        <v>15.81</v>
      </c>
      <c r="I99" s="1"/>
      <c r="J99" s="5">
        <f t="shared" ref="J99:J107" si="45">IF(H$12=0,0,H99/H$12)</f>
        <v>2.4230664894962141E-4</v>
      </c>
      <c r="K99" s="1"/>
      <c r="L99" s="1">
        <f t="shared" ref="L99:L107" si="46">+D99-H99</f>
        <v>-15.81</v>
      </c>
      <c r="M99" s="1"/>
      <c r="N99" s="5">
        <f t="shared" ref="N99:N107" si="47">IF(H99=0,0,L99/H99)</f>
        <v>-1</v>
      </c>
      <c r="O99" s="13"/>
      <c r="P99" s="1">
        <f>SUM(OSRRefP22_5x_0)</f>
        <v>0</v>
      </c>
      <c r="Q99" s="1"/>
      <c r="R99" s="5">
        <f t="shared" ref="R99:R107" si="48">IF(P$12=0,0,P99/P$12)</f>
        <v>0</v>
      </c>
      <c r="S99" s="1"/>
      <c r="T99" s="1">
        <f>SUM(OSRRefT22_5x_0)</f>
        <v>15.81</v>
      </c>
      <c r="U99" s="1"/>
      <c r="V99" s="5">
        <f t="shared" ref="V99:V107" si="49">IF(T$12=0,0,T99/T$12)</f>
        <v>3.3511321336774875E-5</v>
      </c>
      <c r="W99" s="1"/>
      <c r="X99" s="1">
        <f t="shared" ref="X99:X107" si="50">+P99-T99</f>
        <v>-15.81</v>
      </c>
      <c r="Y99" s="1"/>
      <c r="Z99" s="5">
        <f t="shared" ref="Z99:Z107" si="51">IF(T99=0,0,X99/T99)</f>
        <v>-1</v>
      </c>
    </row>
    <row r="100" spans="1:26" s="24" customFormat="1" hidden="1" outlineLevel="2" x14ac:dyDescent="0.25">
      <c r="A100" s="25"/>
      <c r="B100" s="11" t="str">
        <f>CONCATENATE("          ", "6305", " - ", "FREIGHT OUT")</f>
        <v xml:space="preserve">          6305 - FREIGHT OUT</v>
      </c>
      <c r="C100" s="11"/>
      <c r="D100" s="6"/>
      <c r="E100" s="2"/>
      <c r="F100" s="7">
        <f t="shared" si="44"/>
        <v>0</v>
      </c>
      <c r="G100" s="2"/>
      <c r="H100" s="6">
        <v>15.81</v>
      </c>
      <c r="I100" s="2"/>
      <c r="J100" s="7">
        <f t="shared" si="45"/>
        <v>2.4230664894962141E-4</v>
      </c>
      <c r="K100" s="2"/>
      <c r="L100" s="6">
        <f t="shared" si="46"/>
        <v>-15.81</v>
      </c>
      <c r="M100" s="2"/>
      <c r="N100" s="7">
        <f t="shared" si="47"/>
        <v>-1</v>
      </c>
      <c r="O100" s="11"/>
      <c r="P100" s="6"/>
      <c r="Q100" s="2"/>
      <c r="R100" s="7">
        <f t="shared" si="48"/>
        <v>0</v>
      </c>
      <c r="S100" s="2"/>
      <c r="T100" s="6">
        <v>15.81</v>
      </c>
      <c r="U100" s="2"/>
      <c r="V100" s="7">
        <f t="shared" si="49"/>
        <v>3.3511321336774875E-5</v>
      </c>
      <c r="W100" s="2"/>
      <c r="X100" s="6">
        <f t="shared" si="50"/>
        <v>-15.81</v>
      </c>
      <c r="Y100" s="2"/>
      <c r="Z100" s="7">
        <f t="shared" si="51"/>
        <v>-1</v>
      </c>
    </row>
    <row r="101" spans="1:26" s="26" customFormat="1" outlineLevel="1" collapsed="1" x14ac:dyDescent="0.25">
      <c r="A101" s="27"/>
      <c r="B101" s="13" t="str">
        <f>CONCATENATE("     ","General                                           ")</f>
        <v xml:space="preserve">     General                                           </v>
      </c>
      <c r="C101" s="13"/>
      <c r="D101" s="1">
        <f>SUM(OSRRefD22_6x_0)</f>
        <v>0</v>
      </c>
      <c r="E101" s="1"/>
      <c r="F101" s="5">
        <f t="shared" si="44"/>
        <v>0</v>
      </c>
      <c r="G101" s="1"/>
      <c r="H101" s="1">
        <f>SUM(OSRRefH22_6x_0)</f>
        <v>0</v>
      </c>
      <c r="I101" s="1"/>
      <c r="J101" s="5">
        <f t="shared" si="45"/>
        <v>0</v>
      </c>
      <c r="K101" s="1"/>
      <c r="L101" s="1">
        <f t="shared" si="46"/>
        <v>0</v>
      </c>
      <c r="M101" s="1"/>
      <c r="N101" s="5">
        <f t="shared" si="47"/>
        <v>0</v>
      </c>
      <c r="O101" s="13"/>
      <c r="P101" s="1">
        <f>SUM(OSRRefP22_6x_0)</f>
        <v>719.55</v>
      </c>
      <c r="Q101" s="1"/>
      <c r="R101" s="5">
        <f t="shared" si="48"/>
        <v>3.3762795656139849E-2</v>
      </c>
      <c r="S101" s="1"/>
      <c r="T101" s="1">
        <f>SUM(OSRRefT22_6x_0)</f>
        <v>794.05</v>
      </c>
      <c r="U101" s="1"/>
      <c r="V101" s="5">
        <f t="shared" si="49"/>
        <v>1.6830907468352995E-3</v>
      </c>
      <c r="W101" s="1"/>
      <c r="X101" s="1">
        <f t="shared" si="50"/>
        <v>-74.5</v>
      </c>
      <c r="Y101" s="1"/>
      <c r="Z101" s="5">
        <f t="shared" si="51"/>
        <v>-9.3822807128014621E-2</v>
      </c>
    </row>
    <row r="102" spans="1:26" s="24" customFormat="1" hidden="1" outlineLevel="2" x14ac:dyDescent="0.25">
      <c r="A102" s="25"/>
      <c r="B102" s="11" t="str">
        <f>CONCATENATE("          ", "6279", " - ", "GENERAL EXPENSE")</f>
        <v xml:space="preserve">          6279 - GENERAL EXPENSE</v>
      </c>
      <c r="C102" s="11"/>
      <c r="D102" s="6"/>
      <c r="E102" s="2"/>
      <c r="F102" s="7">
        <f t="shared" si="44"/>
        <v>0</v>
      </c>
      <c r="G102" s="2"/>
      <c r="H102" s="6"/>
      <c r="I102" s="2"/>
      <c r="J102" s="7">
        <f t="shared" si="45"/>
        <v>0</v>
      </c>
      <c r="K102" s="2"/>
      <c r="L102" s="6">
        <f t="shared" si="46"/>
        <v>0</v>
      </c>
      <c r="M102" s="2"/>
      <c r="N102" s="7">
        <f t="shared" si="47"/>
        <v>0</v>
      </c>
      <c r="O102" s="11"/>
      <c r="P102" s="6">
        <v>719.55</v>
      </c>
      <c r="Q102" s="2"/>
      <c r="R102" s="7">
        <f t="shared" si="48"/>
        <v>3.3762795656139849E-2</v>
      </c>
      <c r="S102" s="2"/>
      <c r="T102" s="6">
        <v>794.05</v>
      </c>
      <c r="U102" s="2"/>
      <c r="V102" s="7">
        <f t="shared" si="49"/>
        <v>1.6830907468352995E-3</v>
      </c>
      <c r="W102" s="2"/>
      <c r="X102" s="6">
        <f t="shared" si="50"/>
        <v>-74.5</v>
      </c>
      <c r="Y102" s="2"/>
      <c r="Z102" s="7">
        <f t="shared" si="51"/>
        <v>-9.3822807128014621E-2</v>
      </c>
    </row>
    <row r="103" spans="1:26" s="26" customFormat="1" outlineLevel="1" collapsed="1" x14ac:dyDescent="0.25">
      <c r="A103" s="27"/>
      <c r="B103" s="13" t="str">
        <f>CONCATENATE("     ","Professional Services                             ")</f>
        <v xml:space="preserve">     Professional Services                             </v>
      </c>
      <c r="C103" s="13"/>
      <c r="D103" s="1">
        <f>SUM(OSRRefD22_7x_0)</f>
        <v>0</v>
      </c>
      <c r="E103" s="1"/>
      <c r="F103" s="5">
        <f t="shared" si="44"/>
        <v>0</v>
      </c>
      <c r="G103" s="1"/>
      <c r="H103" s="1">
        <f>SUM(OSRRefH22_7x_0)</f>
        <v>0</v>
      </c>
      <c r="I103" s="1"/>
      <c r="J103" s="5">
        <f t="shared" si="45"/>
        <v>0</v>
      </c>
      <c r="K103" s="1"/>
      <c r="L103" s="1">
        <f t="shared" si="46"/>
        <v>0</v>
      </c>
      <c r="M103" s="1"/>
      <c r="N103" s="5">
        <f t="shared" si="47"/>
        <v>0</v>
      </c>
      <c r="O103" s="13"/>
      <c r="P103" s="1">
        <f>SUM(OSRRefP22_7x_0)</f>
        <v>0</v>
      </c>
      <c r="Q103" s="1"/>
      <c r="R103" s="5">
        <f t="shared" si="48"/>
        <v>0</v>
      </c>
      <c r="S103" s="1"/>
      <c r="T103" s="1">
        <f>SUM(OSRRefT22_7x_0)</f>
        <v>750</v>
      </c>
      <c r="U103" s="1"/>
      <c r="V103" s="5">
        <f t="shared" si="49"/>
        <v>1.5897211260329635E-3</v>
      </c>
      <c r="W103" s="1"/>
      <c r="X103" s="1">
        <f t="shared" si="50"/>
        <v>-750</v>
      </c>
      <c r="Y103" s="1"/>
      <c r="Z103" s="5">
        <f t="shared" si="51"/>
        <v>-1</v>
      </c>
    </row>
    <row r="104" spans="1:26" s="24" customFormat="1" hidden="1" outlineLevel="2" x14ac:dyDescent="0.25">
      <c r="A104" s="25"/>
      <c r="B104" s="11" t="str">
        <f>CONCATENATE("          ", "6336", " - ", "PROFESSIONAL SERVICES")</f>
        <v xml:space="preserve">          6336 - PROFESSIONAL SERVICES</v>
      </c>
      <c r="C104" s="11"/>
      <c r="D104" s="6"/>
      <c r="E104" s="2"/>
      <c r="F104" s="7">
        <f t="shared" si="44"/>
        <v>0</v>
      </c>
      <c r="G104" s="2"/>
      <c r="H104" s="6"/>
      <c r="I104" s="2"/>
      <c r="J104" s="7">
        <f t="shared" si="45"/>
        <v>0</v>
      </c>
      <c r="K104" s="2"/>
      <c r="L104" s="6">
        <f t="shared" si="46"/>
        <v>0</v>
      </c>
      <c r="M104" s="2"/>
      <c r="N104" s="7">
        <f t="shared" si="47"/>
        <v>0</v>
      </c>
      <c r="O104" s="11"/>
      <c r="P104" s="6"/>
      <c r="Q104" s="2"/>
      <c r="R104" s="7">
        <f t="shared" si="48"/>
        <v>0</v>
      </c>
      <c r="S104" s="2"/>
      <c r="T104" s="6">
        <v>750</v>
      </c>
      <c r="U104" s="2"/>
      <c r="V104" s="7">
        <f t="shared" si="49"/>
        <v>1.5897211260329635E-3</v>
      </c>
      <c r="W104" s="2"/>
      <c r="X104" s="6">
        <f t="shared" si="50"/>
        <v>-750</v>
      </c>
      <c r="Y104" s="2"/>
      <c r="Z104" s="7">
        <f t="shared" si="51"/>
        <v>-1</v>
      </c>
    </row>
    <row r="105" spans="1:26" s="26" customFormat="1" outlineLevel="1" collapsed="1" x14ac:dyDescent="0.25">
      <c r="A105" s="27"/>
      <c r="B105" s="13" t="str">
        <f>CONCATENATE("     ","Repair and Maintenance                            ")</f>
        <v xml:space="preserve">     Repair and Maintenance                            </v>
      </c>
      <c r="C105" s="13"/>
      <c r="D105" s="1">
        <f>SUM(OSRRefD22_8x_0)</f>
        <v>0</v>
      </c>
      <c r="E105" s="1"/>
      <c r="F105" s="5">
        <f t="shared" si="44"/>
        <v>0</v>
      </c>
      <c r="G105" s="1"/>
      <c r="H105" s="1">
        <f>SUM(OSRRefH22_8x_0)</f>
        <v>0</v>
      </c>
      <c r="I105" s="1"/>
      <c r="J105" s="5">
        <f t="shared" si="45"/>
        <v>0</v>
      </c>
      <c r="K105" s="1"/>
      <c r="L105" s="1">
        <f t="shared" si="46"/>
        <v>0</v>
      </c>
      <c r="M105" s="1"/>
      <c r="N105" s="5">
        <f t="shared" si="47"/>
        <v>0</v>
      </c>
      <c r="O105" s="13"/>
      <c r="P105" s="1">
        <f>SUM(OSRRefP22_8x_0)</f>
        <v>139.71</v>
      </c>
      <c r="Q105" s="1"/>
      <c r="R105" s="5">
        <f t="shared" si="48"/>
        <v>6.555486319393092E-3</v>
      </c>
      <c r="S105" s="1"/>
      <c r="T105" s="1">
        <f>SUM(OSRRefT22_8x_0)</f>
        <v>68.42</v>
      </c>
      <c r="U105" s="1"/>
      <c r="V105" s="5">
        <f t="shared" si="49"/>
        <v>1.4502495925756715E-4</v>
      </c>
      <c r="W105" s="1"/>
      <c r="X105" s="1">
        <f t="shared" si="50"/>
        <v>71.290000000000006</v>
      </c>
      <c r="Y105" s="1"/>
      <c r="Z105" s="5">
        <f t="shared" si="51"/>
        <v>1.0419467991815259</v>
      </c>
    </row>
    <row r="106" spans="1:26" s="24" customFormat="1" hidden="1" outlineLevel="2" x14ac:dyDescent="0.25">
      <c r="A106" s="25"/>
      <c r="B106" s="11" t="str">
        <f>CONCATENATE("          ", "6373", " - ", "MAINTENANCE CONTRACTS")</f>
        <v xml:space="preserve">          6373 - MAINTENANCE CONTRACTS</v>
      </c>
      <c r="C106" s="11"/>
      <c r="D106" s="6"/>
      <c r="E106" s="2"/>
      <c r="F106" s="7">
        <f t="shared" si="44"/>
        <v>0</v>
      </c>
      <c r="G106" s="2"/>
      <c r="H106" s="6"/>
      <c r="I106" s="2"/>
      <c r="J106" s="7">
        <f t="shared" si="45"/>
        <v>0</v>
      </c>
      <c r="K106" s="2"/>
      <c r="L106" s="6">
        <f t="shared" si="46"/>
        <v>0</v>
      </c>
      <c r="M106" s="2"/>
      <c r="N106" s="7">
        <f t="shared" si="47"/>
        <v>0</v>
      </c>
      <c r="O106" s="11"/>
      <c r="P106" s="6">
        <v>139.71</v>
      </c>
      <c r="Q106" s="2"/>
      <c r="R106" s="7">
        <f t="shared" si="48"/>
        <v>6.555486319393092E-3</v>
      </c>
      <c r="S106" s="2"/>
      <c r="T106" s="6">
        <v>58.62</v>
      </c>
      <c r="U106" s="2"/>
      <c r="V106" s="7">
        <f t="shared" si="49"/>
        <v>1.2425260321073642E-4</v>
      </c>
      <c r="W106" s="2"/>
      <c r="X106" s="6">
        <f t="shared" si="50"/>
        <v>81.09</v>
      </c>
      <c r="Y106" s="2"/>
      <c r="Z106" s="7">
        <f t="shared" si="51"/>
        <v>1.3833162743091096</v>
      </c>
    </row>
    <row r="107" spans="1:26" s="24" customFormat="1" hidden="1" outlineLevel="2" x14ac:dyDescent="0.25">
      <c r="A107" s="25"/>
      <c r="B107" s="11" t="str">
        <f>CONCATENATE("          ", "6375", " - ", "OUTSIDE REPAIRS &amp; MAINTENANCE")</f>
        <v xml:space="preserve">          6375 - OUTSIDE REPAIRS &amp; MAINTENANCE</v>
      </c>
      <c r="C107" s="11"/>
      <c r="D107" s="6"/>
      <c r="E107" s="2"/>
      <c r="F107" s="7">
        <f t="shared" si="44"/>
        <v>0</v>
      </c>
      <c r="G107" s="2"/>
      <c r="H107" s="6"/>
      <c r="I107" s="2"/>
      <c r="J107" s="7">
        <f t="shared" si="45"/>
        <v>0</v>
      </c>
      <c r="K107" s="2"/>
      <c r="L107" s="6">
        <f t="shared" si="46"/>
        <v>0</v>
      </c>
      <c r="M107" s="2"/>
      <c r="N107" s="7">
        <f t="shared" si="47"/>
        <v>0</v>
      </c>
      <c r="O107" s="11"/>
      <c r="P107" s="6"/>
      <c r="Q107" s="2"/>
      <c r="R107" s="7">
        <f t="shared" si="48"/>
        <v>0</v>
      </c>
      <c r="S107" s="2"/>
      <c r="T107" s="6">
        <v>9.8000000000000007</v>
      </c>
      <c r="U107" s="2"/>
      <c r="V107" s="7">
        <f t="shared" si="49"/>
        <v>2.0772356046830725E-5</v>
      </c>
      <c r="W107" s="2"/>
      <c r="X107" s="6">
        <f t="shared" si="50"/>
        <v>-9.8000000000000007</v>
      </c>
      <c r="Y107" s="2"/>
      <c r="Z107" s="7">
        <f t="shared" si="51"/>
        <v>-1</v>
      </c>
    </row>
    <row r="108" spans="1:26" s="26" customFormat="1" outlineLevel="1" collapsed="1" x14ac:dyDescent="0.25">
      <c r="A108" s="27"/>
      <c r="B108" s="13" t="str">
        <f>CONCATENATE("     ","Services                                          ")</f>
        <v xml:space="preserve">     Services                                          </v>
      </c>
      <c r="C108" s="13"/>
      <c r="D108" s="1">
        <f>SUM(OSRRefD22_9x_0)</f>
        <v>44</v>
      </c>
      <c r="E108" s="1"/>
      <c r="F108" s="5">
        <f t="shared" ref="F108:F110" si="52">IF(D$12=0,0,D108/D$12)</f>
        <v>0</v>
      </c>
      <c r="G108" s="1"/>
      <c r="H108" s="1">
        <f>SUM(OSRRefH22_9x_0)</f>
        <v>150.81</v>
      </c>
      <c r="I108" s="1"/>
      <c r="J108" s="5">
        <f t="shared" ref="J108:J110" si="53">IF(H$12=0,0,H108/H$12)</f>
        <v>2.3113387557300701E-3</v>
      </c>
      <c r="K108" s="1"/>
      <c r="L108" s="1">
        <f t="shared" ref="L108:L110" si="54">+D108-H108</f>
        <v>-106.81</v>
      </c>
      <c r="M108" s="1"/>
      <c r="N108" s="5">
        <f t="shared" ref="N108:N110" si="55">IF(H108=0,0,L108/H108)</f>
        <v>-0.70824215900802334</v>
      </c>
      <c r="O108" s="13"/>
      <c r="P108" s="1">
        <f>SUM(OSRRefP22_9x_0)</f>
        <v>18.5</v>
      </c>
      <c r="Q108" s="1"/>
      <c r="R108" s="5">
        <f t="shared" ref="R108:R110" si="56">IF(P$12=0,0,P108/P$12)</f>
        <v>8.6805881403458724E-4</v>
      </c>
      <c r="S108" s="1"/>
      <c r="T108" s="1">
        <f>SUM(OSRRefT22_9x_0)</f>
        <v>1121.03</v>
      </c>
      <c r="U108" s="1"/>
      <c r="V108" s="5">
        <f t="shared" ref="V108:V110" si="57">IF(T$12=0,0,T108/T$12)</f>
        <v>2.3761667652223107E-3</v>
      </c>
      <c r="W108" s="1"/>
      <c r="X108" s="1">
        <f t="shared" ref="X108:X110" si="58">+P108-T108</f>
        <v>-1102.53</v>
      </c>
      <c r="Y108" s="1"/>
      <c r="Z108" s="5">
        <f t="shared" ref="Z108:Z110" si="59">IF(T108=0,0,X108/T108)</f>
        <v>-0.98349731942945329</v>
      </c>
    </row>
    <row r="109" spans="1:26" s="24" customFormat="1" hidden="1" outlineLevel="2" x14ac:dyDescent="0.25">
      <c r="A109" s="25"/>
      <c r="B109" s="11" t="str">
        <f>CONCATENATE("          ", "6282", " - ", "JANITORIAL/EXTERMINATOR EXPENS")</f>
        <v xml:space="preserve">          6282 - JANITORIAL/EXTERMINATOR EXPENS</v>
      </c>
      <c r="C109" s="11"/>
      <c r="D109" s="6">
        <v>44</v>
      </c>
      <c r="E109" s="2"/>
      <c r="F109" s="7">
        <f t="shared" si="52"/>
        <v>0</v>
      </c>
      <c r="G109" s="2"/>
      <c r="H109" s="6">
        <v>44</v>
      </c>
      <c r="I109" s="2"/>
      <c r="J109" s="7">
        <f t="shared" si="53"/>
        <v>6.7435120517288694E-4</v>
      </c>
      <c r="K109" s="2"/>
      <c r="L109" s="6">
        <f t="shared" si="54"/>
        <v>0</v>
      </c>
      <c r="M109" s="2"/>
      <c r="N109" s="7">
        <f t="shared" si="55"/>
        <v>0</v>
      </c>
      <c r="O109" s="11"/>
      <c r="P109" s="6">
        <v>176</v>
      </c>
      <c r="Q109" s="2"/>
      <c r="R109" s="7">
        <f t="shared" si="56"/>
        <v>8.2582892578425601E-3</v>
      </c>
      <c r="S109" s="2"/>
      <c r="T109" s="6">
        <v>220</v>
      </c>
      <c r="U109" s="2"/>
      <c r="V109" s="7">
        <f t="shared" si="57"/>
        <v>4.6631819696966932E-4</v>
      </c>
      <c r="W109" s="2"/>
      <c r="X109" s="6">
        <f t="shared" si="58"/>
        <v>-44</v>
      </c>
      <c r="Y109" s="2"/>
      <c r="Z109" s="7">
        <f t="shared" si="59"/>
        <v>-0.2</v>
      </c>
    </row>
    <row r="110" spans="1:26" s="24" customFormat="1" hidden="1" outlineLevel="2" x14ac:dyDescent="0.25">
      <c r="A110" s="25"/>
      <c r="B110" s="11" t="str">
        <f>CONCATENATE("          ", "6285", " - ", "JANITORIAL SERVICES")</f>
        <v xml:space="preserve">          6285 - JANITORIAL SERVICES</v>
      </c>
      <c r="C110" s="11"/>
      <c r="D110" s="6"/>
      <c r="E110" s="2"/>
      <c r="F110" s="7">
        <f t="shared" si="52"/>
        <v>0</v>
      </c>
      <c r="G110" s="2"/>
      <c r="H110" s="6">
        <v>106.81</v>
      </c>
      <c r="I110" s="2"/>
      <c r="J110" s="7">
        <f t="shared" si="53"/>
        <v>1.6369875505571831E-3</v>
      </c>
      <c r="K110" s="2"/>
      <c r="L110" s="6">
        <f t="shared" si="54"/>
        <v>-106.81</v>
      </c>
      <c r="M110" s="2"/>
      <c r="N110" s="7">
        <f t="shared" si="55"/>
        <v>-1</v>
      </c>
      <c r="O110" s="11"/>
      <c r="P110" s="6">
        <v>-157.5</v>
      </c>
      <c r="Q110" s="2"/>
      <c r="R110" s="7">
        <f t="shared" si="56"/>
        <v>-7.3902304438079732E-3</v>
      </c>
      <c r="S110" s="2"/>
      <c r="T110" s="6">
        <v>901.03</v>
      </c>
      <c r="U110" s="2"/>
      <c r="V110" s="7">
        <f t="shared" si="57"/>
        <v>1.9098485682526416E-3</v>
      </c>
      <c r="W110" s="2"/>
      <c r="X110" s="6">
        <f t="shared" si="58"/>
        <v>-1058.53</v>
      </c>
      <c r="Y110" s="2"/>
      <c r="Z110" s="7">
        <f t="shared" si="59"/>
        <v>-1.1747999511669978</v>
      </c>
    </row>
    <row r="111" spans="1:26" s="26" customFormat="1" outlineLevel="1" collapsed="1" x14ac:dyDescent="0.25">
      <c r="A111" s="27"/>
      <c r="B111" s="13" t="str">
        <f>CONCATENATE("     ","Subscriptions &amp; Dues                              ")</f>
        <v xml:space="preserve">     Subscriptions &amp; Dues                              </v>
      </c>
      <c r="C111" s="13"/>
      <c r="D111" s="1">
        <f>SUM(OSRRefD22_10x_0)</f>
        <v>0</v>
      </c>
      <c r="E111" s="1"/>
      <c r="F111" s="5">
        <f t="shared" ref="F111:F116" si="60">IF(D$12=0,0,D111/D$12)</f>
        <v>0</v>
      </c>
      <c r="G111" s="1"/>
      <c r="H111" s="1">
        <f>SUM(OSRRefH22_10x_0)</f>
        <v>0</v>
      </c>
      <c r="I111" s="1"/>
      <c r="J111" s="5">
        <f t="shared" ref="J111:J116" si="61">IF(H$12=0,0,H111/H$12)</f>
        <v>0</v>
      </c>
      <c r="K111" s="1"/>
      <c r="L111" s="1">
        <f t="shared" ref="L111:L116" si="62">+D111-H111</f>
        <v>0</v>
      </c>
      <c r="M111" s="1"/>
      <c r="N111" s="5">
        <f t="shared" ref="N111:N116" si="63">IF(H111=0,0,L111/H111)</f>
        <v>0</v>
      </c>
      <c r="O111" s="13"/>
      <c r="P111" s="1">
        <f>SUM(OSRRefP22_10x_0)</f>
        <v>0</v>
      </c>
      <c r="Q111" s="1"/>
      <c r="R111" s="5">
        <f t="shared" ref="R111:R116" si="64">IF(P$12=0,0,P111/P$12)</f>
        <v>0</v>
      </c>
      <c r="S111" s="1"/>
      <c r="T111" s="1">
        <f>SUM(OSRRefT22_10x_0)</f>
        <v>120</v>
      </c>
      <c r="U111" s="1"/>
      <c r="V111" s="5">
        <f t="shared" ref="V111:V116" si="65">IF(T$12=0,0,T111/T$12)</f>
        <v>2.5435538016527415E-4</v>
      </c>
      <c r="W111" s="1"/>
      <c r="X111" s="1">
        <f t="shared" ref="X111:X116" si="66">+P111-T111</f>
        <v>-120</v>
      </c>
      <c r="Y111" s="1"/>
      <c r="Z111" s="5">
        <f t="shared" ref="Z111:Z116" si="67">IF(T111=0,0,X111/T111)</f>
        <v>-1</v>
      </c>
    </row>
    <row r="112" spans="1:26" s="24" customFormat="1" hidden="1" outlineLevel="2" x14ac:dyDescent="0.25">
      <c r="A112" s="25"/>
      <c r="B112" s="11" t="str">
        <f>CONCATENATE("          ", "6258", " - ", "MEMBERSHIP DUES")</f>
        <v xml:space="preserve">          6258 - MEMBERSHIP DUES</v>
      </c>
      <c r="C112" s="11"/>
      <c r="D112" s="6"/>
      <c r="E112" s="2"/>
      <c r="F112" s="7">
        <f t="shared" si="60"/>
        <v>0</v>
      </c>
      <c r="G112" s="2"/>
      <c r="H112" s="6"/>
      <c r="I112" s="2"/>
      <c r="J112" s="7">
        <f t="shared" si="61"/>
        <v>0</v>
      </c>
      <c r="K112" s="2"/>
      <c r="L112" s="6">
        <f t="shared" si="62"/>
        <v>0</v>
      </c>
      <c r="M112" s="2"/>
      <c r="N112" s="7">
        <f t="shared" si="63"/>
        <v>0</v>
      </c>
      <c r="O112" s="11"/>
      <c r="P112" s="6"/>
      <c r="Q112" s="2"/>
      <c r="R112" s="7">
        <f t="shared" si="64"/>
        <v>0</v>
      </c>
      <c r="S112" s="2"/>
      <c r="T112" s="6">
        <v>120</v>
      </c>
      <c r="U112" s="2"/>
      <c r="V112" s="7">
        <f t="shared" si="65"/>
        <v>2.5435538016527415E-4</v>
      </c>
      <c r="W112" s="2"/>
      <c r="X112" s="6">
        <f t="shared" si="66"/>
        <v>-120</v>
      </c>
      <c r="Y112" s="2"/>
      <c r="Z112" s="7">
        <f t="shared" si="67"/>
        <v>-1</v>
      </c>
    </row>
    <row r="113" spans="1:26" s="26" customFormat="1" outlineLevel="1" collapsed="1" x14ac:dyDescent="0.25">
      <c r="A113" s="27"/>
      <c r="B113" s="13" t="str">
        <f>CONCATENATE("     ","Supplies                                          ")</f>
        <v xml:space="preserve">     Supplies                                          </v>
      </c>
      <c r="C113" s="13"/>
      <c r="D113" s="1">
        <f>SUM(OSRRefD22_11x_0)</f>
        <v>0</v>
      </c>
      <c r="E113" s="1"/>
      <c r="F113" s="5">
        <f t="shared" si="60"/>
        <v>0</v>
      </c>
      <c r="G113" s="1"/>
      <c r="H113" s="1">
        <f>SUM(OSRRefH22_11x_0)</f>
        <v>430.61</v>
      </c>
      <c r="I113" s="1"/>
      <c r="J113" s="5">
        <f t="shared" si="61"/>
        <v>6.5995993740794734E-3</v>
      </c>
      <c r="K113" s="1"/>
      <c r="L113" s="1">
        <f t="shared" si="62"/>
        <v>-430.61</v>
      </c>
      <c r="M113" s="1"/>
      <c r="N113" s="5">
        <f t="shared" si="63"/>
        <v>-1</v>
      </c>
      <c r="O113" s="13"/>
      <c r="P113" s="1">
        <f>SUM(OSRRefP22_11x_0)</f>
        <v>1892.27</v>
      </c>
      <c r="Q113" s="1"/>
      <c r="R113" s="5">
        <f t="shared" si="64"/>
        <v>8.8789278488282622E-2</v>
      </c>
      <c r="S113" s="1"/>
      <c r="T113" s="1">
        <f>SUM(OSRRefT22_11x_0)</f>
        <v>1220.01</v>
      </c>
      <c r="U113" s="1"/>
      <c r="V113" s="5">
        <f t="shared" si="65"/>
        <v>2.5859675612953013E-3</v>
      </c>
      <c r="W113" s="1"/>
      <c r="X113" s="1">
        <f t="shared" si="66"/>
        <v>672.26</v>
      </c>
      <c r="Y113" s="1"/>
      <c r="Z113" s="5">
        <f t="shared" si="67"/>
        <v>0.55102827026007983</v>
      </c>
    </row>
    <row r="114" spans="1:26" s="24" customFormat="1" hidden="1" outlineLevel="2" x14ac:dyDescent="0.25">
      <c r="A114" s="25"/>
      <c r="B114" s="11" t="str">
        <f>CONCATENATE("          ", "6235", " - ", "COVID-19 EXPENSES")</f>
        <v xml:space="preserve">          6235 - COVID-19 EXPENSES</v>
      </c>
      <c r="C114" s="11"/>
      <c r="D114" s="6"/>
      <c r="E114" s="2"/>
      <c r="F114" s="7">
        <f t="shared" si="60"/>
        <v>0</v>
      </c>
      <c r="G114" s="2"/>
      <c r="H114" s="6"/>
      <c r="I114" s="2"/>
      <c r="J114" s="7">
        <f t="shared" si="61"/>
        <v>0</v>
      </c>
      <c r="K114" s="2"/>
      <c r="L114" s="6">
        <f t="shared" si="62"/>
        <v>0</v>
      </c>
      <c r="M114" s="2"/>
      <c r="N114" s="7">
        <f t="shared" si="63"/>
        <v>0</v>
      </c>
      <c r="O114" s="11"/>
      <c r="P114" s="6">
        <v>444.3</v>
      </c>
      <c r="Q114" s="2"/>
      <c r="R114" s="7">
        <f t="shared" si="64"/>
        <v>2.0847488166246871E-2</v>
      </c>
      <c r="S114" s="2"/>
      <c r="T114" s="6"/>
      <c r="U114" s="2"/>
      <c r="V114" s="7">
        <f t="shared" si="65"/>
        <v>0</v>
      </c>
      <c r="W114" s="2"/>
      <c r="X114" s="6">
        <f t="shared" si="66"/>
        <v>444.3</v>
      </c>
      <c r="Y114" s="2"/>
      <c r="Z114" s="7">
        <f t="shared" si="67"/>
        <v>0</v>
      </c>
    </row>
    <row r="115" spans="1:26" s="24" customFormat="1" hidden="1" outlineLevel="2" x14ac:dyDescent="0.25">
      <c r="A115" s="25"/>
      <c r="B115" s="11" t="str">
        <f>CONCATENATE("          ", "6241", " - ", "OFFICE EXPENSE")</f>
        <v xml:space="preserve">          6241 - OFFICE EXPENSE</v>
      </c>
      <c r="C115" s="11"/>
      <c r="D115" s="6"/>
      <c r="E115" s="2"/>
      <c r="F115" s="7">
        <f t="shared" si="60"/>
        <v>0</v>
      </c>
      <c r="G115" s="2"/>
      <c r="H115" s="6">
        <v>430.61</v>
      </c>
      <c r="I115" s="2"/>
      <c r="J115" s="7">
        <f t="shared" si="61"/>
        <v>6.5995993740794734E-3</v>
      </c>
      <c r="K115" s="2"/>
      <c r="L115" s="6">
        <f t="shared" si="62"/>
        <v>-430.61</v>
      </c>
      <c r="M115" s="2"/>
      <c r="N115" s="7">
        <f t="shared" si="63"/>
        <v>-1</v>
      </c>
      <c r="O115" s="11"/>
      <c r="P115" s="6">
        <v>225.24</v>
      </c>
      <c r="Q115" s="2"/>
      <c r="R115" s="7">
        <f t="shared" si="64"/>
        <v>1.056873336611624E-2</v>
      </c>
      <c r="S115" s="2"/>
      <c r="T115" s="6">
        <v>1220.1099999999999</v>
      </c>
      <c r="U115" s="2"/>
      <c r="V115" s="7">
        <f t="shared" si="65"/>
        <v>2.5861795241121054E-3</v>
      </c>
      <c r="W115" s="2"/>
      <c r="X115" s="6">
        <f t="shared" si="66"/>
        <v>-994.86999999999989</v>
      </c>
      <c r="Y115" s="2"/>
      <c r="Z115" s="7">
        <f t="shared" si="67"/>
        <v>-0.81539369401119566</v>
      </c>
    </row>
    <row r="116" spans="1:26" s="24" customFormat="1" hidden="1" outlineLevel="2" x14ac:dyDescent="0.25">
      <c r="A116" s="25"/>
      <c r="B116" s="11" t="str">
        <f>CONCATENATE("          ", "6247", " - ", "STORE SUPPLIES")</f>
        <v xml:space="preserve">          6247 - STORE SUPPLIES</v>
      </c>
      <c r="C116" s="11"/>
      <c r="D116" s="6"/>
      <c r="E116" s="2"/>
      <c r="F116" s="7">
        <f t="shared" si="60"/>
        <v>0</v>
      </c>
      <c r="G116" s="2"/>
      <c r="H116" s="6"/>
      <c r="I116" s="2"/>
      <c r="J116" s="7">
        <f t="shared" si="61"/>
        <v>0</v>
      </c>
      <c r="K116" s="2"/>
      <c r="L116" s="6">
        <f t="shared" si="62"/>
        <v>0</v>
      </c>
      <c r="M116" s="2"/>
      <c r="N116" s="7">
        <f t="shared" si="63"/>
        <v>0</v>
      </c>
      <c r="O116" s="11"/>
      <c r="P116" s="6">
        <v>1222.73</v>
      </c>
      <c r="Q116" s="2"/>
      <c r="R116" s="7">
        <f t="shared" si="64"/>
        <v>5.7373056955919509E-2</v>
      </c>
      <c r="S116" s="2"/>
      <c r="T116" s="6">
        <v>-0.1</v>
      </c>
      <c r="U116" s="2"/>
      <c r="V116" s="7">
        <f t="shared" si="65"/>
        <v>-2.1196281680439516E-7</v>
      </c>
      <c r="W116" s="2"/>
      <c r="X116" s="6">
        <f t="shared" si="66"/>
        <v>1222.83</v>
      </c>
      <c r="Y116" s="2"/>
      <c r="Z116" s="7">
        <f t="shared" si="67"/>
        <v>-12228.3</v>
      </c>
    </row>
    <row r="117" spans="1:26" s="26" customFormat="1" outlineLevel="1" collapsed="1" x14ac:dyDescent="0.25">
      <c r="A117" s="27"/>
      <c r="B117" s="13" t="str">
        <f>CONCATENATE("     ","Telephone/Data Lines                              ")</f>
        <v xml:space="preserve">     Telephone/Data Lines                              </v>
      </c>
      <c r="C117" s="13"/>
      <c r="D117" s="1">
        <f>SUM(OSRRefD22_12x_0)</f>
        <v>53.15</v>
      </c>
      <c r="E117" s="1"/>
      <c r="F117" s="5">
        <f t="shared" ref="F117:F120" si="68">IF(D$12=0,0,D117/D$12)</f>
        <v>0</v>
      </c>
      <c r="G117" s="1"/>
      <c r="H117" s="1">
        <f>SUM(OSRRefH22_12x_0)</f>
        <v>98.74</v>
      </c>
      <c r="I117" s="1"/>
      <c r="J117" s="5">
        <f t="shared" ref="J117:J120" si="69">IF(H$12=0,0,H117/H$12)</f>
        <v>1.513305409062974E-3</v>
      </c>
      <c r="K117" s="1"/>
      <c r="L117" s="1">
        <f t="shared" ref="L117:L120" si="70">+D117-H117</f>
        <v>-45.589999999999996</v>
      </c>
      <c r="M117" s="1"/>
      <c r="N117" s="5">
        <f t="shared" ref="N117:N120" si="71">IF(H117=0,0,L117/H117)</f>
        <v>-0.46171764229289042</v>
      </c>
      <c r="O117" s="13"/>
      <c r="P117" s="1">
        <f>SUM(OSRRefP22_12x_0)</f>
        <v>313.05</v>
      </c>
      <c r="Q117" s="1"/>
      <c r="R117" s="5">
        <f t="shared" ref="R117:R120" si="72">IF(P$12=0,0,P117/P$12)</f>
        <v>1.4688962796406895E-2</v>
      </c>
      <c r="S117" s="1"/>
      <c r="T117" s="1">
        <f>SUM(OSRRefT22_12x_0)</f>
        <v>488.73</v>
      </c>
      <c r="U117" s="1"/>
      <c r="V117" s="5">
        <f t="shared" ref="V117:V120" si="73">IF(T$12=0,0,T117/T$12)</f>
        <v>1.0359258745681204E-3</v>
      </c>
      <c r="W117" s="1"/>
      <c r="X117" s="1">
        <f t="shared" ref="X117:X120" si="74">+P117-T117</f>
        <v>-175.68</v>
      </c>
      <c r="Y117" s="1"/>
      <c r="Z117" s="5">
        <f t="shared" ref="Z117:Z120" si="75">IF(T117=0,0,X117/T117)</f>
        <v>-0.35946227978638512</v>
      </c>
    </row>
    <row r="118" spans="1:26" s="24" customFormat="1" hidden="1" outlineLevel="2" x14ac:dyDescent="0.25">
      <c r="A118" s="25"/>
      <c r="B118" s="11" t="str">
        <f>CONCATENATE("          ", "6309", " - ", "TELEPHONE")</f>
        <v xml:space="preserve">          6309 - TELEPHONE</v>
      </c>
      <c r="C118" s="11"/>
      <c r="D118" s="6">
        <v>53.15</v>
      </c>
      <c r="E118" s="2"/>
      <c r="F118" s="7">
        <f t="shared" si="68"/>
        <v>0</v>
      </c>
      <c r="G118" s="2"/>
      <c r="H118" s="6">
        <v>98.74</v>
      </c>
      <c r="I118" s="2"/>
      <c r="J118" s="7">
        <f t="shared" si="69"/>
        <v>1.513305409062974E-3</v>
      </c>
      <c r="K118" s="2"/>
      <c r="L118" s="6">
        <f t="shared" si="70"/>
        <v>-45.589999999999996</v>
      </c>
      <c r="M118" s="2"/>
      <c r="N118" s="7">
        <f t="shared" si="71"/>
        <v>-0.46171764229289042</v>
      </c>
      <c r="O118" s="11"/>
      <c r="P118" s="6">
        <v>313.05</v>
      </c>
      <c r="Q118" s="2"/>
      <c r="R118" s="7">
        <f t="shared" si="72"/>
        <v>1.4688962796406895E-2</v>
      </c>
      <c r="S118" s="2"/>
      <c r="T118" s="6">
        <v>488.73</v>
      </c>
      <c r="U118" s="2"/>
      <c r="V118" s="7">
        <f t="shared" si="73"/>
        <v>1.0359258745681204E-3</v>
      </c>
      <c r="W118" s="2"/>
      <c r="X118" s="6">
        <f t="shared" si="74"/>
        <v>-175.68</v>
      </c>
      <c r="Y118" s="2"/>
      <c r="Z118" s="7">
        <f t="shared" si="75"/>
        <v>-0.35946227978638512</v>
      </c>
    </row>
    <row r="119" spans="1:26" s="26" customFormat="1" outlineLevel="1" collapsed="1" x14ac:dyDescent="0.25">
      <c r="A119" s="27"/>
      <c r="B119" s="13" t="str">
        <f>CONCATENATE("     ","Training                                          ")</f>
        <v xml:space="preserve">     Training                                          </v>
      </c>
      <c r="C119" s="13"/>
      <c r="D119" s="1">
        <f>SUM(OSRRefD22_13x_0)</f>
        <v>0</v>
      </c>
      <c r="E119" s="1"/>
      <c r="F119" s="5">
        <f t="shared" si="68"/>
        <v>0</v>
      </c>
      <c r="G119" s="1"/>
      <c r="H119" s="1">
        <f>SUM(OSRRefH22_13x_0)</f>
        <v>0</v>
      </c>
      <c r="I119" s="1"/>
      <c r="J119" s="5">
        <f t="shared" si="69"/>
        <v>0</v>
      </c>
      <c r="K119" s="1"/>
      <c r="L119" s="1">
        <f t="shared" si="70"/>
        <v>0</v>
      </c>
      <c r="M119" s="1"/>
      <c r="N119" s="5">
        <f t="shared" si="71"/>
        <v>0</v>
      </c>
      <c r="O119" s="13"/>
      <c r="P119" s="1">
        <f>SUM(OSRRefP22_13x_0)</f>
        <v>14</v>
      </c>
      <c r="Q119" s="1"/>
      <c r="R119" s="5">
        <f t="shared" si="72"/>
        <v>6.5690937278293094E-4</v>
      </c>
      <c r="S119" s="1"/>
      <c r="T119" s="1">
        <f>SUM(OSRRefT22_13x_0)</f>
        <v>80</v>
      </c>
      <c r="U119" s="1"/>
      <c r="V119" s="5">
        <f t="shared" si="73"/>
        <v>1.6957025344351611E-4</v>
      </c>
      <c r="W119" s="1"/>
      <c r="X119" s="1">
        <f t="shared" si="74"/>
        <v>-66</v>
      </c>
      <c r="Y119" s="1"/>
      <c r="Z119" s="5">
        <f t="shared" si="75"/>
        <v>-0.82499999999999996</v>
      </c>
    </row>
    <row r="120" spans="1:26" s="24" customFormat="1" hidden="1" outlineLevel="2" x14ac:dyDescent="0.25">
      <c r="A120" s="25"/>
      <c r="B120" s="11" t="str">
        <f>CONCATENATE("          ", "6376", " - ", "TRAINING")</f>
        <v xml:space="preserve">          6376 - TRAINING</v>
      </c>
      <c r="C120" s="11"/>
      <c r="D120" s="6"/>
      <c r="E120" s="2"/>
      <c r="F120" s="7">
        <f t="shared" si="68"/>
        <v>0</v>
      </c>
      <c r="G120" s="2"/>
      <c r="H120" s="6"/>
      <c r="I120" s="2"/>
      <c r="J120" s="7">
        <f t="shared" si="69"/>
        <v>0</v>
      </c>
      <c r="K120" s="2"/>
      <c r="L120" s="6">
        <f t="shared" si="70"/>
        <v>0</v>
      </c>
      <c r="M120" s="2"/>
      <c r="N120" s="7">
        <f t="shared" si="71"/>
        <v>0</v>
      </c>
      <c r="O120" s="11"/>
      <c r="P120" s="6">
        <v>14</v>
      </c>
      <c r="Q120" s="2"/>
      <c r="R120" s="7">
        <f t="shared" si="72"/>
        <v>6.5690937278293094E-4</v>
      </c>
      <c r="S120" s="2"/>
      <c r="T120" s="6">
        <v>80</v>
      </c>
      <c r="U120" s="2"/>
      <c r="V120" s="7">
        <f t="shared" si="73"/>
        <v>1.6957025344351611E-4</v>
      </c>
      <c r="W120" s="2"/>
      <c r="X120" s="6">
        <f t="shared" si="74"/>
        <v>-66</v>
      </c>
      <c r="Y120" s="2"/>
      <c r="Z120" s="7">
        <f t="shared" si="75"/>
        <v>-0.82499999999999996</v>
      </c>
    </row>
    <row r="121" spans="1:26" s="53" customFormat="1" x14ac:dyDescent="0.25">
      <c r="A121" s="37"/>
      <c r="B121" s="37"/>
      <c r="C121" s="37"/>
      <c r="D121" s="1"/>
      <c r="E121" s="1"/>
      <c r="F121" s="5"/>
      <c r="G121" s="1"/>
      <c r="H121" s="1"/>
      <c r="I121" s="1"/>
      <c r="J121" s="5"/>
      <c r="K121" s="1"/>
      <c r="L121" s="1"/>
      <c r="M121" s="1"/>
      <c r="N121" s="5"/>
      <c r="O121" s="37"/>
      <c r="P121" s="1"/>
      <c r="Q121" s="1"/>
      <c r="R121" s="5"/>
      <c r="S121" s="1"/>
      <c r="T121" s="1"/>
      <c r="U121" s="1"/>
      <c r="V121" s="5"/>
      <c r="W121" s="1"/>
      <c r="X121" s="1"/>
      <c r="Y121" s="1"/>
      <c r="Z121" s="5"/>
    </row>
    <row r="122" spans="1:26" s="23" customFormat="1" x14ac:dyDescent="0.25">
      <c r="A122" s="10"/>
      <c r="B122" s="29" t="s">
        <v>0</v>
      </c>
      <c r="C122" s="10"/>
      <c r="D122" s="4">
        <f>SUM(0)</f>
        <v>0</v>
      </c>
      <c r="E122" s="4"/>
      <c r="F122" s="12">
        <f>IF(D$12=0,0,D122/D$12)</f>
        <v>0</v>
      </c>
      <c r="G122" s="4"/>
      <c r="H122" s="4">
        <f>SUM(0)</f>
        <v>0</v>
      </c>
      <c r="I122" s="4"/>
      <c r="J122" s="12">
        <f>IF(H$12=0,0,H122/H$12)</f>
        <v>0</v>
      </c>
      <c r="K122" s="4"/>
      <c r="L122" s="4">
        <f>+D122-H122</f>
        <v>0</v>
      </c>
      <c r="M122" s="4"/>
      <c r="N122" s="12">
        <f>IF(H122=0,0,L122/H122)</f>
        <v>0</v>
      </c>
      <c r="O122" s="10"/>
      <c r="P122" s="4">
        <f>SUM(0)</f>
        <v>0</v>
      </c>
      <c r="Q122" s="4"/>
      <c r="R122" s="12">
        <f>IF(P$12=0,0,P122/P$12)</f>
        <v>0</v>
      </c>
      <c r="S122" s="4"/>
      <c r="T122" s="4">
        <f>SUM(0)</f>
        <v>0</v>
      </c>
      <c r="U122" s="4"/>
      <c r="V122" s="12">
        <f>IF(T$12=0,0,T122/T$12)</f>
        <v>0</v>
      </c>
      <c r="W122" s="4"/>
      <c r="X122" s="4">
        <f>+P122-T122</f>
        <v>0</v>
      </c>
      <c r="Y122" s="4"/>
      <c r="Z122" s="12">
        <f>IF(T122=0,0,X122/T122)</f>
        <v>0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10"/>
      <c r="B124" s="28" t="s">
        <v>3</v>
      </c>
      <c r="C124" s="28"/>
      <c r="D124" s="20">
        <f>+D74-D76+D122</f>
        <v>-553.19000000000005</v>
      </c>
      <c r="E124" s="14"/>
      <c r="F124" s="22">
        <f>IF(D$12=0,0,D124/D$12)</f>
        <v>0</v>
      </c>
      <c r="G124" s="14"/>
      <c r="H124" s="20">
        <f>+H74-H76+H122</f>
        <v>7755.0100000000057</v>
      </c>
      <c r="I124" s="14"/>
      <c r="J124" s="22">
        <f>IF(H$12=0,0,H124/H$12)</f>
        <v>0.11885455317335894</v>
      </c>
      <c r="K124" s="15"/>
      <c r="L124" s="20">
        <f>+D124-H124</f>
        <v>-8308.2000000000062</v>
      </c>
      <c r="M124" s="15"/>
      <c r="N124" s="22">
        <f>IF(H124=0,0,L124/H124)</f>
        <v>-1.0713332413497856</v>
      </c>
      <c r="O124" s="29"/>
      <c r="P124" s="20">
        <f>+P74-P76+P122</f>
        <v>-5042.3799999999901</v>
      </c>
      <c r="Q124" s="14"/>
      <c r="R124" s="22">
        <f>IF(P$12=0,0,P124/P$12)</f>
        <v>-0.23659904879522778</v>
      </c>
      <c r="S124" s="14"/>
      <c r="T124" s="20">
        <f>+T74-T76+T122</f>
        <v>125986.65000000011</v>
      </c>
      <c r="U124" s="14"/>
      <c r="V124" s="22">
        <f>IF(T$12=0,0,T124/T$12)</f>
        <v>0.26704485213749474</v>
      </c>
      <c r="W124" s="15"/>
      <c r="X124" s="20">
        <f>+P124-T124</f>
        <v>-131029.0300000001</v>
      </c>
      <c r="Y124" s="15"/>
      <c r="Z124" s="22">
        <f>IF(T124=0,0,X124/T124)</f>
        <v>-1.0400231294347455</v>
      </c>
    </row>
    <row r="125" spans="1:26" x14ac:dyDescent="0.25">
      <c r="A125" s="9"/>
      <c r="B125" s="10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51"/>
      <c r="B126" s="10" t="s">
        <v>13</v>
      </c>
      <c r="C126" s="10"/>
      <c r="D126" s="4">
        <v>-1230.1600000000001</v>
      </c>
      <c r="E126" s="4"/>
      <c r="F126" s="12">
        <f>IF(D$12=0,0,D126/D$12)</f>
        <v>0</v>
      </c>
      <c r="G126" s="4"/>
      <c r="H126" s="4">
        <v>9035.75</v>
      </c>
      <c r="I126" s="4"/>
      <c r="J126" s="12">
        <f>IF(H$12=0,0,H126/H$12)</f>
        <v>0.13848338413956621</v>
      </c>
      <c r="K126" s="4"/>
      <c r="L126" s="4">
        <f>+D126-H126</f>
        <v>-10265.91</v>
      </c>
      <c r="M126" s="4"/>
      <c r="N126" s="12">
        <f>IF(H126=0,0,L126/H126)</f>
        <v>-1.1361436516061201</v>
      </c>
      <c r="O126" s="10"/>
      <c r="P126" s="4">
        <v>3386.46</v>
      </c>
      <c r="Q126" s="4"/>
      <c r="R126" s="12">
        <f>IF(P$12=0,0,P126/P$12)</f>
        <v>0.15889980818246316</v>
      </c>
      <c r="S126" s="4"/>
      <c r="T126" s="4">
        <v>49958.400000000001</v>
      </c>
      <c r="U126" s="4"/>
      <c r="V126" s="12">
        <f>IF(T$12=0,0,T126/T$12)</f>
        <v>0.10589323187040695</v>
      </c>
      <c r="W126" s="4"/>
      <c r="X126" s="4">
        <f>+P126-T126</f>
        <v>-46571.94</v>
      </c>
      <c r="Y126" s="4"/>
      <c r="Z126" s="12">
        <f>IF(T126=0,0,X126/T126)</f>
        <v>-0.93221440238278253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8" t="s">
        <v>4</v>
      </c>
      <c r="C128" s="28"/>
      <c r="D128" s="31">
        <f>+D124-D126</f>
        <v>676.97</v>
      </c>
      <c r="E128" s="14"/>
      <c r="F128" s="34">
        <f>IF(D$12=0,0,D128/D$12)</f>
        <v>0</v>
      </c>
      <c r="G128" s="14"/>
      <c r="H128" s="31">
        <f>+H124-H126</f>
        <v>-1280.7399999999943</v>
      </c>
      <c r="I128" s="14"/>
      <c r="J128" s="34">
        <f>IF(H$12=0,0,H128/H$12)</f>
        <v>-1.962883096620726E-2</v>
      </c>
      <c r="K128" s="15"/>
      <c r="L128" s="31">
        <f>D128-H128</f>
        <v>1957.7099999999944</v>
      </c>
      <c r="M128" s="15"/>
      <c r="N128" s="34">
        <f>IF(H128=0,0,L128/H128)</f>
        <v>-1.5285772287896084</v>
      </c>
      <c r="O128" s="29"/>
      <c r="P128" s="31">
        <f>+P124-P126</f>
        <v>-8428.8399999999892</v>
      </c>
      <c r="Q128" s="14"/>
      <c r="R128" s="34">
        <f>IF(P$12=0,0,P128/P$12)</f>
        <v>-0.39549885697769088</v>
      </c>
      <c r="S128" s="14"/>
      <c r="T128" s="31">
        <f>+T124-T126</f>
        <v>76028.250000000116</v>
      </c>
      <c r="U128" s="14"/>
      <c r="V128" s="34">
        <f>IF(T$12=0,0,T128/T$12)</f>
        <v>0.16115162026708779</v>
      </c>
      <c r="W128" s="15"/>
      <c r="X128" s="31">
        <f>P128-T128</f>
        <v>-84457.090000000113</v>
      </c>
      <c r="Y128" s="15"/>
      <c r="Z128" s="34">
        <f>IF(T128=0,0,X128/T128)</f>
        <v>-1.1108645799423238</v>
      </c>
    </row>
    <row r="129" spans="1:26" ht="15.75" thickTop="1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8" t="s">
        <v>5</v>
      </c>
      <c r="C131" s="28"/>
      <c r="D131" s="32">
        <f>SUM(D128:D130)</f>
        <v>676.97</v>
      </c>
      <c r="E131" s="14"/>
      <c r="F131" s="30">
        <f>IF(D$12=0,0,D131/D$12)</f>
        <v>0</v>
      </c>
      <c r="G131" s="14"/>
      <c r="H131" s="32">
        <f>SUM(H128:H130)</f>
        <v>-1280.7399999999943</v>
      </c>
      <c r="I131" s="14"/>
      <c r="J131" s="30">
        <f>IF(H$12=0,0,H131/H$12)</f>
        <v>-1.962883096620726E-2</v>
      </c>
      <c r="K131" s="15"/>
      <c r="L131" s="32">
        <f>+D131-H131</f>
        <v>1957.7099999999944</v>
      </c>
      <c r="M131" s="15"/>
      <c r="N131" s="30">
        <f>IF(H131=0,0,L131/H131)</f>
        <v>-1.5285772287896084</v>
      </c>
      <c r="O131" s="29"/>
      <c r="P131" s="32">
        <f>SUM(P128:P130)</f>
        <v>-8428.8399999999892</v>
      </c>
      <c r="Q131" s="14"/>
      <c r="R131" s="30">
        <f>IF(P$12=0,0,P131/P$12)</f>
        <v>-0.39549885697769088</v>
      </c>
      <c r="S131" s="14"/>
      <c r="T131" s="32">
        <f>SUM(T128:T130)</f>
        <v>76028.250000000116</v>
      </c>
      <c r="U131" s="14"/>
      <c r="V131" s="30">
        <f>IF(T$12=0,0,T131/T$12)</f>
        <v>0.16115162026708779</v>
      </c>
      <c r="W131" s="15"/>
      <c r="X131" s="32">
        <f>+P131-T131</f>
        <v>-84457.090000000113</v>
      </c>
      <c r="Y131" s="15"/>
      <c r="Z131" s="30">
        <f>IF(T131=0,0,X131/T131)</f>
        <v>-1.1108645799423238</v>
      </c>
    </row>
    <row r="132" spans="1:26" ht="15.75" thickTop="1" x14ac:dyDescent="0.25">
      <c r="A132" s="9"/>
      <c r="C132" s="9"/>
      <c r="D132" s="17"/>
      <c r="E132" s="17"/>
      <c r="G132" s="17"/>
      <c r="H132" s="17"/>
      <c r="I132" s="17"/>
      <c r="J132" s="43"/>
      <c r="K132" s="17"/>
      <c r="L132" s="17"/>
      <c r="M132" s="17"/>
      <c r="P132" s="17"/>
      <c r="Q132" s="17"/>
      <c r="R132" s="43"/>
      <c r="S132" s="17"/>
      <c r="T132" s="17"/>
      <c r="U132" s="17"/>
      <c r="V132" s="43"/>
      <c r="W132" s="17"/>
      <c r="X132" s="17"/>
    </row>
    <row r="133" spans="1:26" x14ac:dyDescent="0.25">
      <c r="A133" s="9"/>
      <c r="B133" s="54">
        <v>44174.685121527778</v>
      </c>
      <c r="D133" s="17"/>
      <c r="E133" s="17"/>
      <c r="G133" s="17"/>
      <c r="H133" s="17"/>
      <c r="I133" s="17"/>
      <c r="J133" s="43"/>
      <c r="K133" s="17"/>
      <c r="L133" s="17"/>
      <c r="M133" s="17"/>
      <c r="P133" s="17"/>
      <c r="Q133" s="17"/>
      <c r="R133" s="43"/>
      <c r="S133" s="17"/>
      <c r="T133" s="17"/>
      <c r="U133" s="17"/>
      <c r="V133" s="43"/>
      <c r="W133" s="17"/>
      <c r="X133" s="17"/>
    </row>
    <row r="134" spans="1:26" x14ac:dyDescent="0.25">
      <c r="A134" s="9"/>
      <c r="B134" s="56" t="s">
        <v>313</v>
      </c>
      <c r="D134" s="17"/>
      <c r="E134" s="17"/>
      <c r="G134" s="17"/>
      <c r="H134" s="17"/>
      <c r="I134" s="17"/>
      <c r="J134" s="43"/>
      <c r="K134" s="17"/>
      <c r="L134" s="17"/>
      <c r="M134" s="17"/>
      <c r="P134" s="17"/>
      <c r="Q134" s="17"/>
      <c r="R134" s="43"/>
      <c r="S134" s="17"/>
      <c r="T134" s="17"/>
      <c r="U134" s="17"/>
      <c r="V134" s="43"/>
      <c r="W134" s="17"/>
      <c r="X134" s="17"/>
    </row>
    <row r="135" spans="1:26" x14ac:dyDescent="0.25">
      <c r="A135" s="9"/>
      <c r="B135" s="61"/>
      <c r="D135" s="17"/>
      <c r="E135" s="17"/>
      <c r="G135" s="17"/>
      <c r="H135" s="17"/>
      <c r="I135" s="17"/>
      <c r="J135" s="43"/>
      <c r="K135" s="17"/>
      <c r="L135" s="17"/>
      <c r="M135" s="17"/>
      <c r="P135" s="17"/>
      <c r="Q135" s="17"/>
      <c r="R135" s="43"/>
      <c r="S135" s="17"/>
      <c r="T135" s="17"/>
      <c r="U135" s="17"/>
      <c r="V135" s="43"/>
      <c r="W135" s="17"/>
      <c r="X135" s="17"/>
    </row>
    <row r="136" spans="1:26" x14ac:dyDescent="0.25">
      <c r="D136" s="17"/>
      <c r="E136" s="17"/>
      <c r="G136" s="17"/>
      <c r="H136" s="17"/>
      <c r="I136" s="17"/>
      <c r="J136" s="43"/>
      <c r="K136" s="17"/>
      <c r="L136" s="17"/>
      <c r="M136" s="17"/>
      <c r="P136" s="17"/>
      <c r="Q136" s="17"/>
      <c r="R136" s="43"/>
      <c r="S136" s="17"/>
      <c r="T136" s="17"/>
      <c r="U136" s="17"/>
      <c r="V136" s="43"/>
      <c r="W136" s="17"/>
      <c r="X136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","307", " - ", "Art Store")</f>
        <v>Department 307 - Art Store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46007.89</v>
      </c>
      <c r="I12" s="4"/>
      <c r="J12" s="12"/>
      <c r="K12" s="4"/>
      <c r="L12" s="4">
        <f t="shared" ref="L12:L42" si="0">+D12-H12</f>
        <v>-46007.89</v>
      </c>
      <c r="M12" s="4"/>
      <c r="N12" s="12">
        <f t="shared" ref="N12:N42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247120.5</v>
      </c>
      <c r="U12" s="4"/>
      <c r="V12" s="12"/>
      <c r="W12" s="4"/>
      <c r="X12" s="4">
        <f t="shared" ref="X12:X42" si="2">+P12-T12</f>
        <v>-225808.58000000002</v>
      </c>
      <c r="Y12" s="4"/>
      <c r="Z12" s="12">
        <f t="shared" ref="Z12:Z42" si="3">IF(T12=0,0,X12/T12)</f>
        <v>-0.91375899611727884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42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-1096.44</f>
        <v>-1096.44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>
        <f>--5.49</f>
        <v>5.49</v>
      </c>
      <c r="I14" s="2"/>
      <c r="J14" s="19"/>
      <c r="K14" s="2"/>
      <c r="L14" s="2">
        <f t="shared" si="0"/>
        <v>-5.49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--21.96</f>
        <v>21.96</v>
      </c>
      <c r="U14" s="2"/>
      <c r="V14" s="19"/>
      <c r="W14" s="2"/>
      <c r="X14" s="2">
        <f t="shared" si="2"/>
        <v>-21.96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 t="shared" si="4"/>
        <v>0</v>
      </c>
      <c r="E15" s="2"/>
      <c r="F15" s="19"/>
      <c r="G15" s="2"/>
      <c r="H15" s="2">
        <f>--189.01</f>
        <v>189.01</v>
      </c>
      <c r="I15" s="2"/>
      <c r="J15" s="19"/>
      <c r="K15" s="2"/>
      <c r="L15" s="2">
        <f t="shared" si="0"/>
        <v>-189.01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--1309.17</f>
        <v>1309.17</v>
      </c>
      <c r="U15" s="2"/>
      <c r="V15" s="19"/>
      <c r="W15" s="2"/>
      <c r="X15" s="2">
        <f t="shared" si="2"/>
        <v>-1309.17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 t="shared" si="4"/>
        <v>0</v>
      </c>
      <c r="E16" s="2"/>
      <c r="F16" s="19"/>
      <c r="G16" s="2"/>
      <c r="H16" s="2">
        <f>--757.56</f>
        <v>757.56</v>
      </c>
      <c r="I16" s="2"/>
      <c r="J16" s="19"/>
      <c r="K16" s="2"/>
      <c r="L16" s="2">
        <f t="shared" si="0"/>
        <v>-757.56</v>
      </c>
      <c r="M16" s="2"/>
      <c r="N16" s="19">
        <f t="shared" si="1"/>
        <v>-1</v>
      </c>
      <c r="O16" s="11"/>
      <c r="P16" s="2">
        <f>--17.51</f>
        <v>17.510000000000002</v>
      </c>
      <c r="Q16" s="2"/>
      <c r="R16" s="19"/>
      <c r="S16" s="2"/>
      <c r="T16" s="2">
        <f>--3476.03</f>
        <v>3476.03</v>
      </c>
      <c r="U16" s="2"/>
      <c r="V16" s="19"/>
      <c r="W16" s="2"/>
      <c r="X16" s="2">
        <f t="shared" si="2"/>
        <v>-3458.52</v>
      </c>
      <c r="Y16" s="2"/>
      <c r="Z16" s="19">
        <f t="shared" si="3"/>
        <v>-0.99496264416590185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 t="shared" si="4"/>
        <v>0</v>
      </c>
      <c r="E17" s="2"/>
      <c r="F17" s="19"/>
      <c r="G17" s="2"/>
      <c r="H17" s="2">
        <f>--322.06</f>
        <v>322.06</v>
      </c>
      <c r="I17" s="2"/>
      <c r="J17" s="19"/>
      <c r="K17" s="2"/>
      <c r="L17" s="2">
        <f t="shared" si="0"/>
        <v>-322.06</v>
      </c>
      <c r="M17" s="2"/>
      <c r="N17" s="19">
        <f t="shared" si="1"/>
        <v>-1</v>
      </c>
      <c r="O17" s="11"/>
      <c r="P17" s="2">
        <f>--7990.32</f>
        <v>7990.32</v>
      </c>
      <c r="Q17" s="2"/>
      <c r="R17" s="19"/>
      <c r="S17" s="2"/>
      <c r="T17" s="2">
        <f>--5564.54</f>
        <v>5564.54</v>
      </c>
      <c r="U17" s="2"/>
      <c r="V17" s="19"/>
      <c r="W17" s="2"/>
      <c r="X17" s="2">
        <f t="shared" si="2"/>
        <v>2425.7799999999997</v>
      </c>
      <c r="Y17" s="2"/>
      <c r="Z17" s="19">
        <f t="shared" si="3"/>
        <v>0.43593540526260927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 t="shared" si="4"/>
        <v>0</v>
      </c>
      <c r="E18" s="2"/>
      <c r="F18" s="19"/>
      <c r="G18" s="2"/>
      <c r="H18" s="2">
        <f>--28542.6</f>
        <v>28542.6</v>
      </c>
      <c r="I18" s="2"/>
      <c r="J18" s="19"/>
      <c r="K18" s="2"/>
      <c r="L18" s="2">
        <f t="shared" si="0"/>
        <v>-28542.6</v>
      </c>
      <c r="M18" s="2"/>
      <c r="N18" s="19">
        <f t="shared" si="1"/>
        <v>-1</v>
      </c>
      <c r="O18" s="11"/>
      <c r="P18" s="2">
        <f>--12479.05</f>
        <v>12479.05</v>
      </c>
      <c r="Q18" s="2"/>
      <c r="R18" s="19"/>
      <c r="S18" s="2"/>
      <c r="T18" s="2">
        <f>--169267.93</f>
        <v>169267.93</v>
      </c>
      <c r="U18" s="2"/>
      <c r="V18" s="19"/>
      <c r="W18" s="2"/>
      <c r="X18" s="2">
        <f t="shared" si="2"/>
        <v>-156788.88</v>
      </c>
      <c r="Y18" s="2"/>
      <c r="Z18" s="19">
        <f t="shared" si="3"/>
        <v>-0.92627634779960988</v>
      </c>
    </row>
    <row r="19" spans="1:26" s="24" customFormat="1" hidden="1" outlineLevel="1" x14ac:dyDescent="0.25">
      <c r="A19" s="44"/>
      <c r="B19" s="11" t="str">
        <f>CONCATENATE("          ", "4031", " - ", "TAXABLE SALES-FOOD")</f>
        <v xml:space="preserve">          4031 - TAXABLE SALES-FOOD</v>
      </c>
      <c r="C19" s="11"/>
      <c r="D19" s="2">
        <f t="shared" si="4"/>
        <v>0</v>
      </c>
      <c r="E19" s="2"/>
      <c r="F19" s="19"/>
      <c r="G19" s="2"/>
      <c r="H19" s="2">
        <f>--58.77</f>
        <v>58.77</v>
      </c>
      <c r="I19" s="2"/>
      <c r="J19" s="19"/>
      <c r="K19" s="2"/>
      <c r="L19" s="2">
        <f t="shared" si="0"/>
        <v>-58.77</v>
      </c>
      <c r="M19" s="2"/>
      <c r="N19" s="19">
        <f t="shared" si="1"/>
        <v>-1</v>
      </c>
      <c r="O19" s="11"/>
      <c r="P19" s="2">
        <f>--374.55</f>
        <v>374.55</v>
      </c>
      <c r="Q19" s="2"/>
      <c r="R19" s="19"/>
      <c r="S19" s="2"/>
      <c r="T19" s="2">
        <f>--280.05</f>
        <v>280.05</v>
      </c>
      <c r="U19" s="2"/>
      <c r="V19" s="19"/>
      <c r="W19" s="2"/>
      <c r="X19" s="2">
        <f t="shared" si="2"/>
        <v>94.5</v>
      </c>
      <c r="Y19" s="2"/>
      <c r="Z19" s="19">
        <f t="shared" si="3"/>
        <v>0.33743974290305301</v>
      </c>
    </row>
    <row r="20" spans="1:26" s="24" customFormat="1" hidden="1" outlineLevel="1" x14ac:dyDescent="0.25">
      <c r="A20" s="44"/>
      <c r="B20" s="11" t="str">
        <f>CONCATENATE("          ", "4032", " - ", "TAXABLE SALES-JUICE")</f>
        <v xml:space="preserve">          4032 - TAXABLE SALES-JUICE</v>
      </c>
      <c r="C20" s="11"/>
      <c r="D20" s="2">
        <f t="shared" si="4"/>
        <v>0</v>
      </c>
      <c r="E20" s="2"/>
      <c r="F20" s="19"/>
      <c r="G20" s="2"/>
      <c r="H20" s="2">
        <f>--609.66</f>
        <v>609.66</v>
      </c>
      <c r="I20" s="2"/>
      <c r="J20" s="19"/>
      <c r="K20" s="2"/>
      <c r="L20" s="2">
        <f t="shared" si="0"/>
        <v>-609.66</v>
      </c>
      <c r="M20" s="2"/>
      <c r="N20" s="19">
        <f t="shared" si="1"/>
        <v>-1</v>
      </c>
      <c r="O20" s="11"/>
      <c r="P20" s="2">
        <f t="shared" ref="P20:P24" si="6">0</f>
        <v>0</v>
      </c>
      <c r="Q20" s="2"/>
      <c r="R20" s="19"/>
      <c r="S20" s="2"/>
      <c r="T20" s="2">
        <f>--663.08</f>
        <v>663.08</v>
      </c>
      <c r="U20" s="2"/>
      <c r="V20" s="19"/>
      <c r="W20" s="2"/>
      <c r="X20" s="2">
        <f t="shared" si="2"/>
        <v>-663.08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"4033", " - ", "TAXABLE SALES-CANDY")</f>
        <v xml:space="preserve">          4033 - TAXABLE SALES-CANDY</v>
      </c>
      <c r="C21" s="11"/>
      <c r="D21" s="2">
        <f t="shared" si="4"/>
        <v>0</v>
      </c>
      <c r="E21" s="2"/>
      <c r="F21" s="19"/>
      <c r="G21" s="2"/>
      <c r="H21" s="2">
        <f>--23.21</f>
        <v>23.21</v>
      </c>
      <c r="I21" s="2"/>
      <c r="J21" s="19"/>
      <c r="K21" s="2"/>
      <c r="L21" s="2">
        <f t="shared" si="0"/>
        <v>-23.21</v>
      </c>
      <c r="M21" s="2"/>
      <c r="N21" s="19">
        <f t="shared" si="1"/>
        <v>-1</v>
      </c>
      <c r="O21" s="11"/>
      <c r="P21" s="2">
        <f t="shared" si="6"/>
        <v>0</v>
      </c>
      <c r="Q21" s="2"/>
      <c r="R21" s="19"/>
      <c r="S21" s="2"/>
      <c r="T21" s="2">
        <f>--108.61</f>
        <v>108.61</v>
      </c>
      <c r="U21" s="2"/>
      <c r="V21" s="19"/>
      <c r="W21" s="2"/>
      <c r="X21" s="2">
        <f t="shared" si="2"/>
        <v>-108.61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"4034", " - ", "TAXABLE SALES-SODA")</f>
        <v xml:space="preserve">          4034 - TAXABLE SALES-SODA</v>
      </c>
      <c r="C22" s="11"/>
      <c r="D22" s="2">
        <f t="shared" si="4"/>
        <v>0</v>
      </c>
      <c r="E22" s="2"/>
      <c r="F22" s="19"/>
      <c r="G22" s="2"/>
      <c r="H22" s="2">
        <f>--1010.01</f>
        <v>1010.01</v>
      </c>
      <c r="I22" s="2"/>
      <c r="J22" s="19"/>
      <c r="K22" s="2"/>
      <c r="L22" s="2">
        <f t="shared" si="0"/>
        <v>-1010.01</v>
      </c>
      <c r="M22" s="2"/>
      <c r="N22" s="19">
        <f t="shared" si="1"/>
        <v>-1</v>
      </c>
      <c r="O22" s="11"/>
      <c r="P22" s="2">
        <f t="shared" si="6"/>
        <v>0</v>
      </c>
      <c r="Q22" s="2"/>
      <c r="R22" s="19"/>
      <c r="S22" s="2"/>
      <c r="T22" s="2">
        <f>--4724.25</f>
        <v>4724.25</v>
      </c>
      <c r="U22" s="2"/>
      <c r="V22" s="19"/>
      <c r="W22" s="2"/>
      <c r="X22" s="2">
        <f t="shared" si="2"/>
        <v>-4724.25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 t="shared" si="4"/>
        <v>0</v>
      </c>
      <c r="E23" s="2"/>
      <c r="F23" s="19"/>
      <c r="G23" s="2"/>
      <c r="H23" s="2">
        <f>--269.24</f>
        <v>269.24</v>
      </c>
      <c r="I23" s="2"/>
      <c r="J23" s="19"/>
      <c r="K23" s="2"/>
      <c r="L23" s="2">
        <f t="shared" si="0"/>
        <v>-269.24</v>
      </c>
      <c r="M23" s="2"/>
      <c r="N23" s="19">
        <f t="shared" si="1"/>
        <v>-1</v>
      </c>
      <c r="O23" s="11"/>
      <c r="P23" s="2">
        <f t="shared" si="6"/>
        <v>0</v>
      </c>
      <c r="Q23" s="2"/>
      <c r="R23" s="19"/>
      <c r="S23" s="2"/>
      <c r="T23" s="2">
        <f>--1117.4</f>
        <v>1117.4000000000001</v>
      </c>
      <c r="U23" s="2"/>
      <c r="V23" s="19"/>
      <c r="W23" s="2"/>
      <c r="X23" s="2">
        <f t="shared" si="2"/>
        <v>-1117.4000000000001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"4037", " - ", "TAXABLE SALES-WATER")</f>
        <v xml:space="preserve">          4037 - TAXABLE SALES-WATER</v>
      </c>
      <c r="C24" s="11"/>
      <c r="D24" s="2">
        <f t="shared" si="4"/>
        <v>0</v>
      </c>
      <c r="E24" s="2"/>
      <c r="F24" s="19"/>
      <c r="G24" s="2"/>
      <c r="H24" s="2">
        <f>--74.6</f>
        <v>74.599999999999994</v>
      </c>
      <c r="I24" s="2"/>
      <c r="J24" s="19"/>
      <c r="K24" s="2"/>
      <c r="L24" s="2">
        <f t="shared" si="0"/>
        <v>-74.599999999999994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--377.17</f>
        <v>377.17</v>
      </c>
      <c r="U24" s="2"/>
      <c r="V24" s="19"/>
      <c r="W24" s="2"/>
      <c r="X24" s="2">
        <f t="shared" si="2"/>
        <v>-377.17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"4081", " - ", "TAXABLE SALES-ELECTRONICS")</f>
        <v xml:space="preserve">          4081 - TAXABLE SALES-ELECTRONICS</v>
      </c>
      <c r="C25" s="11"/>
      <c r="D25" s="2">
        <f t="shared" si="4"/>
        <v>0</v>
      </c>
      <c r="E25" s="2"/>
      <c r="F25" s="19"/>
      <c r="G25" s="2"/>
      <c r="H25" s="2">
        <f>--430.76</f>
        <v>430.76</v>
      </c>
      <c r="I25" s="2"/>
      <c r="J25" s="19"/>
      <c r="K25" s="2"/>
      <c r="L25" s="2">
        <f t="shared" si="0"/>
        <v>-430.76</v>
      </c>
      <c r="M25" s="2"/>
      <c r="N25" s="19">
        <f t="shared" si="1"/>
        <v>-1</v>
      </c>
      <c r="O25" s="11"/>
      <c r="P25" s="2">
        <f>--71.95</f>
        <v>71.95</v>
      </c>
      <c r="Q25" s="2"/>
      <c r="R25" s="19"/>
      <c r="S25" s="2"/>
      <c r="T25" s="2">
        <f>--2223.67</f>
        <v>2223.67</v>
      </c>
      <c r="U25" s="2"/>
      <c r="V25" s="19"/>
      <c r="W25" s="2"/>
      <c r="X25" s="2">
        <f t="shared" si="2"/>
        <v>-2151.7200000000003</v>
      </c>
      <c r="Y25" s="2"/>
      <c r="Z25" s="19">
        <f t="shared" si="3"/>
        <v>-0.96764358020749486</v>
      </c>
    </row>
    <row r="26" spans="1:26" s="24" customFormat="1" hidden="1" outlineLevel="1" x14ac:dyDescent="0.25">
      <c r="A26" s="44"/>
      <c r="B26" s="11" t="str">
        <f>CONCATENATE("          ", "4082", " - ", "TAXABLE SALES-COMPUTER HARDWAR")</f>
        <v xml:space="preserve">          4082 - TAXABLE SALES-COMPUTER HARDWAR</v>
      </c>
      <c r="C26" s="11"/>
      <c r="D26" s="2">
        <f t="shared" si="4"/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0</f>
        <v>0</v>
      </c>
      <c r="Q26" s="2"/>
      <c r="R26" s="19"/>
      <c r="S26" s="2"/>
      <c r="T26" s="2">
        <f>--162</f>
        <v>162</v>
      </c>
      <c r="U26" s="2"/>
      <c r="V26" s="19"/>
      <c r="W26" s="2"/>
      <c r="X26" s="2">
        <f t="shared" si="2"/>
        <v>-162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"4083", " - ", "TAXABLE SALES-COMPUTER EQUIPME")</f>
        <v xml:space="preserve">          4083 - TAXABLE SALES-COMPUTER EQUIPME</v>
      </c>
      <c r="C27" s="11"/>
      <c r="D27" s="2">
        <f t="shared" si="4"/>
        <v>0</v>
      </c>
      <c r="E27" s="2"/>
      <c r="F27" s="19"/>
      <c r="G27" s="2"/>
      <c r="H27" s="2">
        <f>--139.91</f>
        <v>139.91</v>
      </c>
      <c r="I27" s="2"/>
      <c r="J27" s="19"/>
      <c r="K27" s="2"/>
      <c r="L27" s="2">
        <f t="shared" si="0"/>
        <v>-139.91</v>
      </c>
      <c r="M27" s="2"/>
      <c r="N27" s="19">
        <f t="shared" si="1"/>
        <v>-1</v>
      </c>
      <c r="O27" s="11"/>
      <c r="P27" s="2">
        <f>--9.99</f>
        <v>9.99</v>
      </c>
      <c r="Q27" s="2"/>
      <c r="R27" s="19"/>
      <c r="S27" s="2"/>
      <c r="T27" s="2">
        <f>--569.6</f>
        <v>569.6</v>
      </c>
      <c r="U27" s="2"/>
      <c r="V27" s="19"/>
      <c r="W27" s="2"/>
      <c r="X27" s="2">
        <f t="shared" si="2"/>
        <v>-559.61</v>
      </c>
      <c r="Y27" s="2"/>
      <c r="Z27" s="19">
        <f t="shared" si="3"/>
        <v>-0.98246137640449438</v>
      </c>
    </row>
    <row r="28" spans="1:26" s="24" customFormat="1" hidden="1" outlineLevel="1" x14ac:dyDescent="0.25">
      <c r="A28" s="44"/>
      <c r="B28" s="11" t="str">
        <f>CONCATENATE("          ", "4086", " - ", "TAXABLE SALES-COMPUTER SUPPLIE")</f>
        <v xml:space="preserve">          4086 - TAXABLE SALES-COMPUTER SUPPLIE</v>
      </c>
      <c r="C28" s="11"/>
      <c r="D28" s="2">
        <f t="shared" si="4"/>
        <v>0</v>
      </c>
      <c r="E28" s="2"/>
      <c r="F28" s="19"/>
      <c r="G28" s="2"/>
      <c r="H28" s="2">
        <f>--105</f>
        <v>105</v>
      </c>
      <c r="I28" s="2"/>
      <c r="J28" s="19"/>
      <c r="K28" s="2"/>
      <c r="L28" s="2">
        <f t="shared" si="0"/>
        <v>-105</v>
      </c>
      <c r="M28" s="2"/>
      <c r="N28" s="19">
        <f t="shared" si="1"/>
        <v>-1</v>
      </c>
      <c r="O28" s="11"/>
      <c r="P28" s="2">
        <f t="shared" ref="P28:P30" si="7">0</f>
        <v>0</v>
      </c>
      <c r="Q28" s="2"/>
      <c r="R28" s="19"/>
      <c r="S28" s="2"/>
      <c r="T28" s="2">
        <f>--639.79</f>
        <v>639.79</v>
      </c>
      <c r="U28" s="2"/>
      <c r="V28" s="19"/>
      <c r="W28" s="2"/>
      <c r="X28" s="2">
        <f t="shared" si="2"/>
        <v>-639.79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"4127", " - ", "NON-TAXABLE SALES-SCHOOL SUPPL")</f>
        <v xml:space="preserve">          4127 - NON-TAXABLE SALES-SCHOOL SUPPL</v>
      </c>
      <c r="C29" s="11"/>
      <c r="D29" s="2">
        <f t="shared" si="4"/>
        <v>0</v>
      </c>
      <c r="E29" s="2"/>
      <c r="F29" s="19"/>
      <c r="G29" s="2"/>
      <c r="H29" s="2">
        <f t="shared" ref="H29:H30" si="8"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si="7"/>
        <v>0</v>
      </c>
      <c r="Q29" s="2"/>
      <c r="R29" s="19"/>
      <c r="S29" s="2"/>
      <c r="T29" s="2">
        <f>--12.17</f>
        <v>12.17</v>
      </c>
      <c r="U29" s="2"/>
      <c r="V29" s="19"/>
      <c r="W29" s="2"/>
      <c r="X29" s="2">
        <f t="shared" si="2"/>
        <v>-12.17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"4128", " - ", "NON-TAXABLE SALES-ART/TECH")</f>
        <v xml:space="preserve">          4128 - NON-TAXABLE SALES-ART/TECH</v>
      </c>
      <c r="C30" s="11"/>
      <c r="D30" s="2">
        <f t="shared" si="4"/>
        <v>0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 t="shared" si="7"/>
        <v>0</v>
      </c>
      <c r="Q30" s="2"/>
      <c r="R30" s="19"/>
      <c r="S30" s="2"/>
      <c r="T30" s="2">
        <f>--95.4</f>
        <v>95.4</v>
      </c>
      <c r="U30" s="2"/>
      <c r="V30" s="19"/>
      <c r="W30" s="2"/>
      <c r="X30" s="2">
        <f t="shared" si="2"/>
        <v>-95.4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"4131", " - ", "NON-TAXABLE SALES-FOOD")</f>
        <v xml:space="preserve">          4131 - NON-TAXABLE SALES-FOOD</v>
      </c>
      <c r="C31" s="11"/>
      <c r="D31" s="2">
        <f t="shared" si="4"/>
        <v>0</v>
      </c>
      <c r="E31" s="2"/>
      <c r="F31" s="19"/>
      <c r="G31" s="2"/>
      <c r="H31" s="2">
        <f>--8214.93</f>
        <v>8214.93</v>
      </c>
      <c r="I31" s="2"/>
      <c r="J31" s="19"/>
      <c r="K31" s="2"/>
      <c r="L31" s="2">
        <f t="shared" si="0"/>
        <v>-8214.93</v>
      </c>
      <c r="M31" s="2"/>
      <c r="N31" s="19">
        <f t="shared" si="1"/>
        <v>-1</v>
      </c>
      <c r="O31" s="11"/>
      <c r="P31" s="2">
        <f>--1847.16</f>
        <v>1847.16</v>
      </c>
      <c r="Q31" s="2"/>
      <c r="R31" s="19"/>
      <c r="S31" s="2"/>
      <c r="T31" s="2">
        <f>--34233.68</f>
        <v>34233.68</v>
      </c>
      <c r="U31" s="2"/>
      <c r="V31" s="19"/>
      <c r="W31" s="2"/>
      <c r="X31" s="2">
        <f t="shared" si="2"/>
        <v>-32386.52</v>
      </c>
      <c r="Y31" s="2"/>
      <c r="Z31" s="19">
        <f t="shared" si="3"/>
        <v>-0.94604261066879169</v>
      </c>
    </row>
    <row r="32" spans="1:26" s="24" customFormat="1" hidden="1" outlineLevel="1" x14ac:dyDescent="0.25">
      <c r="A32" s="44"/>
      <c r="B32" s="11" t="str">
        <f>CONCATENATE("          ", "4132", " - ", "NON-TAXABLE SALES-JUICE")</f>
        <v xml:space="preserve">          4132 - NON-TAXABLE SALES-JUICE</v>
      </c>
      <c r="C32" s="11"/>
      <c r="D32" s="2">
        <f t="shared" si="4"/>
        <v>0</v>
      </c>
      <c r="E32" s="2"/>
      <c r="F32" s="19"/>
      <c r="G32" s="2"/>
      <c r="H32" s="2">
        <f>--2505.59</f>
        <v>2505.59</v>
      </c>
      <c r="I32" s="2"/>
      <c r="J32" s="19"/>
      <c r="K32" s="2"/>
      <c r="L32" s="2">
        <f t="shared" si="0"/>
        <v>-2505.59</v>
      </c>
      <c r="M32" s="2"/>
      <c r="N32" s="19">
        <f t="shared" si="1"/>
        <v>-1</v>
      </c>
      <c r="O32" s="11"/>
      <c r="P32" s="2">
        <f t="shared" ref="P32:P38" si="9">0</f>
        <v>0</v>
      </c>
      <c r="Q32" s="2"/>
      <c r="R32" s="19"/>
      <c r="S32" s="2"/>
      <c r="T32" s="2">
        <f>--10274.39</f>
        <v>10274.39</v>
      </c>
      <c r="U32" s="2"/>
      <c r="V32" s="19"/>
      <c r="W32" s="2"/>
      <c r="X32" s="2">
        <f t="shared" si="2"/>
        <v>-10274.39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"4133", " - ", "NON-TAXABLE SALES-CANDY")</f>
        <v xml:space="preserve">          4133 - NON-TAXABLE SALES-CANDY</v>
      </c>
      <c r="C33" s="11"/>
      <c r="D33" s="2">
        <f t="shared" si="4"/>
        <v>0</v>
      </c>
      <c r="E33" s="2"/>
      <c r="F33" s="19"/>
      <c r="G33" s="2"/>
      <c r="H33" s="2">
        <f>--2153.98</f>
        <v>2153.98</v>
      </c>
      <c r="I33" s="2"/>
      <c r="J33" s="19"/>
      <c r="K33" s="2"/>
      <c r="L33" s="2">
        <f t="shared" si="0"/>
        <v>-2153.98</v>
      </c>
      <c r="M33" s="2"/>
      <c r="N33" s="19">
        <f t="shared" si="1"/>
        <v>-1</v>
      </c>
      <c r="O33" s="11"/>
      <c r="P33" s="2">
        <f t="shared" si="9"/>
        <v>0</v>
      </c>
      <c r="Q33" s="2"/>
      <c r="R33" s="19"/>
      <c r="S33" s="2"/>
      <c r="T33" s="2">
        <f>--9475.44</f>
        <v>9475.44</v>
      </c>
      <c r="U33" s="2"/>
      <c r="V33" s="19"/>
      <c r="W33" s="2"/>
      <c r="X33" s="2">
        <f t="shared" si="2"/>
        <v>-9475.44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"4135", " - ", "NON-TAXABLE SALES")</f>
        <v xml:space="preserve">          4135 - NON-TAXABLE SALES</v>
      </c>
      <c r="C34" s="11"/>
      <c r="D34" s="2">
        <f t="shared" si="4"/>
        <v>0</v>
      </c>
      <c r="E34" s="2"/>
      <c r="F34" s="19"/>
      <c r="G34" s="2"/>
      <c r="H34" s="2">
        <f>--10.77</f>
        <v>10.77</v>
      </c>
      <c r="I34" s="2"/>
      <c r="J34" s="19"/>
      <c r="K34" s="2"/>
      <c r="L34" s="2">
        <f t="shared" si="0"/>
        <v>-10.77</v>
      </c>
      <c r="M34" s="2"/>
      <c r="N34" s="19">
        <f t="shared" si="1"/>
        <v>-1</v>
      </c>
      <c r="O34" s="11"/>
      <c r="P34" s="2">
        <f t="shared" si="9"/>
        <v>0</v>
      </c>
      <c r="Q34" s="2"/>
      <c r="R34" s="19"/>
      <c r="S34" s="2"/>
      <c r="T34" s="2">
        <f>--64.57</f>
        <v>64.569999999999993</v>
      </c>
      <c r="U34" s="2"/>
      <c r="V34" s="19"/>
      <c r="W34" s="2"/>
      <c r="X34" s="2">
        <f t="shared" si="2"/>
        <v>-64.569999999999993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"4137", " - ", "NON-TAXABLE SALES-WATER")</f>
        <v xml:space="preserve">          4137 - NON-TAXABLE SALES-WATER</v>
      </c>
      <c r="C35" s="11"/>
      <c r="D35" s="2">
        <f t="shared" si="4"/>
        <v>0</v>
      </c>
      <c r="E35" s="2"/>
      <c r="F35" s="19"/>
      <c r="G35" s="2"/>
      <c r="H35" s="2">
        <f>--1022.54</f>
        <v>1022.54</v>
      </c>
      <c r="I35" s="2"/>
      <c r="J35" s="19"/>
      <c r="K35" s="2"/>
      <c r="L35" s="2">
        <f t="shared" si="0"/>
        <v>-1022.54</v>
      </c>
      <c r="M35" s="2"/>
      <c r="N35" s="19">
        <f t="shared" si="1"/>
        <v>-1</v>
      </c>
      <c r="O35" s="11"/>
      <c r="P35" s="2">
        <f t="shared" si="9"/>
        <v>0</v>
      </c>
      <c r="Q35" s="2"/>
      <c r="R35" s="19"/>
      <c r="S35" s="2"/>
      <c r="T35" s="2">
        <f>--5202.34</f>
        <v>5202.34</v>
      </c>
      <c r="U35" s="2"/>
      <c r="V35" s="19"/>
      <c r="W35" s="2"/>
      <c r="X35" s="2">
        <f t="shared" si="2"/>
        <v>-5202.34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"4186", " - ", "NON-TAXABLE SALES-COMPUTER SUP")</f>
        <v xml:space="preserve">          4186 - NON-TAXABLE SALES-COMPUTER SUP</v>
      </c>
      <c r="C36" s="11"/>
      <c r="D36" s="2">
        <f t="shared" si="4"/>
        <v>0</v>
      </c>
      <c r="E36" s="2"/>
      <c r="F36" s="19"/>
      <c r="G36" s="2"/>
      <c r="H36" s="2">
        <f t="shared" ref="H36:H37" si="10"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 t="shared" si="9"/>
        <v>0</v>
      </c>
      <c r="Q36" s="2"/>
      <c r="R36" s="19"/>
      <c r="S36" s="2"/>
      <c r="T36" s="2">
        <f>-30.97</f>
        <v>-30.97</v>
      </c>
      <c r="U36" s="2"/>
      <c r="V36" s="19"/>
      <c r="W36" s="2"/>
      <c r="X36" s="2">
        <f t="shared" si="2"/>
        <v>30.97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"4225", " - ", "SALES RETURN TAXABLE-TEST FORM")</f>
        <v xml:space="preserve">          4225 - SALES RETURN TAXABLE-TEST FORM</v>
      </c>
      <c r="C37" s="11"/>
      <c r="D37" s="2">
        <f t="shared" si="4"/>
        <v>0</v>
      </c>
      <c r="E37" s="2"/>
      <c r="F37" s="19"/>
      <c r="G37" s="2"/>
      <c r="H37" s="2">
        <f t="shared" si="10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 t="shared" si="9"/>
        <v>0</v>
      </c>
      <c r="Q37" s="2"/>
      <c r="R37" s="19"/>
      <c r="S37" s="2"/>
      <c r="T37" s="2">
        <f>-0.49</f>
        <v>-0.49</v>
      </c>
      <c r="U37" s="2"/>
      <c r="V37" s="19"/>
      <c r="W37" s="2"/>
      <c r="X37" s="2">
        <f t="shared" si="2"/>
        <v>0.49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"4226", " - ", "SALES RETURN TAXABLE-WRITING I")</f>
        <v xml:space="preserve">          4226 - SALES RETURN TAXABLE-WRITING I</v>
      </c>
      <c r="C38" s="11"/>
      <c r="D38" s="2">
        <f t="shared" si="4"/>
        <v>0</v>
      </c>
      <c r="E38" s="2"/>
      <c r="F38" s="19"/>
      <c r="G38" s="2"/>
      <c r="H38" s="2">
        <f>-2.99</f>
        <v>-2.99</v>
      </c>
      <c r="I38" s="2"/>
      <c r="J38" s="19"/>
      <c r="K38" s="2"/>
      <c r="L38" s="2">
        <f t="shared" si="0"/>
        <v>2.99</v>
      </c>
      <c r="M38" s="2"/>
      <c r="N38" s="19">
        <f t="shared" si="1"/>
        <v>-1</v>
      </c>
      <c r="O38" s="11"/>
      <c r="P38" s="2">
        <f t="shared" si="9"/>
        <v>0</v>
      </c>
      <c r="Q38" s="2"/>
      <c r="R38" s="19"/>
      <c r="S38" s="2"/>
      <c r="T38" s="2">
        <f>-5.98</f>
        <v>-5.98</v>
      </c>
      <c r="U38" s="2"/>
      <c r="V38" s="19"/>
      <c r="W38" s="2"/>
      <c r="X38" s="2">
        <f t="shared" si="2"/>
        <v>5.98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"4227", " - ", "SALES RETURN TAXABLE-SCHOOL SU")</f>
        <v xml:space="preserve">          4227 - SALES RETURN TAXABLE-SCHOOL SU</v>
      </c>
      <c r="C39" s="11"/>
      <c r="D39" s="2">
        <f t="shared" si="4"/>
        <v>0</v>
      </c>
      <c r="E39" s="2"/>
      <c r="F39" s="19"/>
      <c r="G39" s="2"/>
      <c r="H39" s="2">
        <f>-3.27</f>
        <v>-3.27</v>
      </c>
      <c r="I39" s="2"/>
      <c r="J39" s="19"/>
      <c r="K39" s="2"/>
      <c r="L39" s="2">
        <f t="shared" si="0"/>
        <v>3.27</v>
      </c>
      <c r="M39" s="2"/>
      <c r="N39" s="19">
        <f t="shared" si="1"/>
        <v>-1</v>
      </c>
      <c r="O39" s="11"/>
      <c r="P39" s="2">
        <f>-159.97</f>
        <v>-159.97</v>
      </c>
      <c r="Q39" s="2"/>
      <c r="R39" s="19"/>
      <c r="S39" s="2"/>
      <c r="T39" s="2">
        <f>-25.49</f>
        <v>-25.49</v>
      </c>
      <c r="U39" s="2"/>
      <c r="V39" s="19"/>
      <c r="W39" s="2"/>
      <c r="X39" s="2">
        <f t="shared" si="2"/>
        <v>-134.47999999999999</v>
      </c>
      <c r="Y39" s="2"/>
      <c r="Z39" s="19">
        <f t="shared" si="3"/>
        <v>5.2757944291879166</v>
      </c>
    </row>
    <row r="40" spans="1:26" s="24" customFormat="1" hidden="1" outlineLevel="1" x14ac:dyDescent="0.25">
      <c r="A40" s="44"/>
      <c r="B40" s="11" t="str">
        <f>CONCATENATE("          ", "4228", " - ", "SALES RETURN TAXABLE-ART/TECH")</f>
        <v xml:space="preserve">          4228 - SALES RETURN TAXABLE-ART/TECH</v>
      </c>
      <c r="C40" s="11"/>
      <c r="D40" s="2">
        <f t="shared" si="4"/>
        <v>0</v>
      </c>
      <c r="E40" s="2"/>
      <c r="F40" s="19"/>
      <c r="G40" s="2"/>
      <c r="H40" s="2">
        <f>-430.25</f>
        <v>-430.25</v>
      </c>
      <c r="I40" s="2"/>
      <c r="J40" s="19"/>
      <c r="K40" s="2"/>
      <c r="L40" s="2">
        <f t="shared" si="0"/>
        <v>430.25</v>
      </c>
      <c r="M40" s="2"/>
      <c r="N40" s="19">
        <f t="shared" si="1"/>
        <v>-1</v>
      </c>
      <c r="O40" s="11"/>
      <c r="P40" s="2">
        <f>-222.2</f>
        <v>-222.2</v>
      </c>
      <c r="Q40" s="2"/>
      <c r="R40" s="19"/>
      <c r="S40" s="2"/>
      <c r="T40" s="2">
        <f>-2633.54</f>
        <v>-2633.54</v>
      </c>
      <c r="U40" s="2"/>
      <c r="V40" s="19"/>
      <c r="W40" s="2"/>
      <c r="X40" s="2">
        <f t="shared" si="2"/>
        <v>2411.34</v>
      </c>
      <c r="Y40" s="2"/>
      <c r="Z40" s="19">
        <f t="shared" si="3"/>
        <v>-0.91562687485285976</v>
      </c>
    </row>
    <row r="41" spans="1:26" s="24" customFormat="1" hidden="1" outlineLevel="1" x14ac:dyDescent="0.25">
      <c r="A41" s="44"/>
      <c r="B41" s="11" t="str">
        <f>CONCATENATE("          ", "4233", " - ", "SALES RETURN TAXABLE-CANDY")</f>
        <v xml:space="preserve">          4233 - SALES RETURN TAXABLE-CANDY</v>
      </c>
      <c r="C41" s="11"/>
      <c r="D41" s="2">
        <f t="shared" si="4"/>
        <v>0</v>
      </c>
      <c r="E41" s="2"/>
      <c r="F41" s="19"/>
      <c r="G41" s="2"/>
      <c r="H41" s="2">
        <f>-1.29</f>
        <v>-1.29</v>
      </c>
      <c r="I41" s="2"/>
      <c r="J41" s="19"/>
      <c r="K41" s="2"/>
      <c r="L41" s="2">
        <f t="shared" si="0"/>
        <v>1.29</v>
      </c>
      <c r="M41" s="2"/>
      <c r="N41" s="19">
        <f t="shared" si="1"/>
        <v>-1</v>
      </c>
      <c r="O41" s="11"/>
      <c r="P41" s="2">
        <f t="shared" ref="P41:P42" si="11">0</f>
        <v>0</v>
      </c>
      <c r="Q41" s="2"/>
      <c r="R41" s="19"/>
      <c r="S41" s="2"/>
      <c r="T41" s="2">
        <f>-1.29</f>
        <v>-1.29</v>
      </c>
      <c r="U41" s="2"/>
      <c r="V41" s="19"/>
      <c r="W41" s="2"/>
      <c r="X41" s="2">
        <f t="shared" si="2"/>
        <v>1.29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"4281", " - ", "SALES RETURN TAXABLE-ELECTRONI")</f>
        <v xml:space="preserve">          4281 - SALES RETURN TAXABLE-ELECTRONI</v>
      </c>
      <c r="C42" s="11"/>
      <c r="D42" s="2">
        <f t="shared" si="4"/>
        <v>0</v>
      </c>
      <c r="E42" s="2"/>
      <c r="F42" s="19"/>
      <c r="G42" s="2"/>
      <c r="H42" s="2">
        <f>0</f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 t="shared" si="11"/>
        <v>0</v>
      </c>
      <c r="Q42" s="2"/>
      <c r="R42" s="19"/>
      <c r="S42" s="2"/>
      <c r="T42" s="2">
        <f>-44.98</f>
        <v>-44.98</v>
      </c>
      <c r="U42" s="2"/>
      <c r="V42" s="19"/>
      <c r="W42" s="2"/>
      <c r="X42" s="2">
        <f t="shared" si="2"/>
        <v>44.98</v>
      </c>
      <c r="Y42" s="2"/>
      <c r="Z42" s="19">
        <f t="shared" si="3"/>
        <v>-1</v>
      </c>
    </row>
    <row r="43" spans="1:26" x14ac:dyDescent="0.25">
      <c r="A43" s="9"/>
      <c r="B43" s="10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collapsed="1" x14ac:dyDescent="0.25">
      <c r="A44" s="10"/>
      <c r="B44" s="29" t="s">
        <v>8</v>
      </c>
      <c r="C44" s="10"/>
      <c r="D44" s="4">
        <f>SUM(OSRRefD16x_0)</f>
        <v>17.61</v>
      </c>
      <c r="E44" s="4"/>
      <c r="F44" s="12">
        <f t="shared" ref="F44:F63" si="12">IF(D$12=0,0,D44/D$12)</f>
        <v>0</v>
      </c>
      <c r="G44" s="4"/>
      <c r="H44" s="4">
        <f>SUM(OSRRefH16x_0)</f>
        <v>24588.93</v>
      </c>
      <c r="I44" s="4"/>
      <c r="J44" s="12">
        <f t="shared" ref="J44:J63" si="13">IF(H$12=0,0,H44/H$12)</f>
        <v>0.53445028667908923</v>
      </c>
      <c r="K44" s="4"/>
      <c r="L44" s="4">
        <f t="shared" ref="L44:L63" si="14">+D44-H44</f>
        <v>-24571.32</v>
      </c>
      <c r="M44" s="4"/>
      <c r="N44" s="12">
        <f t="shared" ref="N44:N63" si="15">IF(H44=0,0,L44/H44)</f>
        <v>-0.99928382406229144</v>
      </c>
      <c r="O44" s="10"/>
      <c r="P44" s="4">
        <f>SUM(OSRRefP16x_0)</f>
        <v>14200.659999999993</v>
      </c>
      <c r="Q44" s="4"/>
      <c r="R44" s="12">
        <f t="shared" ref="R44:R63" si="16">IF(P$12=0,0,P44/P$12)</f>
        <v>0.6663247609788322</v>
      </c>
      <c r="S44" s="4"/>
      <c r="T44" s="4">
        <f>SUM(OSRRefT16x_0)</f>
        <v>129763.64000000003</v>
      </c>
      <c r="U44" s="4"/>
      <c r="V44" s="12">
        <f t="shared" ref="V44:V63" si="17">IF(T$12=0,0,T44/T$12)</f>
        <v>0.52510269281585309</v>
      </c>
      <c r="W44" s="4"/>
      <c r="X44" s="4">
        <f t="shared" ref="X44:X63" si="18">+P44-T44</f>
        <v>-115562.98000000004</v>
      </c>
      <c r="Y44" s="4"/>
      <c r="Z44" s="12">
        <f t="shared" ref="Z44:Z63" si="19">IF(T44=0,0,X44/T44)</f>
        <v>-0.89056518451547761</v>
      </c>
    </row>
    <row r="45" spans="1:26" s="24" customFormat="1" hidden="1" outlineLevel="1" x14ac:dyDescent="0.25">
      <c r="A45" s="44"/>
      <c r="B45" s="11" t="str">
        <f>CONCATENATE("          ", "5014", " - ", "PURCHASES @ COST-REMAINDERS")</f>
        <v xml:space="preserve">          5014 - PURCHASES @ COST-REMAINDERS</v>
      </c>
      <c r="C45" s="11"/>
      <c r="D45" s="2"/>
      <c r="E45" s="2"/>
      <c r="F45" s="19">
        <f t="shared" si="12"/>
        <v>0</v>
      </c>
      <c r="G45" s="2"/>
      <c r="H45" s="2"/>
      <c r="I45" s="2"/>
      <c r="J45" s="19">
        <f t="shared" si="13"/>
        <v>0</v>
      </c>
      <c r="K45" s="2"/>
      <c r="L45" s="2">
        <f t="shared" si="14"/>
        <v>0</v>
      </c>
      <c r="M45" s="2"/>
      <c r="N45" s="19">
        <f t="shared" si="15"/>
        <v>0</v>
      </c>
      <c r="O45" s="11"/>
      <c r="P45" s="2"/>
      <c r="Q45" s="2"/>
      <c r="R45" s="19">
        <f t="shared" si="16"/>
        <v>0</v>
      </c>
      <c r="S45" s="2"/>
      <c r="T45" s="2">
        <v>14.46</v>
      </c>
      <c r="U45" s="2"/>
      <c r="V45" s="19">
        <f t="shared" si="17"/>
        <v>5.8513963835456793E-5</v>
      </c>
      <c r="W45" s="2"/>
      <c r="X45" s="2">
        <f t="shared" si="18"/>
        <v>-14.46</v>
      </c>
      <c r="Y45" s="2"/>
      <c r="Z45" s="19">
        <f t="shared" si="19"/>
        <v>-1</v>
      </c>
    </row>
    <row r="46" spans="1:26" s="24" customFormat="1" hidden="1" outlineLevel="1" x14ac:dyDescent="0.25">
      <c r="A46" s="44"/>
      <c r="B46" s="11" t="str">
        <f>CONCATENATE("          ", "5025", " - ", "PURCHASES @ COST-TEST FORMS")</f>
        <v xml:space="preserve">          5025 - PURCHASES @ COST-TEST FORMS</v>
      </c>
      <c r="C46" s="11"/>
      <c r="D46" s="2"/>
      <c r="E46" s="2"/>
      <c r="F46" s="19">
        <f t="shared" si="12"/>
        <v>0</v>
      </c>
      <c r="G46" s="2"/>
      <c r="H46" s="2">
        <v>-34.1</v>
      </c>
      <c r="I46" s="2"/>
      <c r="J46" s="19">
        <f t="shared" si="13"/>
        <v>-7.4117721982033954E-4</v>
      </c>
      <c r="K46" s="2"/>
      <c r="L46" s="2">
        <f t="shared" si="14"/>
        <v>34.1</v>
      </c>
      <c r="M46" s="2"/>
      <c r="N46" s="19">
        <f t="shared" si="15"/>
        <v>-1</v>
      </c>
      <c r="O46" s="11"/>
      <c r="P46" s="2"/>
      <c r="Q46" s="2"/>
      <c r="R46" s="19">
        <f t="shared" si="16"/>
        <v>0</v>
      </c>
      <c r="S46" s="2"/>
      <c r="T46" s="2">
        <v>404.28</v>
      </c>
      <c r="U46" s="2"/>
      <c r="V46" s="19">
        <f t="shared" si="17"/>
        <v>1.6359630220884143E-3</v>
      </c>
      <c r="W46" s="2"/>
      <c r="X46" s="2">
        <f t="shared" si="18"/>
        <v>-404.28</v>
      </c>
      <c r="Y46" s="2"/>
      <c r="Z46" s="19">
        <f t="shared" si="19"/>
        <v>-1</v>
      </c>
    </row>
    <row r="47" spans="1:26" s="24" customFormat="1" hidden="1" outlineLevel="1" x14ac:dyDescent="0.25">
      <c r="A47" s="44"/>
      <c r="B47" s="11" t="str">
        <f>CONCATENATE("          ", "5026", " - ", "PURCHASES @ COST-WRITING INSTR")</f>
        <v xml:space="preserve">          5026 - PURCHASES @ COST-WRITING INSTR</v>
      </c>
      <c r="C47" s="11"/>
      <c r="D47" s="2"/>
      <c r="E47" s="2"/>
      <c r="F47" s="19">
        <f t="shared" si="12"/>
        <v>0</v>
      </c>
      <c r="G47" s="2"/>
      <c r="H47" s="2">
        <v>723.67</v>
      </c>
      <c r="I47" s="2"/>
      <c r="J47" s="19">
        <f t="shared" si="13"/>
        <v>1.5729258611946777E-2</v>
      </c>
      <c r="K47" s="2"/>
      <c r="L47" s="2">
        <f t="shared" si="14"/>
        <v>-723.67</v>
      </c>
      <c r="M47" s="2"/>
      <c r="N47" s="19">
        <f t="shared" si="15"/>
        <v>-1</v>
      </c>
      <c r="O47" s="11"/>
      <c r="P47" s="2">
        <v>370.02</v>
      </c>
      <c r="Q47" s="2"/>
      <c r="R47" s="19">
        <f t="shared" si="16"/>
        <v>1.7362114722652863E-2</v>
      </c>
      <c r="S47" s="2"/>
      <c r="T47" s="2">
        <v>2577.5100000000002</v>
      </c>
      <c r="U47" s="2"/>
      <c r="V47" s="19">
        <f t="shared" si="17"/>
        <v>1.0430174752802784E-2</v>
      </c>
      <c r="W47" s="2"/>
      <c r="X47" s="2">
        <f t="shared" si="18"/>
        <v>-2207.4900000000002</v>
      </c>
      <c r="Y47" s="2"/>
      <c r="Z47" s="19">
        <f t="shared" si="19"/>
        <v>-0.85644284600253739</v>
      </c>
    </row>
    <row r="48" spans="1:26" s="24" customFormat="1" hidden="1" outlineLevel="1" x14ac:dyDescent="0.25">
      <c r="A48" s="44"/>
      <c r="B48" s="11" t="str">
        <f>CONCATENATE("          ", "5027", " - ", "PURCHASES @ COST-SCHOOL SUPPLI")</f>
        <v xml:space="preserve">          5027 - PURCHASES @ COST-SCHOOL SUPPLI</v>
      </c>
      <c r="C48" s="11"/>
      <c r="D48" s="2"/>
      <c r="E48" s="2"/>
      <c r="F48" s="19">
        <f t="shared" si="12"/>
        <v>0</v>
      </c>
      <c r="G48" s="2"/>
      <c r="H48" s="2">
        <v>92.71</v>
      </c>
      <c r="I48" s="2"/>
      <c r="J48" s="19">
        <f t="shared" si="13"/>
        <v>2.015089151013011E-3</v>
      </c>
      <c r="K48" s="2"/>
      <c r="L48" s="2">
        <f t="shared" si="14"/>
        <v>-92.71</v>
      </c>
      <c r="M48" s="2"/>
      <c r="N48" s="19">
        <f t="shared" si="15"/>
        <v>-1</v>
      </c>
      <c r="O48" s="11"/>
      <c r="P48" s="2">
        <v>895.47</v>
      </c>
      <c r="Q48" s="2"/>
      <c r="R48" s="19">
        <f t="shared" si="16"/>
        <v>4.201733114613794E-2</v>
      </c>
      <c r="S48" s="2"/>
      <c r="T48" s="2">
        <v>1855.07</v>
      </c>
      <c r="U48" s="2"/>
      <c r="V48" s="19">
        <f t="shared" si="17"/>
        <v>7.5067426619806936E-3</v>
      </c>
      <c r="W48" s="2"/>
      <c r="X48" s="2">
        <f t="shared" si="18"/>
        <v>-959.59999999999991</v>
      </c>
      <c r="Y48" s="2"/>
      <c r="Z48" s="19">
        <f t="shared" si="19"/>
        <v>-0.51728506201922297</v>
      </c>
    </row>
    <row r="49" spans="1:26" s="24" customFormat="1" hidden="1" outlineLevel="1" x14ac:dyDescent="0.25">
      <c r="A49" s="44"/>
      <c r="B49" s="11" t="str">
        <f>CONCATENATE("          ", "5028", " - ", "PURCHASES @ COST-ART/TECH")</f>
        <v xml:space="preserve">          5028 - PURCHASES @ COST-ART/TECH</v>
      </c>
      <c r="C49" s="11"/>
      <c r="D49" s="2">
        <v>15.89</v>
      </c>
      <c r="E49" s="2"/>
      <c r="F49" s="19">
        <f t="shared" si="12"/>
        <v>0</v>
      </c>
      <c r="G49" s="2"/>
      <c r="H49" s="2">
        <v>4926.5200000000004</v>
      </c>
      <c r="I49" s="2"/>
      <c r="J49" s="19">
        <f t="shared" si="13"/>
        <v>0.10707989433986215</v>
      </c>
      <c r="K49" s="2"/>
      <c r="L49" s="2">
        <f t="shared" si="14"/>
        <v>-4910.63</v>
      </c>
      <c r="M49" s="2"/>
      <c r="N49" s="19">
        <f t="shared" si="15"/>
        <v>-0.99677459951446445</v>
      </c>
      <c r="O49" s="11"/>
      <c r="P49" s="2">
        <v>41441.85</v>
      </c>
      <c r="Q49" s="2"/>
      <c r="R49" s="19">
        <f t="shared" si="16"/>
        <v>1.9445385493188789</v>
      </c>
      <c r="S49" s="2"/>
      <c r="T49" s="2">
        <v>91992.25</v>
      </c>
      <c r="U49" s="2"/>
      <c r="V49" s="19">
        <f t="shared" si="17"/>
        <v>0.37225665211910791</v>
      </c>
      <c r="W49" s="2"/>
      <c r="X49" s="2">
        <f t="shared" si="18"/>
        <v>-50550.400000000001</v>
      </c>
      <c r="Y49" s="2"/>
      <c r="Z49" s="19">
        <f t="shared" si="19"/>
        <v>-0.54950715957050733</v>
      </c>
    </row>
    <row r="50" spans="1:26" s="24" customFormat="1" hidden="1" outlineLevel="1" x14ac:dyDescent="0.25">
      <c r="A50" s="44"/>
      <c r="B50" s="11" t="str">
        <f>CONCATENATE("          ", "5031", " - ", "PURCHASES @ COST-FOOD")</f>
        <v xml:space="preserve">          5031 - PURCHASES @ COST-FOOD</v>
      </c>
      <c r="C50" s="11"/>
      <c r="D50" s="2"/>
      <c r="E50" s="2"/>
      <c r="F50" s="19">
        <f t="shared" si="12"/>
        <v>0</v>
      </c>
      <c r="G50" s="2"/>
      <c r="H50" s="2">
        <v>4726.8599999999997</v>
      </c>
      <c r="I50" s="2"/>
      <c r="J50" s="19">
        <f t="shared" si="13"/>
        <v>0.10274020390850351</v>
      </c>
      <c r="K50" s="2"/>
      <c r="L50" s="2">
        <f t="shared" si="14"/>
        <v>-4726.8599999999997</v>
      </c>
      <c r="M50" s="2"/>
      <c r="N50" s="19">
        <f t="shared" si="15"/>
        <v>-1</v>
      </c>
      <c r="O50" s="11"/>
      <c r="P50" s="2">
        <v>2929.67</v>
      </c>
      <c r="Q50" s="2"/>
      <c r="R50" s="19">
        <f t="shared" si="16"/>
        <v>0.13746626301149781</v>
      </c>
      <c r="S50" s="2"/>
      <c r="T50" s="2">
        <v>20548.649999999998</v>
      </c>
      <c r="U50" s="2"/>
      <c r="V50" s="19">
        <f t="shared" si="17"/>
        <v>8.3152348752936311E-2</v>
      </c>
      <c r="W50" s="2"/>
      <c r="X50" s="2">
        <f t="shared" si="18"/>
        <v>-17618.979999999996</v>
      </c>
      <c r="Y50" s="2"/>
      <c r="Z50" s="19">
        <f t="shared" si="19"/>
        <v>-0.85742761689940694</v>
      </c>
    </row>
    <row r="51" spans="1:26" s="24" customFormat="1" hidden="1" outlineLevel="1" x14ac:dyDescent="0.25">
      <c r="A51" s="44"/>
      <c r="B51" s="11" t="str">
        <f>CONCATENATE("          ", "5032", " - ", "PURCHASES @ COST-JUICE")</f>
        <v xml:space="preserve">          5032 - PURCHASES @ COST-JUICE</v>
      </c>
      <c r="C51" s="11"/>
      <c r="D51" s="2"/>
      <c r="E51" s="2"/>
      <c r="F51" s="19">
        <f t="shared" si="12"/>
        <v>0</v>
      </c>
      <c r="G51" s="2"/>
      <c r="H51" s="2">
        <v>1278.21</v>
      </c>
      <c r="I51" s="2"/>
      <c r="J51" s="19">
        <f t="shared" si="13"/>
        <v>2.7782408625998716E-2</v>
      </c>
      <c r="K51" s="2"/>
      <c r="L51" s="2">
        <f t="shared" si="14"/>
        <v>-1278.21</v>
      </c>
      <c r="M51" s="2"/>
      <c r="N51" s="19">
        <f t="shared" si="15"/>
        <v>-1</v>
      </c>
      <c r="O51" s="11"/>
      <c r="P51" s="2"/>
      <c r="Q51" s="2"/>
      <c r="R51" s="19">
        <f t="shared" si="16"/>
        <v>0</v>
      </c>
      <c r="S51" s="2"/>
      <c r="T51" s="2">
        <v>4662.49</v>
      </c>
      <c r="U51" s="2"/>
      <c r="V51" s="19">
        <f t="shared" si="17"/>
        <v>1.8867273253331877E-2</v>
      </c>
      <c r="W51" s="2"/>
      <c r="X51" s="2">
        <f t="shared" si="18"/>
        <v>-4662.49</v>
      </c>
      <c r="Y51" s="2"/>
      <c r="Z51" s="19">
        <f t="shared" si="19"/>
        <v>-1</v>
      </c>
    </row>
    <row r="52" spans="1:26" s="24" customFormat="1" hidden="1" outlineLevel="1" x14ac:dyDescent="0.25">
      <c r="A52" s="44"/>
      <c r="B52" s="11" t="str">
        <f>CONCATENATE("          ", "5033", " - ", "PURCHASES @ COST-CANDY")</f>
        <v xml:space="preserve">          5033 - PURCHASES @ COST-CANDY</v>
      </c>
      <c r="C52" s="11"/>
      <c r="D52" s="2"/>
      <c r="E52" s="2"/>
      <c r="F52" s="19">
        <f t="shared" si="12"/>
        <v>0</v>
      </c>
      <c r="G52" s="2"/>
      <c r="H52" s="2">
        <v>1347.65</v>
      </c>
      <c r="I52" s="2"/>
      <c r="J52" s="19">
        <f t="shared" si="13"/>
        <v>2.9291714964541953E-2</v>
      </c>
      <c r="K52" s="2"/>
      <c r="L52" s="2">
        <f t="shared" si="14"/>
        <v>-1347.65</v>
      </c>
      <c r="M52" s="2"/>
      <c r="N52" s="19">
        <f t="shared" si="15"/>
        <v>-1</v>
      </c>
      <c r="O52" s="11"/>
      <c r="P52" s="2"/>
      <c r="Q52" s="2"/>
      <c r="R52" s="19">
        <f t="shared" si="16"/>
        <v>0</v>
      </c>
      <c r="S52" s="2"/>
      <c r="T52" s="2">
        <v>5648.86</v>
      </c>
      <c r="U52" s="2"/>
      <c r="V52" s="19">
        <f t="shared" si="17"/>
        <v>2.2858726815460473E-2</v>
      </c>
      <c r="W52" s="2"/>
      <c r="X52" s="2">
        <f t="shared" si="18"/>
        <v>-5648.86</v>
      </c>
      <c r="Y52" s="2"/>
      <c r="Z52" s="19">
        <f t="shared" si="19"/>
        <v>-1</v>
      </c>
    </row>
    <row r="53" spans="1:26" s="24" customFormat="1" hidden="1" outlineLevel="1" x14ac:dyDescent="0.25">
      <c r="A53" s="44"/>
      <c r="B53" s="11" t="str">
        <f>CONCATENATE("          ", "5034", " - ", "PURCHASES @ COST-SODA")</f>
        <v xml:space="preserve">          5034 - PURCHASES @ COST-SODA</v>
      </c>
      <c r="C53" s="11"/>
      <c r="D53" s="2"/>
      <c r="E53" s="2"/>
      <c r="F53" s="19">
        <f t="shared" si="12"/>
        <v>0</v>
      </c>
      <c r="G53" s="2"/>
      <c r="H53" s="2">
        <v>587.38</v>
      </c>
      <c r="I53" s="2"/>
      <c r="J53" s="19">
        <f t="shared" si="13"/>
        <v>1.2766940626922903E-2</v>
      </c>
      <c r="K53" s="2"/>
      <c r="L53" s="2">
        <f t="shared" si="14"/>
        <v>-587.38</v>
      </c>
      <c r="M53" s="2"/>
      <c r="N53" s="19">
        <f t="shared" si="15"/>
        <v>-1</v>
      </c>
      <c r="O53" s="11"/>
      <c r="P53" s="2"/>
      <c r="Q53" s="2"/>
      <c r="R53" s="19">
        <f t="shared" si="16"/>
        <v>0</v>
      </c>
      <c r="S53" s="2"/>
      <c r="T53" s="2">
        <v>2081.92</v>
      </c>
      <c r="U53" s="2"/>
      <c r="V53" s="19">
        <f t="shared" si="17"/>
        <v>8.424715877476778E-3</v>
      </c>
      <c r="W53" s="2"/>
      <c r="X53" s="2">
        <f t="shared" si="18"/>
        <v>-2081.92</v>
      </c>
      <c r="Y53" s="2"/>
      <c r="Z53" s="19">
        <f t="shared" si="19"/>
        <v>-1</v>
      </c>
    </row>
    <row r="54" spans="1:26" s="24" customFormat="1" hidden="1" outlineLevel="1" x14ac:dyDescent="0.25">
      <c r="A54" s="44"/>
      <c r="B54" s="11" t="str">
        <f>CONCATENATE("          ", "5035", " - ", "PURCHASES @ COST-HEALTH &amp; BEAU")</f>
        <v xml:space="preserve">          5035 - PURCHASES @ COST-HEALTH &amp; BEAU</v>
      </c>
      <c r="C54" s="11"/>
      <c r="D54" s="2"/>
      <c r="E54" s="2"/>
      <c r="F54" s="19">
        <f t="shared" si="12"/>
        <v>0</v>
      </c>
      <c r="G54" s="2"/>
      <c r="H54" s="2">
        <v>222.52</v>
      </c>
      <c r="I54" s="2"/>
      <c r="J54" s="19">
        <f t="shared" si="13"/>
        <v>4.8365617288686795E-3</v>
      </c>
      <c r="K54" s="2"/>
      <c r="L54" s="2">
        <f t="shared" si="14"/>
        <v>-222.52</v>
      </c>
      <c r="M54" s="2"/>
      <c r="N54" s="19">
        <f t="shared" si="15"/>
        <v>-1</v>
      </c>
      <c r="O54" s="11"/>
      <c r="P54" s="2"/>
      <c r="Q54" s="2"/>
      <c r="R54" s="19">
        <f t="shared" si="16"/>
        <v>0</v>
      </c>
      <c r="S54" s="2"/>
      <c r="T54" s="2">
        <v>766.72</v>
      </c>
      <c r="U54" s="2"/>
      <c r="V54" s="19">
        <f t="shared" si="17"/>
        <v>3.102615930285023E-3</v>
      </c>
      <c r="W54" s="2"/>
      <c r="X54" s="2">
        <f t="shared" si="18"/>
        <v>-766.72</v>
      </c>
      <c r="Y54" s="2"/>
      <c r="Z54" s="19">
        <f t="shared" si="19"/>
        <v>-1</v>
      </c>
    </row>
    <row r="55" spans="1:26" s="24" customFormat="1" hidden="1" outlineLevel="1" x14ac:dyDescent="0.25">
      <c r="A55" s="44"/>
      <c r="B55" s="11" t="str">
        <f>CONCATENATE("          ", "5037", " - ", "PURCHASES @ COST-WATER")</f>
        <v xml:space="preserve">          5037 - PURCHASES @ COST-WATER</v>
      </c>
      <c r="C55" s="11"/>
      <c r="D55" s="2"/>
      <c r="E55" s="2"/>
      <c r="F55" s="19">
        <f t="shared" si="12"/>
        <v>0</v>
      </c>
      <c r="G55" s="2"/>
      <c r="H55" s="2">
        <v>667.52</v>
      </c>
      <c r="I55" s="2"/>
      <c r="J55" s="19">
        <f t="shared" si="13"/>
        <v>1.4508815770512405E-2</v>
      </c>
      <c r="K55" s="2"/>
      <c r="L55" s="2">
        <f t="shared" si="14"/>
        <v>-667.52</v>
      </c>
      <c r="M55" s="2"/>
      <c r="N55" s="19">
        <f t="shared" si="15"/>
        <v>-1</v>
      </c>
      <c r="O55" s="11"/>
      <c r="P55" s="2"/>
      <c r="Q55" s="2"/>
      <c r="R55" s="19">
        <f t="shared" si="16"/>
        <v>0</v>
      </c>
      <c r="S55" s="2"/>
      <c r="T55" s="2">
        <v>3493.61</v>
      </c>
      <c r="U55" s="2"/>
      <c r="V55" s="19">
        <f t="shared" si="17"/>
        <v>1.4137273111700568E-2</v>
      </c>
      <c r="W55" s="2"/>
      <c r="X55" s="2">
        <f t="shared" si="18"/>
        <v>-3493.61</v>
      </c>
      <c r="Y55" s="2"/>
      <c r="Z55" s="19">
        <f t="shared" si="19"/>
        <v>-1</v>
      </c>
    </row>
    <row r="56" spans="1:26" s="24" customFormat="1" hidden="1" outlineLevel="1" x14ac:dyDescent="0.25">
      <c r="A56" s="44"/>
      <c r="B56" s="11" t="str">
        <f>CONCATENATE("          ", "5081", " - ", "PURCHASES @ COST-ELECTRONICS")</f>
        <v xml:space="preserve">          5081 - PURCHASES @ COST-ELECTRONICS</v>
      </c>
      <c r="C56" s="11"/>
      <c r="D56" s="2"/>
      <c r="E56" s="2"/>
      <c r="F56" s="19">
        <f t="shared" si="12"/>
        <v>0</v>
      </c>
      <c r="G56" s="2"/>
      <c r="H56" s="2">
        <v>281.74</v>
      </c>
      <c r="I56" s="2"/>
      <c r="J56" s="19">
        <f t="shared" si="13"/>
        <v>6.1237322554892216E-3</v>
      </c>
      <c r="K56" s="2"/>
      <c r="L56" s="2">
        <f t="shared" si="14"/>
        <v>-281.74</v>
      </c>
      <c r="M56" s="2"/>
      <c r="N56" s="19">
        <f t="shared" si="15"/>
        <v>-1</v>
      </c>
      <c r="O56" s="11"/>
      <c r="P56" s="2"/>
      <c r="Q56" s="2"/>
      <c r="R56" s="19">
        <f t="shared" si="16"/>
        <v>0</v>
      </c>
      <c r="S56" s="2"/>
      <c r="T56" s="2">
        <v>1244.81</v>
      </c>
      <c r="U56" s="2"/>
      <c r="V56" s="19">
        <f t="shared" si="17"/>
        <v>5.0372591509000664E-3</v>
      </c>
      <c r="W56" s="2"/>
      <c r="X56" s="2">
        <f t="shared" si="18"/>
        <v>-1244.81</v>
      </c>
      <c r="Y56" s="2"/>
      <c r="Z56" s="19">
        <f t="shared" si="19"/>
        <v>-1</v>
      </c>
    </row>
    <row r="57" spans="1:26" s="24" customFormat="1" hidden="1" outlineLevel="1" x14ac:dyDescent="0.25">
      <c r="A57" s="44"/>
      <c r="B57" s="11" t="str">
        <f>CONCATENATE("          ", "5082", " - ", "PURCHASES @ COST-COMPUTER HARD")</f>
        <v xml:space="preserve">          5082 - PURCHASES @ COST-COMPUTER HARD</v>
      </c>
      <c r="C57" s="11"/>
      <c r="D57" s="2"/>
      <c r="E57" s="2"/>
      <c r="F57" s="19">
        <f t="shared" si="12"/>
        <v>0</v>
      </c>
      <c r="G57" s="2"/>
      <c r="H57" s="2">
        <v>95</v>
      </c>
      <c r="I57" s="2"/>
      <c r="J57" s="19">
        <f t="shared" si="13"/>
        <v>2.0648632223733798E-3</v>
      </c>
      <c r="K57" s="2"/>
      <c r="L57" s="2">
        <f t="shared" si="14"/>
        <v>-95</v>
      </c>
      <c r="M57" s="2"/>
      <c r="N57" s="19">
        <f t="shared" si="15"/>
        <v>-1</v>
      </c>
      <c r="O57" s="11"/>
      <c r="P57" s="2"/>
      <c r="Q57" s="2"/>
      <c r="R57" s="19">
        <f t="shared" si="16"/>
        <v>0</v>
      </c>
      <c r="S57" s="2"/>
      <c r="T57" s="2">
        <v>244.6</v>
      </c>
      <c r="U57" s="2"/>
      <c r="V57" s="19">
        <f t="shared" si="17"/>
        <v>9.8980052241720139E-4</v>
      </c>
      <c r="W57" s="2"/>
      <c r="X57" s="2">
        <f t="shared" si="18"/>
        <v>-244.6</v>
      </c>
      <c r="Y57" s="2"/>
      <c r="Z57" s="19">
        <f t="shared" si="19"/>
        <v>-1</v>
      </c>
    </row>
    <row r="58" spans="1:26" s="24" customFormat="1" hidden="1" outlineLevel="1" x14ac:dyDescent="0.25">
      <c r="A58" s="44"/>
      <c r="B58" s="11" t="str">
        <f>CONCATENATE("          ", "5083", " - ", "PURCHASES @ COST-COMPUTER EQUI")</f>
        <v xml:space="preserve">          5083 - PURCHASES @ COST-COMPUTER EQUI</v>
      </c>
      <c r="C58" s="11"/>
      <c r="D58" s="2"/>
      <c r="E58" s="2"/>
      <c r="F58" s="19">
        <f t="shared" si="12"/>
        <v>0</v>
      </c>
      <c r="G58" s="2"/>
      <c r="H58" s="2"/>
      <c r="I58" s="2"/>
      <c r="J58" s="19">
        <f t="shared" si="13"/>
        <v>0</v>
      </c>
      <c r="K58" s="2"/>
      <c r="L58" s="2">
        <f t="shared" si="14"/>
        <v>0</v>
      </c>
      <c r="M58" s="2"/>
      <c r="N58" s="19">
        <f t="shared" si="15"/>
        <v>0</v>
      </c>
      <c r="O58" s="11"/>
      <c r="P58" s="2"/>
      <c r="Q58" s="2"/>
      <c r="R58" s="19">
        <f t="shared" si="16"/>
        <v>0</v>
      </c>
      <c r="S58" s="2"/>
      <c r="T58" s="2">
        <v>192.2</v>
      </c>
      <c r="U58" s="2"/>
      <c r="V58" s="19">
        <f t="shared" si="17"/>
        <v>7.7775821916838139E-4</v>
      </c>
      <c r="W58" s="2"/>
      <c r="X58" s="2">
        <f t="shared" si="18"/>
        <v>-192.2</v>
      </c>
      <c r="Y58" s="2"/>
      <c r="Z58" s="19">
        <f t="shared" si="19"/>
        <v>-1</v>
      </c>
    </row>
    <row r="59" spans="1:26" s="24" customFormat="1" hidden="1" outlineLevel="1" x14ac:dyDescent="0.25">
      <c r="A59" s="44"/>
      <c r="B59" s="11" t="str">
        <f>CONCATENATE("          ", "5086", " - ", "PURCHASES @ COST-COMPUTER SUPP")</f>
        <v xml:space="preserve">          5086 - PURCHASES @ COST-COMPUTER SUPP</v>
      </c>
      <c r="C59" s="11"/>
      <c r="D59" s="2"/>
      <c r="E59" s="2"/>
      <c r="F59" s="19">
        <f t="shared" si="12"/>
        <v>0</v>
      </c>
      <c r="G59" s="2"/>
      <c r="H59" s="2">
        <v>87</v>
      </c>
      <c r="I59" s="2"/>
      <c r="J59" s="19">
        <f t="shared" si="13"/>
        <v>1.8909800036472006E-3</v>
      </c>
      <c r="K59" s="2"/>
      <c r="L59" s="2">
        <f t="shared" si="14"/>
        <v>-87</v>
      </c>
      <c r="M59" s="2"/>
      <c r="N59" s="19">
        <f t="shared" si="15"/>
        <v>-1</v>
      </c>
      <c r="O59" s="11"/>
      <c r="P59" s="2"/>
      <c r="Q59" s="2"/>
      <c r="R59" s="19">
        <f t="shared" si="16"/>
        <v>0</v>
      </c>
      <c r="S59" s="2"/>
      <c r="T59" s="2">
        <v>228</v>
      </c>
      <c r="U59" s="2"/>
      <c r="V59" s="19">
        <f t="shared" si="17"/>
        <v>9.2262681566280418E-4</v>
      </c>
      <c r="W59" s="2"/>
      <c r="X59" s="2">
        <f t="shared" si="18"/>
        <v>-228</v>
      </c>
      <c r="Y59" s="2"/>
      <c r="Z59" s="19">
        <f t="shared" si="19"/>
        <v>-1</v>
      </c>
    </row>
    <row r="60" spans="1:26" s="24" customFormat="1" hidden="1" outlineLevel="1" x14ac:dyDescent="0.25">
      <c r="A60" s="44"/>
      <c r="B60" s="11" t="str">
        <f>CONCATENATE("          ", "5200", " - ", "PURCHASES OFFSET")</f>
        <v xml:space="preserve">          5200 - PURCHASES OFFSET</v>
      </c>
      <c r="C60" s="11"/>
      <c r="D60" s="2"/>
      <c r="E60" s="2"/>
      <c r="F60" s="19">
        <f t="shared" si="12"/>
        <v>0</v>
      </c>
      <c r="G60" s="2"/>
      <c r="H60" s="2">
        <v>-15106</v>
      </c>
      <c r="I60" s="2"/>
      <c r="J60" s="19">
        <f t="shared" si="13"/>
        <v>-0.32833498775970815</v>
      </c>
      <c r="K60" s="2"/>
      <c r="L60" s="2">
        <f t="shared" si="14"/>
        <v>15106</v>
      </c>
      <c r="M60" s="2"/>
      <c r="N60" s="19">
        <f t="shared" si="15"/>
        <v>-1</v>
      </c>
      <c r="O60" s="11"/>
      <c r="P60" s="2">
        <v>-45863.33</v>
      </c>
      <c r="Q60" s="2"/>
      <c r="R60" s="19">
        <f t="shared" si="16"/>
        <v>-2.1520036674311842</v>
      </c>
      <c r="S60" s="2"/>
      <c r="T60" s="2">
        <v>-136847</v>
      </c>
      <c r="U60" s="2"/>
      <c r="V60" s="19">
        <f t="shared" si="17"/>
        <v>-0.55376628001319195</v>
      </c>
      <c r="W60" s="2"/>
      <c r="X60" s="2">
        <f t="shared" si="18"/>
        <v>90983.67</v>
      </c>
      <c r="Y60" s="2"/>
      <c r="Z60" s="19">
        <f t="shared" si="19"/>
        <v>-0.66485688396530429</v>
      </c>
    </row>
    <row r="61" spans="1:26" s="24" customFormat="1" hidden="1" outlineLevel="1" x14ac:dyDescent="0.25">
      <c r="A61" s="44"/>
      <c r="B61" s="11" t="str">
        <f>CONCATENATE("          ", "5300", " - ", "COG$ OFFSET")</f>
        <v xml:space="preserve">          5300 - COG$ OFFSET</v>
      </c>
      <c r="C61" s="11"/>
      <c r="D61" s="2"/>
      <c r="E61" s="2"/>
      <c r="F61" s="19">
        <f t="shared" si="12"/>
        <v>0</v>
      </c>
      <c r="G61" s="2"/>
      <c r="H61" s="2">
        <v>24591</v>
      </c>
      <c r="I61" s="2"/>
      <c r="J61" s="19">
        <f t="shared" si="13"/>
        <v>0.53449527896193461</v>
      </c>
      <c r="K61" s="2"/>
      <c r="L61" s="2">
        <f t="shared" si="14"/>
        <v>-24591</v>
      </c>
      <c r="M61" s="2"/>
      <c r="N61" s="19">
        <f t="shared" si="15"/>
        <v>-1</v>
      </c>
      <c r="O61" s="11"/>
      <c r="P61" s="2">
        <v>14145</v>
      </c>
      <c r="Q61" s="2"/>
      <c r="R61" s="19">
        <f t="shared" si="16"/>
        <v>0.66371307700103988</v>
      </c>
      <c r="S61" s="2"/>
      <c r="T61" s="2">
        <v>129767</v>
      </c>
      <c r="U61" s="2"/>
      <c r="V61" s="19">
        <f t="shared" si="17"/>
        <v>0.52511628942155752</v>
      </c>
      <c r="W61" s="2"/>
      <c r="X61" s="2">
        <f t="shared" si="18"/>
        <v>-115622</v>
      </c>
      <c r="Y61" s="2"/>
      <c r="Z61" s="19">
        <f t="shared" si="19"/>
        <v>-0.89099694067058655</v>
      </c>
    </row>
    <row r="62" spans="1:26" s="24" customFormat="1" hidden="1" outlineLevel="1" x14ac:dyDescent="0.25">
      <c r="A62" s="44"/>
      <c r="B62" s="11" t="str">
        <f>CONCATENATE("          ", "5527", " - ", "FREIGHT-IN-SCHOOL SUPPLIES")</f>
        <v xml:space="preserve">          5527 - FREIGHT-IN-SCHOOL SUPPLIES</v>
      </c>
      <c r="C62" s="11"/>
      <c r="D62" s="2"/>
      <c r="E62" s="2"/>
      <c r="F62" s="19">
        <f t="shared" si="12"/>
        <v>0</v>
      </c>
      <c r="G62" s="2"/>
      <c r="H62" s="2"/>
      <c r="I62" s="2"/>
      <c r="J62" s="19">
        <f t="shared" si="13"/>
        <v>0</v>
      </c>
      <c r="K62" s="2"/>
      <c r="L62" s="2">
        <f t="shared" si="14"/>
        <v>0</v>
      </c>
      <c r="M62" s="2"/>
      <c r="N62" s="19">
        <f t="shared" si="15"/>
        <v>0</v>
      </c>
      <c r="O62" s="11"/>
      <c r="P62" s="2"/>
      <c r="Q62" s="2"/>
      <c r="R62" s="19">
        <f t="shared" si="16"/>
        <v>0</v>
      </c>
      <c r="S62" s="2"/>
      <c r="T62" s="2">
        <v>12.52</v>
      </c>
      <c r="U62" s="2"/>
      <c r="V62" s="19">
        <f t="shared" si="17"/>
        <v>5.0663542684641703E-5</v>
      </c>
      <c r="W62" s="2"/>
      <c r="X62" s="2">
        <f t="shared" si="18"/>
        <v>-12.52</v>
      </c>
      <c r="Y62" s="2"/>
      <c r="Z62" s="19">
        <f t="shared" si="19"/>
        <v>-1</v>
      </c>
    </row>
    <row r="63" spans="1:26" s="24" customFormat="1" hidden="1" outlineLevel="1" x14ac:dyDescent="0.25">
      <c r="A63" s="44"/>
      <c r="B63" s="11" t="str">
        <f>CONCATENATE("          ", "5528", " - ", "FREIGHT-IN-ART/TECH")</f>
        <v xml:space="preserve">          5528 - FREIGHT-IN-ART/TECH</v>
      </c>
      <c r="C63" s="11"/>
      <c r="D63" s="2">
        <v>1.72</v>
      </c>
      <c r="E63" s="2"/>
      <c r="F63" s="19">
        <f t="shared" si="12"/>
        <v>0</v>
      </c>
      <c r="G63" s="2"/>
      <c r="H63" s="2">
        <v>101.25</v>
      </c>
      <c r="I63" s="2"/>
      <c r="J63" s="19">
        <f t="shared" si="13"/>
        <v>2.2007094870032076E-3</v>
      </c>
      <c r="K63" s="2"/>
      <c r="L63" s="2">
        <f t="shared" si="14"/>
        <v>-99.53</v>
      </c>
      <c r="M63" s="2"/>
      <c r="N63" s="19">
        <f t="shared" si="15"/>
        <v>-0.98301234567901241</v>
      </c>
      <c r="O63" s="11"/>
      <c r="P63" s="2">
        <v>281.98</v>
      </c>
      <c r="Q63" s="2"/>
      <c r="R63" s="19">
        <f t="shared" si="16"/>
        <v>1.3231093209809348E-2</v>
      </c>
      <c r="S63" s="2"/>
      <c r="T63" s="2">
        <v>875.69</v>
      </c>
      <c r="U63" s="2"/>
      <c r="V63" s="19">
        <f t="shared" si="17"/>
        <v>3.5435748956480747E-3</v>
      </c>
      <c r="W63" s="2"/>
      <c r="X63" s="2">
        <f t="shared" si="18"/>
        <v>-593.71</v>
      </c>
      <c r="Y63" s="2"/>
      <c r="Z63" s="19">
        <f t="shared" si="19"/>
        <v>-0.67799106989916524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8" t="s">
        <v>6</v>
      </c>
      <c r="C65" s="28"/>
      <c r="D65" s="20">
        <f>D12-D44</f>
        <v>-17.61</v>
      </c>
      <c r="E65" s="14"/>
      <c r="F65" s="22">
        <f>IF(D$12=0,0,D65/D$12)</f>
        <v>0</v>
      </c>
      <c r="G65" s="14"/>
      <c r="H65" s="20">
        <f>H12-H44</f>
        <v>21418.959999999999</v>
      </c>
      <c r="I65" s="14"/>
      <c r="J65" s="22">
        <f>IF(H$12=0,0,H65/H$12)</f>
        <v>0.46554971332091083</v>
      </c>
      <c r="K65" s="15"/>
      <c r="L65" s="20">
        <f>+D65-H65</f>
        <v>-21436.57</v>
      </c>
      <c r="M65" s="15"/>
      <c r="N65" s="22">
        <f>IF(H65=0,0,L65/H65)</f>
        <v>-1.0008221687700991</v>
      </c>
      <c r="O65" s="29"/>
      <c r="P65" s="20">
        <f>P12-P44</f>
        <v>7111.2600000000057</v>
      </c>
      <c r="Q65" s="14"/>
      <c r="R65" s="22">
        <f>IF(P$12=0,0,P65/P$12)</f>
        <v>0.3336752390211678</v>
      </c>
      <c r="S65" s="14"/>
      <c r="T65" s="20">
        <f>T12-T44</f>
        <v>117356.85999999997</v>
      </c>
      <c r="U65" s="14"/>
      <c r="V65" s="22">
        <f>IF(T$12=0,0,T65/T$12)</f>
        <v>0.47489730718414691</v>
      </c>
      <c r="W65" s="15"/>
      <c r="X65" s="20">
        <f>+P65-T65</f>
        <v>-110245.59999999996</v>
      </c>
      <c r="Y65" s="15"/>
      <c r="Z65" s="22">
        <f>IF(T65=0,0,X65/T65)</f>
        <v>-0.93940482047662144</v>
      </c>
    </row>
    <row r="66" spans="1:26" x14ac:dyDescent="0.25">
      <c r="A66" s="9"/>
      <c r="B66" s="10"/>
      <c r="C66" s="9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7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x14ac:dyDescent="0.25">
      <c r="A67" s="10"/>
      <c r="B67" s="29" t="s">
        <v>9</v>
      </c>
      <c r="C67" s="10"/>
      <c r="D67" s="21">
        <f>SUM(OSRRefD22x_0)</f>
        <v>535.58000000000004</v>
      </c>
      <c r="E67" s="21"/>
      <c r="F67" s="35">
        <f t="shared" ref="F67:F76" si="20">IF(D$12=0,0,D67/D$12)</f>
        <v>0</v>
      </c>
      <c r="G67" s="21"/>
      <c r="H67" s="21">
        <f>SUM(OSRRefH22x_0)</f>
        <v>13652.4</v>
      </c>
      <c r="I67" s="21"/>
      <c r="J67" s="35">
        <f t="shared" ref="J67:J76" si="21">IF(H$12=0,0,H67/H$12)</f>
        <v>0.29674040691716136</v>
      </c>
      <c r="K67" s="4"/>
      <c r="L67" s="21">
        <f t="shared" ref="L67:L76" si="22">+D67-H67</f>
        <v>-13116.82</v>
      </c>
      <c r="M67" s="4"/>
      <c r="N67" s="35">
        <f t="shared" ref="N67:N76" si="23">IF(H67=0,0,L67/H67)</f>
        <v>-0.96077026749875483</v>
      </c>
      <c r="O67" s="10"/>
      <c r="P67" s="21">
        <f>SUM(OSRRefP22x_0)</f>
        <v>12153.639999999996</v>
      </c>
      <c r="Q67" s="21"/>
      <c r="R67" s="35">
        <f t="shared" ref="R67:R76" si="24">IF(P$12=0,0,P67/P$12)</f>
        <v>0.57027428781639555</v>
      </c>
      <c r="S67" s="21"/>
      <c r="T67" s="21">
        <f>SUM(OSRRefT22x_0)</f>
        <v>60628.880000000012</v>
      </c>
      <c r="U67" s="21"/>
      <c r="V67" s="35">
        <f t="shared" ref="V67:V76" si="25">IF(T$12=0,0,T67/T$12)</f>
        <v>0.24534136180527319</v>
      </c>
      <c r="W67" s="4"/>
      <c r="X67" s="21">
        <f t="shared" ref="X67:X76" si="26">+P67-T67</f>
        <v>-48475.24000000002</v>
      </c>
      <c r="Y67" s="4"/>
      <c r="Z67" s="35">
        <f t="shared" ref="Z67:Z76" si="27">IF(T67=0,0,X67/T67)</f>
        <v>-0.79954041704217549</v>
      </c>
    </row>
    <row r="68" spans="1:26" s="26" customFormat="1" outlineLevel="1" collapsed="1" x14ac:dyDescent="0.25">
      <c r="A68" s="27"/>
      <c r="B68" s="13" t="str">
        <f>CONCATENATE("     ","*Benefits                                         ")</f>
        <v xml:space="preserve">     *Benefits                                         </v>
      </c>
      <c r="C68" s="13"/>
      <c r="D68" s="1">
        <f>SUM(OSRRefD22_0x_0)</f>
        <v>1.39</v>
      </c>
      <c r="E68" s="1"/>
      <c r="F68" s="5">
        <f t="shared" si="20"/>
        <v>0</v>
      </c>
      <c r="G68" s="1"/>
      <c r="H68" s="1">
        <f>SUM(OSRRefH22_0x_0)</f>
        <v>3259.03</v>
      </c>
      <c r="I68" s="1"/>
      <c r="J68" s="5">
        <f t="shared" si="21"/>
        <v>7.0836328290647538E-2</v>
      </c>
      <c r="K68" s="1"/>
      <c r="L68" s="1">
        <f t="shared" si="22"/>
        <v>-3257.6400000000003</v>
      </c>
      <c r="M68" s="1"/>
      <c r="N68" s="5">
        <f t="shared" si="23"/>
        <v>-0.99957349272636342</v>
      </c>
      <c r="O68" s="13"/>
      <c r="P68" s="1">
        <f>SUM(OSRRefP22_0x_0)</f>
        <v>778.2</v>
      </c>
      <c r="Q68" s="1"/>
      <c r="R68" s="5">
        <f t="shared" si="24"/>
        <v>3.6514776707119778E-2</v>
      </c>
      <c r="S68" s="1"/>
      <c r="T68" s="1">
        <f>SUM(OSRRefT22_0x_0)</f>
        <v>9501.84</v>
      </c>
      <c r="U68" s="1"/>
      <c r="V68" s="5">
        <f t="shared" si="25"/>
        <v>3.8450229746216924E-2</v>
      </c>
      <c r="W68" s="1"/>
      <c r="X68" s="1">
        <f t="shared" si="26"/>
        <v>-8723.64</v>
      </c>
      <c r="Y68" s="1"/>
      <c r="Z68" s="5">
        <f t="shared" si="27"/>
        <v>-0.91810007324897069</v>
      </c>
    </row>
    <row r="69" spans="1:26" s="24" customFormat="1" hidden="1" outlineLevel="2" x14ac:dyDescent="0.25">
      <c r="A69" s="25"/>
      <c r="B69" s="11" t="str">
        <f>CONCATENATE("          ", "6111", " - ", "F.I.C.A.")</f>
        <v xml:space="preserve">          6111 - F.I.C.A.</v>
      </c>
      <c r="C69" s="11"/>
      <c r="D69" s="6">
        <v>1.39</v>
      </c>
      <c r="E69" s="2"/>
      <c r="F69" s="7">
        <f t="shared" si="20"/>
        <v>0</v>
      </c>
      <c r="G69" s="2"/>
      <c r="H69" s="6">
        <v>320.3</v>
      </c>
      <c r="I69" s="2"/>
      <c r="J69" s="7">
        <f t="shared" si="21"/>
        <v>6.9618493697494064E-3</v>
      </c>
      <c r="K69" s="2"/>
      <c r="L69" s="6">
        <f t="shared" si="22"/>
        <v>-318.91000000000003</v>
      </c>
      <c r="M69" s="2"/>
      <c r="N69" s="7">
        <f t="shared" si="23"/>
        <v>-0.99566031845145175</v>
      </c>
      <c r="O69" s="11"/>
      <c r="P69" s="6">
        <v>484.61</v>
      </c>
      <c r="Q69" s="2"/>
      <c r="R69" s="7">
        <f t="shared" si="24"/>
        <v>2.2738917938881154E-2</v>
      </c>
      <c r="S69" s="2"/>
      <c r="T69" s="6">
        <v>1522.65</v>
      </c>
      <c r="U69" s="2"/>
      <c r="V69" s="7">
        <f t="shared" si="25"/>
        <v>6.161568951179688E-3</v>
      </c>
      <c r="W69" s="2"/>
      <c r="X69" s="6">
        <f t="shared" si="26"/>
        <v>-1038.04</v>
      </c>
      <c r="Y69" s="2"/>
      <c r="Z69" s="7">
        <f t="shared" si="27"/>
        <v>-0.68173250582865397</v>
      </c>
    </row>
    <row r="70" spans="1:26" s="24" customFormat="1" hidden="1" outlineLevel="2" x14ac:dyDescent="0.25">
      <c r="A70" s="25"/>
      <c r="B70" s="11" t="str">
        <f>CONCATENATE("          ", "6112", " - ", "COMPENSATION INSURANCE")</f>
        <v xml:space="preserve">          6112 - COMPENSATION INSURANCE</v>
      </c>
      <c r="C70" s="11"/>
      <c r="D70" s="6"/>
      <c r="E70" s="2"/>
      <c r="F70" s="7">
        <f t="shared" si="20"/>
        <v>0</v>
      </c>
      <c r="G70" s="2"/>
      <c r="H70" s="6">
        <v>210.21</v>
      </c>
      <c r="I70" s="2"/>
      <c r="J70" s="7">
        <f t="shared" si="21"/>
        <v>4.5689989260537705E-3</v>
      </c>
      <c r="K70" s="2"/>
      <c r="L70" s="6">
        <f t="shared" si="22"/>
        <v>-210.21</v>
      </c>
      <c r="M70" s="2"/>
      <c r="N70" s="7">
        <f t="shared" si="23"/>
        <v>-1</v>
      </c>
      <c r="O70" s="11"/>
      <c r="P70" s="6">
        <v>255.57</v>
      </c>
      <c r="Q70" s="2"/>
      <c r="R70" s="7">
        <f t="shared" si="24"/>
        <v>1.1991880600152403E-2</v>
      </c>
      <c r="S70" s="2"/>
      <c r="T70" s="6">
        <v>584.05999999999995</v>
      </c>
      <c r="U70" s="2"/>
      <c r="V70" s="7">
        <f t="shared" si="25"/>
        <v>2.3634623594562163E-3</v>
      </c>
      <c r="W70" s="2"/>
      <c r="X70" s="6">
        <f t="shared" si="26"/>
        <v>-328.48999999999995</v>
      </c>
      <c r="Y70" s="2"/>
      <c r="Z70" s="7">
        <f t="shared" si="27"/>
        <v>-0.56242509331233093</v>
      </c>
    </row>
    <row r="71" spans="1:26" s="24" customFormat="1" hidden="1" outlineLevel="2" x14ac:dyDescent="0.25">
      <c r="A71" s="25"/>
      <c r="B71" s="11" t="str">
        <f>CONCATENATE("          ", "6113", " - ", "GROUP INSURANCE")</f>
        <v xml:space="preserve">          6113 - GROUP INSURANCE</v>
      </c>
      <c r="C71" s="11"/>
      <c r="D71" s="6"/>
      <c r="E71" s="2"/>
      <c r="F71" s="7">
        <f t="shared" si="20"/>
        <v>0</v>
      </c>
      <c r="G71" s="2"/>
      <c r="H71" s="6">
        <v>1992.63</v>
      </c>
      <c r="I71" s="2"/>
      <c r="J71" s="7">
        <f t="shared" si="21"/>
        <v>4.3310614766293352E-2</v>
      </c>
      <c r="K71" s="2"/>
      <c r="L71" s="6">
        <f t="shared" si="22"/>
        <v>-1992.63</v>
      </c>
      <c r="M71" s="2"/>
      <c r="N71" s="7">
        <f t="shared" si="23"/>
        <v>-1</v>
      </c>
      <c r="O71" s="11"/>
      <c r="P71" s="6"/>
      <c r="Q71" s="2"/>
      <c r="R71" s="7">
        <f t="shared" si="24"/>
        <v>0</v>
      </c>
      <c r="S71" s="2"/>
      <c r="T71" s="6">
        <v>4095.07</v>
      </c>
      <c r="U71" s="2"/>
      <c r="V71" s="7">
        <f t="shared" si="25"/>
        <v>1.6571146464983682E-2</v>
      </c>
      <c r="W71" s="2"/>
      <c r="X71" s="6">
        <f t="shared" si="26"/>
        <v>-4095.07</v>
      </c>
      <c r="Y71" s="2"/>
      <c r="Z71" s="7">
        <f t="shared" si="27"/>
        <v>-1</v>
      </c>
    </row>
    <row r="72" spans="1:26" s="24" customFormat="1" hidden="1" outlineLevel="2" x14ac:dyDescent="0.25">
      <c r="A72" s="25"/>
      <c r="B72" s="11" t="str">
        <f>CONCATENATE("          ", "6114", " - ", "STATE UNEMPLOYMENT INSURANCE")</f>
        <v xml:space="preserve">          6114 - STATE UNEMPLOYMENT INSURANCE</v>
      </c>
      <c r="C72" s="11"/>
      <c r="D72" s="6"/>
      <c r="E72" s="2"/>
      <c r="F72" s="7">
        <f t="shared" si="20"/>
        <v>0</v>
      </c>
      <c r="G72" s="2"/>
      <c r="H72" s="6">
        <v>28.77</v>
      </c>
      <c r="I72" s="2"/>
      <c r="J72" s="7">
        <f t="shared" si="21"/>
        <v>6.2532752534402247E-4</v>
      </c>
      <c r="K72" s="2"/>
      <c r="L72" s="6">
        <f t="shared" si="22"/>
        <v>-28.77</v>
      </c>
      <c r="M72" s="2"/>
      <c r="N72" s="7">
        <f t="shared" si="23"/>
        <v>-1</v>
      </c>
      <c r="O72" s="11"/>
      <c r="P72" s="6">
        <v>38.020000000000003</v>
      </c>
      <c r="Q72" s="2"/>
      <c r="R72" s="7">
        <f t="shared" si="24"/>
        <v>1.7839781680862169E-3</v>
      </c>
      <c r="S72" s="2"/>
      <c r="T72" s="6">
        <v>102.32</v>
      </c>
      <c r="U72" s="2"/>
      <c r="V72" s="7">
        <f t="shared" si="25"/>
        <v>4.140490165728865E-4</v>
      </c>
      <c r="W72" s="2"/>
      <c r="X72" s="6">
        <f t="shared" si="26"/>
        <v>-64.299999999999983</v>
      </c>
      <c r="Y72" s="2"/>
      <c r="Z72" s="7">
        <f t="shared" si="27"/>
        <v>-0.62842064112587948</v>
      </c>
    </row>
    <row r="73" spans="1:26" s="24" customFormat="1" hidden="1" outlineLevel="2" x14ac:dyDescent="0.25">
      <c r="A73" s="25"/>
      <c r="B73" s="11" t="str">
        <f>CONCATENATE("          ", "6115", " - ", "P.E.R.S.")</f>
        <v xml:space="preserve">          6115 - P.E.R.S.</v>
      </c>
      <c r="C73" s="11"/>
      <c r="D73" s="6"/>
      <c r="E73" s="2"/>
      <c r="F73" s="7">
        <f t="shared" si="20"/>
        <v>0</v>
      </c>
      <c r="G73" s="2"/>
      <c r="H73" s="6">
        <v>299.39</v>
      </c>
      <c r="I73" s="2"/>
      <c r="J73" s="7">
        <f t="shared" si="21"/>
        <v>6.5073621068038549E-3</v>
      </c>
      <c r="K73" s="2"/>
      <c r="L73" s="6">
        <f t="shared" si="22"/>
        <v>-299.39</v>
      </c>
      <c r="M73" s="2"/>
      <c r="N73" s="7">
        <f t="shared" si="23"/>
        <v>-1</v>
      </c>
      <c r="O73" s="11"/>
      <c r="P73" s="6"/>
      <c r="Q73" s="2"/>
      <c r="R73" s="7">
        <f t="shared" si="24"/>
        <v>0</v>
      </c>
      <c r="S73" s="2"/>
      <c r="T73" s="6">
        <v>1037.01</v>
      </c>
      <c r="U73" s="2"/>
      <c r="V73" s="7">
        <f t="shared" si="25"/>
        <v>4.1963738338179147E-3</v>
      </c>
      <c r="W73" s="2"/>
      <c r="X73" s="6">
        <f t="shared" si="26"/>
        <v>-1037.01</v>
      </c>
      <c r="Y73" s="2"/>
      <c r="Z73" s="7">
        <f t="shared" si="27"/>
        <v>-1</v>
      </c>
    </row>
    <row r="74" spans="1:26" s="24" customFormat="1" hidden="1" outlineLevel="2" x14ac:dyDescent="0.25">
      <c r="A74" s="25"/>
      <c r="B74" s="11" t="str">
        <f>CONCATENATE("          ", "6118", " - ", "VACATION")</f>
        <v xml:space="preserve">          6118 - VACATION</v>
      </c>
      <c r="C74" s="11"/>
      <c r="D74" s="6"/>
      <c r="E74" s="2"/>
      <c r="F74" s="7">
        <f t="shared" si="20"/>
        <v>0</v>
      </c>
      <c r="G74" s="2"/>
      <c r="H74" s="6">
        <v>540.55999999999995</v>
      </c>
      <c r="I74" s="2"/>
      <c r="J74" s="7">
        <f t="shared" si="21"/>
        <v>1.1749289089327939E-2</v>
      </c>
      <c r="K74" s="2"/>
      <c r="L74" s="6">
        <f t="shared" si="22"/>
        <v>-540.55999999999995</v>
      </c>
      <c r="M74" s="2"/>
      <c r="N74" s="7">
        <f t="shared" si="23"/>
        <v>-1</v>
      </c>
      <c r="O74" s="11"/>
      <c r="P74" s="6"/>
      <c r="Q74" s="2"/>
      <c r="R74" s="7">
        <f t="shared" si="24"/>
        <v>0</v>
      </c>
      <c r="S74" s="2"/>
      <c r="T74" s="6">
        <v>1103.48</v>
      </c>
      <c r="U74" s="2"/>
      <c r="V74" s="7">
        <f t="shared" si="25"/>
        <v>4.4653519234543471E-3</v>
      </c>
      <c r="W74" s="2"/>
      <c r="X74" s="6">
        <f t="shared" si="26"/>
        <v>-1103.48</v>
      </c>
      <c r="Y74" s="2"/>
      <c r="Z74" s="7">
        <f t="shared" si="27"/>
        <v>-1</v>
      </c>
    </row>
    <row r="75" spans="1:26" s="24" customFormat="1" hidden="1" outlineLevel="2" x14ac:dyDescent="0.25">
      <c r="A75" s="25"/>
      <c r="B75" s="11" t="str">
        <f>CONCATENATE("          ", "6119", " - ", "SICK LEAVE")</f>
        <v xml:space="preserve">          6119 - SICK LEAVE</v>
      </c>
      <c r="C75" s="11"/>
      <c r="D75" s="6"/>
      <c r="E75" s="2"/>
      <c r="F75" s="7">
        <f t="shared" si="20"/>
        <v>0</v>
      </c>
      <c r="G75" s="2"/>
      <c r="H75" s="6">
        <v>-269.18</v>
      </c>
      <c r="I75" s="2"/>
      <c r="J75" s="7">
        <f t="shared" si="21"/>
        <v>-5.85073560208912E-3</v>
      </c>
      <c r="K75" s="2"/>
      <c r="L75" s="6">
        <f t="shared" si="22"/>
        <v>269.18</v>
      </c>
      <c r="M75" s="2"/>
      <c r="N75" s="7">
        <f t="shared" si="23"/>
        <v>-1</v>
      </c>
      <c r="O75" s="11"/>
      <c r="P75" s="6"/>
      <c r="Q75" s="2"/>
      <c r="R75" s="7">
        <f t="shared" si="24"/>
        <v>0</v>
      </c>
      <c r="S75" s="2"/>
      <c r="T75" s="6">
        <v>273.25</v>
      </c>
      <c r="U75" s="2"/>
      <c r="V75" s="7">
        <f t="shared" si="25"/>
        <v>1.1057358657011458E-3</v>
      </c>
      <c r="W75" s="2"/>
      <c r="X75" s="6">
        <f t="shared" si="26"/>
        <v>-273.25</v>
      </c>
      <c r="Y75" s="2"/>
      <c r="Z75" s="7">
        <f t="shared" si="27"/>
        <v>-1</v>
      </c>
    </row>
    <row r="76" spans="1:26" s="24" customFormat="1" hidden="1" outlineLevel="2" x14ac:dyDescent="0.25">
      <c r="A76" s="25"/>
      <c r="B76" s="11" t="str">
        <f>CONCATENATE("          ", "6156", " - ", "EMPLOYEE MEALS")</f>
        <v xml:space="preserve">          6156 - EMPLOYEE MEALS</v>
      </c>
      <c r="C76" s="11"/>
      <c r="D76" s="6"/>
      <c r="E76" s="2"/>
      <c r="F76" s="7">
        <f t="shared" si="20"/>
        <v>0</v>
      </c>
      <c r="G76" s="2"/>
      <c r="H76" s="6">
        <v>136.35</v>
      </c>
      <c r="I76" s="2"/>
      <c r="J76" s="7">
        <f t="shared" si="21"/>
        <v>2.9636221091643195E-3</v>
      </c>
      <c r="K76" s="2"/>
      <c r="L76" s="6">
        <f t="shared" si="22"/>
        <v>-136.35</v>
      </c>
      <c r="M76" s="2"/>
      <c r="N76" s="7">
        <f t="shared" si="23"/>
        <v>-1</v>
      </c>
      <c r="O76" s="11"/>
      <c r="P76" s="6"/>
      <c r="Q76" s="2"/>
      <c r="R76" s="7">
        <f t="shared" si="24"/>
        <v>0</v>
      </c>
      <c r="S76" s="2"/>
      <c r="T76" s="6">
        <v>784</v>
      </c>
      <c r="U76" s="2"/>
      <c r="V76" s="7">
        <f t="shared" si="25"/>
        <v>3.172541331051046E-3</v>
      </c>
      <c r="W76" s="2"/>
      <c r="X76" s="6">
        <f t="shared" si="26"/>
        <v>-784</v>
      </c>
      <c r="Y76" s="2"/>
      <c r="Z76" s="7">
        <f t="shared" si="27"/>
        <v>-1</v>
      </c>
    </row>
    <row r="77" spans="1:26" s="26" customFormat="1" outlineLevel="1" collapsed="1" x14ac:dyDescent="0.25">
      <c r="A77" s="27"/>
      <c r="B77" s="13" t="str">
        <f>CONCATENATE("     ","*Payroll                                          ")</f>
        <v xml:space="preserve">     *Payroll                                          </v>
      </c>
      <c r="C77" s="13"/>
      <c r="D77" s="1">
        <f>SUM(OSRRefD22_1x_0)</f>
        <v>18.190000000000001</v>
      </c>
      <c r="E77" s="1"/>
      <c r="F77" s="5">
        <f t="shared" ref="F77:F81" si="28">IF(D$12=0,0,D77/D$12)</f>
        <v>0</v>
      </c>
      <c r="G77" s="1"/>
      <c r="H77" s="1">
        <f>SUM(OSRRefH22_1x_0)</f>
        <v>9083.49</v>
      </c>
      <c r="I77" s="1"/>
      <c r="J77" s="5">
        <f t="shared" ref="J77:J81" si="29">IF(H$12=0,0,H77/H$12)</f>
        <v>0.19743330980838286</v>
      </c>
      <c r="K77" s="1"/>
      <c r="L77" s="1">
        <f t="shared" ref="L77:L81" si="30">+D77-H77</f>
        <v>-9065.2999999999993</v>
      </c>
      <c r="M77" s="1"/>
      <c r="N77" s="5">
        <f t="shared" ref="N77:N81" si="31">IF(H77=0,0,L77/H77)</f>
        <v>-0.99799746573178361</v>
      </c>
      <c r="O77" s="13"/>
      <c r="P77" s="1">
        <f>SUM(OSRRefP22_1x_0)</f>
        <v>8152.5399999999991</v>
      </c>
      <c r="Q77" s="1"/>
      <c r="R77" s="5">
        <f t="shared" ref="R77:R81" si="32">IF(P$12=0,0,P77/P$12)</f>
        <v>0.38253428128483963</v>
      </c>
      <c r="S77" s="1"/>
      <c r="T77" s="1">
        <f>SUM(OSRRefT22_1x_0)</f>
        <v>40654.619999999995</v>
      </c>
      <c r="U77" s="1"/>
      <c r="V77" s="5">
        <f t="shared" ref="V77:V81" si="33">IF(T$12=0,0,T77/T$12)</f>
        <v>0.16451334470430415</v>
      </c>
      <c r="W77" s="1"/>
      <c r="X77" s="1">
        <f t="shared" ref="X77:X81" si="34">+P77-T77</f>
        <v>-32502.079999999994</v>
      </c>
      <c r="Y77" s="1"/>
      <c r="Z77" s="5">
        <f t="shared" ref="Z77:Z81" si="35">IF(T77=0,0,X77/T77)</f>
        <v>-0.79946830151161163</v>
      </c>
    </row>
    <row r="78" spans="1:26" s="24" customFormat="1" hidden="1" outlineLevel="2" x14ac:dyDescent="0.25">
      <c r="A78" s="25"/>
      <c r="B78" s="11" t="str">
        <f>CONCATENATE("          ", "6002", " - ", "STAFF SALARIES")</f>
        <v xml:space="preserve">          6002 - STAFF SALARIES</v>
      </c>
      <c r="C78" s="11"/>
      <c r="D78" s="6"/>
      <c r="E78" s="2"/>
      <c r="F78" s="7">
        <f t="shared" si="28"/>
        <v>0</v>
      </c>
      <c r="G78" s="2"/>
      <c r="H78" s="6">
        <v>2563.85</v>
      </c>
      <c r="I78" s="2"/>
      <c r="J78" s="7">
        <f t="shared" si="29"/>
        <v>5.5726311291389365E-2</v>
      </c>
      <c r="K78" s="2"/>
      <c r="L78" s="6">
        <f t="shared" si="30"/>
        <v>-2563.85</v>
      </c>
      <c r="M78" s="2"/>
      <c r="N78" s="7">
        <f t="shared" si="31"/>
        <v>-1</v>
      </c>
      <c r="O78" s="11"/>
      <c r="P78" s="6"/>
      <c r="Q78" s="2"/>
      <c r="R78" s="7">
        <f t="shared" si="32"/>
        <v>0</v>
      </c>
      <c r="S78" s="2"/>
      <c r="T78" s="6">
        <v>13939.85</v>
      </c>
      <c r="U78" s="2"/>
      <c r="V78" s="7">
        <f t="shared" si="33"/>
        <v>5.6409120247005007E-2</v>
      </c>
      <c r="W78" s="2"/>
      <c r="X78" s="6">
        <f t="shared" si="34"/>
        <v>-13939.85</v>
      </c>
      <c r="Y78" s="2"/>
      <c r="Z78" s="7">
        <f t="shared" si="35"/>
        <v>-1</v>
      </c>
    </row>
    <row r="79" spans="1:26" s="24" customFormat="1" hidden="1" outlineLevel="2" x14ac:dyDescent="0.25">
      <c r="A79" s="25"/>
      <c r="B79" s="11" t="str">
        <f>CONCATENATE("          ", "6005", " - ", "TEMPORARY WAGES-HOURLY")</f>
        <v xml:space="preserve">          6005 - TEMPORARY WAGES-HOURLY</v>
      </c>
      <c r="C79" s="11"/>
      <c r="D79" s="6">
        <v>18.190000000000001</v>
      </c>
      <c r="E79" s="2"/>
      <c r="F79" s="7">
        <f t="shared" si="28"/>
        <v>0</v>
      </c>
      <c r="G79" s="2"/>
      <c r="H79" s="6">
        <v>1265.1300000000001</v>
      </c>
      <c r="I79" s="2"/>
      <c r="J79" s="7">
        <f t="shared" si="29"/>
        <v>2.7498109563381414E-2</v>
      </c>
      <c r="K79" s="2"/>
      <c r="L79" s="6">
        <f t="shared" si="30"/>
        <v>-1246.94</v>
      </c>
      <c r="M79" s="2"/>
      <c r="N79" s="7">
        <f t="shared" si="31"/>
        <v>-0.98562203093753209</v>
      </c>
      <c r="O79" s="11"/>
      <c r="P79" s="6">
        <v>5379.19</v>
      </c>
      <c r="Q79" s="2"/>
      <c r="R79" s="7">
        <f t="shared" si="32"/>
        <v>0.25240288064144384</v>
      </c>
      <c r="S79" s="2"/>
      <c r="T79" s="6">
        <v>1682.01</v>
      </c>
      <c r="U79" s="2"/>
      <c r="V79" s="7">
        <f t="shared" si="33"/>
        <v>6.8064365360219004E-3</v>
      </c>
      <c r="W79" s="2"/>
      <c r="X79" s="6">
        <f t="shared" si="34"/>
        <v>3697.1799999999994</v>
      </c>
      <c r="Y79" s="2"/>
      <c r="Z79" s="7">
        <f t="shared" si="35"/>
        <v>2.1980725441584767</v>
      </c>
    </row>
    <row r="80" spans="1:26" s="24" customFormat="1" hidden="1" outlineLevel="2" x14ac:dyDescent="0.25">
      <c r="A80" s="25"/>
      <c r="B80" s="11" t="str">
        <f>CONCATENATE("          ", "6006", " - ", "TEMPORARY PART TIME")</f>
        <v xml:space="preserve">          6006 - TEMPORARY PART TIME</v>
      </c>
      <c r="C80" s="11"/>
      <c r="D80" s="6"/>
      <c r="E80" s="2"/>
      <c r="F80" s="7">
        <f t="shared" si="28"/>
        <v>0</v>
      </c>
      <c r="G80" s="2"/>
      <c r="H80" s="6"/>
      <c r="I80" s="2"/>
      <c r="J80" s="7">
        <f t="shared" si="29"/>
        <v>0</v>
      </c>
      <c r="K80" s="2"/>
      <c r="L80" s="6">
        <f t="shared" si="30"/>
        <v>0</v>
      </c>
      <c r="M80" s="2"/>
      <c r="N80" s="7">
        <f t="shared" si="31"/>
        <v>0</v>
      </c>
      <c r="O80" s="11"/>
      <c r="P80" s="6"/>
      <c r="Q80" s="2"/>
      <c r="R80" s="7">
        <f t="shared" si="32"/>
        <v>0</v>
      </c>
      <c r="S80" s="2"/>
      <c r="T80" s="6">
        <v>25.5</v>
      </c>
      <c r="U80" s="2"/>
      <c r="V80" s="7">
        <f t="shared" si="33"/>
        <v>1.0318852543597152E-4</v>
      </c>
      <c r="W80" s="2"/>
      <c r="X80" s="6">
        <f t="shared" si="34"/>
        <v>-25.5</v>
      </c>
      <c r="Y80" s="2"/>
      <c r="Z80" s="7">
        <f t="shared" si="35"/>
        <v>-1</v>
      </c>
    </row>
    <row r="81" spans="1:26" s="24" customFormat="1" hidden="1" outlineLevel="2" x14ac:dyDescent="0.25">
      <c r="A81" s="25"/>
      <c r="B81" s="11" t="str">
        <f>CONCATENATE("          ", "6007", " - ", "STUDENT HOURLY")</f>
        <v xml:space="preserve">          6007 - STUDENT HOURLY</v>
      </c>
      <c r="C81" s="11"/>
      <c r="D81" s="6"/>
      <c r="E81" s="2"/>
      <c r="F81" s="7">
        <f t="shared" si="28"/>
        <v>0</v>
      </c>
      <c r="G81" s="2"/>
      <c r="H81" s="6">
        <v>5254.51</v>
      </c>
      <c r="I81" s="2"/>
      <c r="J81" s="7">
        <f t="shared" si="29"/>
        <v>0.11420888895361209</v>
      </c>
      <c r="K81" s="2"/>
      <c r="L81" s="6">
        <f t="shared" si="30"/>
        <v>-5254.51</v>
      </c>
      <c r="M81" s="2"/>
      <c r="N81" s="7">
        <f t="shared" si="31"/>
        <v>-1</v>
      </c>
      <c r="O81" s="11"/>
      <c r="P81" s="6">
        <v>2773.35</v>
      </c>
      <c r="Q81" s="2"/>
      <c r="R81" s="7">
        <f t="shared" si="32"/>
        <v>0.13013140064339582</v>
      </c>
      <c r="S81" s="2"/>
      <c r="T81" s="6">
        <v>25007.26</v>
      </c>
      <c r="U81" s="2"/>
      <c r="V81" s="7">
        <f t="shared" si="33"/>
        <v>0.1011945993958413</v>
      </c>
      <c r="W81" s="2"/>
      <c r="X81" s="6">
        <f t="shared" si="34"/>
        <v>-22233.91</v>
      </c>
      <c r="Y81" s="2"/>
      <c r="Z81" s="7">
        <f t="shared" si="35"/>
        <v>-0.88909820588101218</v>
      </c>
    </row>
    <row r="82" spans="1:26" s="26" customFormat="1" outlineLevel="1" collapsed="1" x14ac:dyDescent="0.25">
      <c r="A82" s="27"/>
      <c r="B82" s="13" t="str">
        <f>CONCATENATE("     ","Advertising/Promo                                 ")</f>
        <v xml:space="preserve">     Advertising/Promo                                 </v>
      </c>
      <c r="C82" s="13"/>
      <c r="D82" s="1">
        <f>SUM(OSRRefD22_2x_0)</f>
        <v>0</v>
      </c>
      <c r="E82" s="1"/>
      <c r="F82" s="5">
        <f t="shared" ref="F82:F88" si="36">IF(D$12=0,0,D82/D$12)</f>
        <v>0</v>
      </c>
      <c r="G82" s="1"/>
      <c r="H82" s="1">
        <f>SUM(OSRRefH22_2x_0)</f>
        <v>115</v>
      </c>
      <c r="I82" s="1"/>
      <c r="J82" s="5">
        <f t="shared" ref="J82:J88" si="37">IF(H$12=0,0,H82/H$12)</f>
        <v>2.4995712691888283E-3</v>
      </c>
      <c r="K82" s="1"/>
      <c r="L82" s="1">
        <f t="shared" ref="L82:L88" si="38">+D82-H82</f>
        <v>-115</v>
      </c>
      <c r="M82" s="1"/>
      <c r="N82" s="5">
        <f t="shared" ref="N82:N88" si="39">IF(H82=0,0,L82/H82)</f>
        <v>-1</v>
      </c>
      <c r="O82" s="13"/>
      <c r="P82" s="1">
        <f>SUM(OSRRefP22_2x_0)</f>
        <v>124.72</v>
      </c>
      <c r="Q82" s="1"/>
      <c r="R82" s="5">
        <f t="shared" ref="R82:R88" si="40">IF(P$12=0,0,P82/P$12)</f>
        <v>5.8521240695347957E-3</v>
      </c>
      <c r="S82" s="1"/>
      <c r="T82" s="1">
        <f>SUM(OSRRefT22_2x_0)</f>
        <v>963.62</v>
      </c>
      <c r="U82" s="1"/>
      <c r="V82" s="5">
        <f t="shared" ref="V82:V88" si="41">IF(T$12=0,0,T82/T$12)</f>
        <v>3.8993932110043482E-3</v>
      </c>
      <c r="W82" s="1"/>
      <c r="X82" s="1">
        <f t="shared" ref="X82:X88" si="42">+P82-T82</f>
        <v>-838.9</v>
      </c>
      <c r="Y82" s="1"/>
      <c r="Z82" s="5">
        <f t="shared" ref="Z82:Z88" si="43">IF(T82=0,0,X82/T82)</f>
        <v>-0.87057138706128967</v>
      </c>
    </row>
    <row r="83" spans="1:26" s="24" customFormat="1" hidden="1" outlineLevel="2" x14ac:dyDescent="0.25">
      <c r="A83" s="25"/>
      <c r="B83" s="11" t="str">
        <f>CONCATENATE("          ", "6362", " - ", "ADVERTISING EXPENSE")</f>
        <v xml:space="preserve">          6362 - ADVERTISING EXPENSE</v>
      </c>
      <c r="C83" s="11"/>
      <c r="D83" s="6"/>
      <c r="E83" s="2"/>
      <c r="F83" s="7">
        <f t="shared" si="36"/>
        <v>0</v>
      </c>
      <c r="G83" s="2"/>
      <c r="H83" s="6">
        <v>115</v>
      </c>
      <c r="I83" s="2"/>
      <c r="J83" s="7">
        <f t="shared" si="37"/>
        <v>2.4995712691888283E-3</v>
      </c>
      <c r="K83" s="2"/>
      <c r="L83" s="6">
        <f t="shared" si="38"/>
        <v>-115</v>
      </c>
      <c r="M83" s="2"/>
      <c r="N83" s="7">
        <f t="shared" si="39"/>
        <v>-1</v>
      </c>
      <c r="O83" s="11"/>
      <c r="P83" s="6">
        <v>124.72</v>
      </c>
      <c r="Q83" s="2"/>
      <c r="R83" s="7">
        <f t="shared" si="40"/>
        <v>5.8521240695347957E-3</v>
      </c>
      <c r="S83" s="2"/>
      <c r="T83" s="6">
        <v>963.62</v>
      </c>
      <c r="U83" s="2"/>
      <c r="V83" s="7">
        <f t="shared" si="41"/>
        <v>3.8993932110043482E-3</v>
      </c>
      <c r="W83" s="2"/>
      <c r="X83" s="6">
        <f t="shared" si="42"/>
        <v>-838.9</v>
      </c>
      <c r="Y83" s="2"/>
      <c r="Z83" s="7">
        <f t="shared" si="43"/>
        <v>-0.87057138706128967</v>
      </c>
    </row>
    <row r="84" spans="1:26" s="26" customFormat="1" outlineLevel="1" collapsed="1" x14ac:dyDescent="0.25">
      <c r="A84" s="27"/>
      <c r="B84" s="13" t="str">
        <f>CONCATENATE("     ","Bad Debts/Over/Short                              ")</f>
        <v xml:space="preserve">     Bad Debts/Over/Short                              </v>
      </c>
      <c r="C84" s="13"/>
      <c r="D84" s="1">
        <f>SUM(OSRRefD22_3x_0)</f>
        <v>0</v>
      </c>
      <c r="E84" s="1"/>
      <c r="F84" s="5">
        <f t="shared" si="36"/>
        <v>0</v>
      </c>
      <c r="G84" s="1"/>
      <c r="H84" s="1">
        <f>SUM(OSRRefH22_3x_0)</f>
        <v>0.35</v>
      </c>
      <c r="I84" s="1"/>
      <c r="J84" s="5">
        <f t="shared" si="37"/>
        <v>7.6073908192703467E-6</v>
      </c>
      <c r="K84" s="1"/>
      <c r="L84" s="1">
        <f t="shared" si="38"/>
        <v>-0.35</v>
      </c>
      <c r="M84" s="1"/>
      <c r="N84" s="5">
        <f t="shared" si="39"/>
        <v>-1</v>
      </c>
      <c r="O84" s="13"/>
      <c r="P84" s="1">
        <f>SUM(OSRRefP22_3x_0)</f>
        <v>1.1000000000000001</v>
      </c>
      <c r="Q84" s="1"/>
      <c r="R84" s="5">
        <f t="shared" si="40"/>
        <v>5.1614307861516002E-5</v>
      </c>
      <c r="S84" s="1"/>
      <c r="T84" s="1">
        <f>SUM(OSRRefT22_3x_0)</f>
        <v>-47.21</v>
      </c>
      <c r="U84" s="1"/>
      <c r="V84" s="5">
        <f t="shared" si="41"/>
        <v>-1.9104040336596925E-4</v>
      </c>
      <c r="W84" s="1"/>
      <c r="X84" s="1">
        <f t="shared" si="42"/>
        <v>48.31</v>
      </c>
      <c r="Y84" s="1"/>
      <c r="Z84" s="5">
        <f t="shared" si="43"/>
        <v>-1.0233001482736708</v>
      </c>
    </row>
    <row r="85" spans="1:26" s="24" customFormat="1" hidden="1" outlineLevel="2" x14ac:dyDescent="0.25">
      <c r="A85" s="25"/>
      <c r="B85" s="11" t="str">
        <f>CONCATENATE("          ", "6272", " - ", "CASH (OVER/SHORT)")</f>
        <v xml:space="preserve">          6272 - CASH (OVER/SHORT)</v>
      </c>
      <c r="C85" s="11"/>
      <c r="D85" s="6"/>
      <c r="E85" s="2"/>
      <c r="F85" s="7">
        <f t="shared" si="36"/>
        <v>0</v>
      </c>
      <c r="G85" s="2"/>
      <c r="H85" s="6">
        <v>0.35</v>
      </c>
      <c r="I85" s="2"/>
      <c r="J85" s="7">
        <f t="shared" si="37"/>
        <v>7.6073908192703467E-6</v>
      </c>
      <c r="K85" s="2"/>
      <c r="L85" s="6">
        <f t="shared" si="38"/>
        <v>-0.35</v>
      </c>
      <c r="M85" s="2"/>
      <c r="N85" s="7">
        <f t="shared" si="39"/>
        <v>-1</v>
      </c>
      <c r="O85" s="11"/>
      <c r="P85" s="6">
        <v>1.1000000000000001</v>
      </c>
      <c r="Q85" s="2"/>
      <c r="R85" s="7">
        <f t="shared" si="40"/>
        <v>5.1614307861516002E-5</v>
      </c>
      <c r="S85" s="2"/>
      <c r="T85" s="6">
        <v>-47.21</v>
      </c>
      <c r="U85" s="2"/>
      <c r="V85" s="7">
        <f t="shared" si="41"/>
        <v>-1.9104040336596925E-4</v>
      </c>
      <c r="W85" s="2"/>
      <c r="X85" s="6">
        <f t="shared" si="42"/>
        <v>48.31</v>
      </c>
      <c r="Y85" s="2"/>
      <c r="Z85" s="7">
        <f t="shared" si="43"/>
        <v>-1.0233001482736708</v>
      </c>
    </row>
    <row r="86" spans="1:26" s="26" customFormat="1" outlineLevel="1" collapsed="1" x14ac:dyDescent="0.25">
      <c r="A86" s="27"/>
      <c r="B86" s="13" t="str">
        <f>CONCATENATE("     ","Discounts and Markdowns                           ")</f>
        <v xml:space="preserve">     Discounts and Markdowns                           </v>
      </c>
      <c r="C86" s="13"/>
      <c r="D86" s="1">
        <f>SUM(OSRRefD22_4x_0)</f>
        <v>418.85</v>
      </c>
      <c r="E86" s="1"/>
      <c r="F86" s="5">
        <f t="shared" si="36"/>
        <v>0</v>
      </c>
      <c r="G86" s="1"/>
      <c r="H86" s="1">
        <f>SUM(OSRRefH22_4x_0)</f>
        <v>539</v>
      </c>
      <c r="I86" s="1"/>
      <c r="J86" s="5">
        <f t="shared" si="37"/>
        <v>1.1715381861676335E-2</v>
      </c>
      <c r="K86" s="1"/>
      <c r="L86" s="1">
        <f t="shared" si="38"/>
        <v>-120.14999999999998</v>
      </c>
      <c r="M86" s="1"/>
      <c r="N86" s="5">
        <f t="shared" si="39"/>
        <v>-0.22291280148423001</v>
      </c>
      <c r="O86" s="13"/>
      <c r="P86" s="1">
        <f>SUM(OSRRefP22_4x_0)</f>
        <v>0</v>
      </c>
      <c r="Q86" s="1"/>
      <c r="R86" s="5">
        <f t="shared" si="40"/>
        <v>0</v>
      </c>
      <c r="S86" s="1"/>
      <c r="T86" s="1">
        <f>SUM(OSRRefT22_4x_0)</f>
        <v>5275.61</v>
      </c>
      <c r="U86" s="1"/>
      <c r="V86" s="5">
        <f t="shared" si="41"/>
        <v>2.1348330065696693E-2</v>
      </c>
      <c r="W86" s="1"/>
      <c r="X86" s="1">
        <f t="shared" si="42"/>
        <v>-5275.61</v>
      </c>
      <c r="Y86" s="1"/>
      <c r="Z86" s="5">
        <f t="shared" si="43"/>
        <v>-1</v>
      </c>
    </row>
    <row r="87" spans="1:26" s="24" customFormat="1" hidden="1" outlineLevel="2" x14ac:dyDescent="0.25">
      <c r="A87" s="25"/>
      <c r="B87" s="11" t="str">
        <f>CONCATENATE("          ", "6382", " - ", "DISCOUNTS/MARK DOWNS")</f>
        <v xml:space="preserve">          6382 - DISCOUNTS/MARK DOWNS</v>
      </c>
      <c r="C87" s="11"/>
      <c r="D87" s="6"/>
      <c r="E87" s="2"/>
      <c r="F87" s="7">
        <f t="shared" si="36"/>
        <v>0</v>
      </c>
      <c r="G87" s="2"/>
      <c r="H87" s="6">
        <v>539</v>
      </c>
      <c r="I87" s="2"/>
      <c r="J87" s="7">
        <f t="shared" si="37"/>
        <v>1.1715381861676335E-2</v>
      </c>
      <c r="K87" s="2"/>
      <c r="L87" s="6">
        <f t="shared" si="38"/>
        <v>-539</v>
      </c>
      <c r="M87" s="2"/>
      <c r="N87" s="7">
        <f t="shared" si="39"/>
        <v>-1</v>
      </c>
      <c r="O87" s="11"/>
      <c r="P87" s="6"/>
      <c r="Q87" s="2"/>
      <c r="R87" s="7">
        <f t="shared" si="40"/>
        <v>0</v>
      </c>
      <c r="S87" s="2"/>
      <c r="T87" s="6">
        <v>5275.61</v>
      </c>
      <c r="U87" s="2"/>
      <c r="V87" s="7">
        <f t="shared" si="41"/>
        <v>2.1348330065696693E-2</v>
      </c>
      <c r="W87" s="2"/>
      <c r="X87" s="6">
        <f t="shared" si="42"/>
        <v>-5275.61</v>
      </c>
      <c r="Y87" s="2"/>
      <c r="Z87" s="7">
        <f t="shared" si="43"/>
        <v>-1</v>
      </c>
    </row>
    <row r="88" spans="1:26" s="24" customFormat="1" hidden="1" outlineLevel="2" x14ac:dyDescent="0.25">
      <c r="A88" s="25"/>
      <c r="B88" s="11" t="str">
        <f>CONCATENATE("          ", "9175", " - ", "EARNED DISCOUNTS")</f>
        <v xml:space="preserve">          9175 - EARNED DISCOUNTS</v>
      </c>
      <c r="C88" s="11"/>
      <c r="D88" s="6">
        <v>418.85</v>
      </c>
      <c r="E88" s="2"/>
      <c r="F88" s="7">
        <f t="shared" si="36"/>
        <v>0</v>
      </c>
      <c r="G88" s="2"/>
      <c r="H88" s="6"/>
      <c r="I88" s="2"/>
      <c r="J88" s="7">
        <f t="shared" si="37"/>
        <v>0</v>
      </c>
      <c r="K88" s="2"/>
      <c r="L88" s="6">
        <f t="shared" si="38"/>
        <v>418.85</v>
      </c>
      <c r="M88" s="2"/>
      <c r="N88" s="7">
        <f t="shared" si="39"/>
        <v>0</v>
      </c>
      <c r="O88" s="11"/>
      <c r="P88" s="6">
        <v>0</v>
      </c>
      <c r="Q88" s="2"/>
      <c r="R88" s="7">
        <f t="shared" si="40"/>
        <v>0</v>
      </c>
      <c r="S88" s="2"/>
      <c r="T88" s="6">
        <v>0</v>
      </c>
      <c r="U88" s="2"/>
      <c r="V88" s="7">
        <f t="shared" si="41"/>
        <v>0</v>
      </c>
      <c r="W88" s="2"/>
      <c r="X88" s="6">
        <f t="shared" si="42"/>
        <v>0</v>
      </c>
      <c r="Y88" s="2"/>
      <c r="Z88" s="7">
        <f t="shared" si="43"/>
        <v>0</v>
      </c>
    </row>
    <row r="89" spans="1:26" s="26" customFormat="1" outlineLevel="1" collapsed="1" x14ac:dyDescent="0.25">
      <c r="A89" s="27"/>
      <c r="B89" s="13" t="str">
        <f>CONCATENATE("     ","General                                           ")</f>
        <v xml:space="preserve">     General                                           </v>
      </c>
      <c r="C89" s="13"/>
      <c r="D89" s="1">
        <f>SUM(OSRRefD22_5x_0)</f>
        <v>0</v>
      </c>
      <c r="E89" s="1"/>
      <c r="F89" s="5">
        <f t="shared" ref="F89:F95" si="44">IF(D$12=0,0,D89/D$12)</f>
        <v>0</v>
      </c>
      <c r="G89" s="1"/>
      <c r="H89" s="1">
        <f>SUM(OSRRefH22_5x_0)</f>
        <v>0</v>
      </c>
      <c r="I89" s="1"/>
      <c r="J89" s="5">
        <f t="shared" ref="J89:J95" si="45">IF(H$12=0,0,H89/H$12)</f>
        <v>0</v>
      </c>
      <c r="K89" s="1"/>
      <c r="L89" s="1">
        <f t="shared" ref="L89:L95" si="46">+D89-H89</f>
        <v>0</v>
      </c>
      <c r="M89" s="1"/>
      <c r="N89" s="5">
        <f t="shared" ref="N89:N95" si="47">IF(H89=0,0,L89/H89)</f>
        <v>0</v>
      </c>
      <c r="O89" s="13"/>
      <c r="P89" s="1">
        <f>SUM(OSRRefP22_5x_0)</f>
        <v>719.55</v>
      </c>
      <c r="Q89" s="1"/>
      <c r="R89" s="5">
        <f t="shared" ref="R89:R95" si="48">IF(P$12=0,0,P89/P$12)</f>
        <v>3.3762795656139849E-2</v>
      </c>
      <c r="S89" s="1"/>
      <c r="T89" s="1">
        <f>SUM(OSRRefT22_5x_0)</f>
        <v>794.05</v>
      </c>
      <c r="U89" s="1"/>
      <c r="V89" s="5">
        <f t="shared" ref="V89:V95" si="49">IF(T$12=0,0,T89/T$12)</f>
        <v>3.2132097498993404E-3</v>
      </c>
      <c r="W89" s="1"/>
      <c r="X89" s="1">
        <f t="shared" ref="X89:X95" si="50">+P89-T89</f>
        <v>-74.5</v>
      </c>
      <c r="Y89" s="1"/>
      <c r="Z89" s="5">
        <f t="shared" ref="Z89:Z95" si="51">IF(T89=0,0,X89/T89)</f>
        <v>-9.3822807128014621E-2</v>
      </c>
    </row>
    <row r="90" spans="1:26" s="24" customFormat="1" hidden="1" outlineLevel="2" x14ac:dyDescent="0.25">
      <c r="A90" s="25"/>
      <c r="B90" s="11" t="str">
        <f>CONCATENATE("          ", "6279", " - ", "GENERAL EXPENSE")</f>
        <v xml:space="preserve">          6279 - GENERAL EXPENSE</v>
      </c>
      <c r="C90" s="11"/>
      <c r="D90" s="6"/>
      <c r="E90" s="2"/>
      <c r="F90" s="7">
        <f t="shared" si="44"/>
        <v>0</v>
      </c>
      <c r="G90" s="2"/>
      <c r="H90" s="6"/>
      <c r="I90" s="2"/>
      <c r="J90" s="7">
        <f t="shared" si="45"/>
        <v>0</v>
      </c>
      <c r="K90" s="2"/>
      <c r="L90" s="6">
        <f t="shared" si="46"/>
        <v>0</v>
      </c>
      <c r="M90" s="2"/>
      <c r="N90" s="7">
        <f t="shared" si="47"/>
        <v>0</v>
      </c>
      <c r="O90" s="11"/>
      <c r="P90" s="6">
        <v>719.55</v>
      </c>
      <c r="Q90" s="2"/>
      <c r="R90" s="7">
        <f t="shared" si="48"/>
        <v>3.3762795656139849E-2</v>
      </c>
      <c r="S90" s="2"/>
      <c r="T90" s="6">
        <v>794.05</v>
      </c>
      <c r="U90" s="2"/>
      <c r="V90" s="7">
        <f t="shared" si="49"/>
        <v>3.2132097498993404E-3</v>
      </c>
      <c r="W90" s="2"/>
      <c r="X90" s="6">
        <f t="shared" si="50"/>
        <v>-74.5</v>
      </c>
      <c r="Y90" s="2"/>
      <c r="Z90" s="7">
        <f t="shared" si="51"/>
        <v>-9.3822807128014621E-2</v>
      </c>
    </row>
    <row r="91" spans="1:26" s="26" customFormat="1" outlineLevel="1" collapsed="1" x14ac:dyDescent="0.25">
      <c r="A91" s="27"/>
      <c r="B91" s="13" t="str">
        <f>CONCATENATE("     ","Professional Services                             ")</f>
        <v xml:space="preserve">     Professional Services                             </v>
      </c>
      <c r="C91" s="13"/>
      <c r="D91" s="1">
        <f>SUM(OSRRefD22_6x_0)</f>
        <v>0</v>
      </c>
      <c r="E91" s="1"/>
      <c r="F91" s="5">
        <f t="shared" si="44"/>
        <v>0</v>
      </c>
      <c r="G91" s="1"/>
      <c r="H91" s="1">
        <f>SUM(OSRRefH22_6x_0)</f>
        <v>0</v>
      </c>
      <c r="I91" s="1"/>
      <c r="J91" s="5">
        <f t="shared" si="45"/>
        <v>0</v>
      </c>
      <c r="K91" s="1"/>
      <c r="L91" s="1">
        <f t="shared" si="46"/>
        <v>0</v>
      </c>
      <c r="M91" s="1"/>
      <c r="N91" s="5">
        <f t="shared" si="47"/>
        <v>0</v>
      </c>
      <c r="O91" s="13"/>
      <c r="P91" s="1">
        <f>SUM(OSRRefP22_6x_0)</f>
        <v>0</v>
      </c>
      <c r="Q91" s="1"/>
      <c r="R91" s="5">
        <f t="shared" si="48"/>
        <v>0</v>
      </c>
      <c r="S91" s="1"/>
      <c r="T91" s="1">
        <f>SUM(OSRRefT22_6x_0)</f>
        <v>750</v>
      </c>
      <c r="U91" s="1"/>
      <c r="V91" s="5">
        <f t="shared" si="49"/>
        <v>3.0349566304697507E-3</v>
      </c>
      <c r="W91" s="1"/>
      <c r="X91" s="1">
        <f t="shared" si="50"/>
        <v>-750</v>
      </c>
      <c r="Y91" s="1"/>
      <c r="Z91" s="5">
        <f t="shared" si="51"/>
        <v>-1</v>
      </c>
    </row>
    <row r="92" spans="1:26" s="24" customFormat="1" hidden="1" outlineLevel="2" x14ac:dyDescent="0.25">
      <c r="A92" s="25"/>
      <c r="B92" s="11" t="str">
        <f>CONCATENATE("          ", "6336", " - ", "PROFESSIONAL SERVICES")</f>
        <v xml:space="preserve">          6336 - PROFESSIONAL SERVICES</v>
      </c>
      <c r="C92" s="11"/>
      <c r="D92" s="6"/>
      <c r="E92" s="2"/>
      <c r="F92" s="7">
        <f t="shared" si="44"/>
        <v>0</v>
      </c>
      <c r="G92" s="2"/>
      <c r="H92" s="6"/>
      <c r="I92" s="2"/>
      <c r="J92" s="7">
        <f t="shared" si="45"/>
        <v>0</v>
      </c>
      <c r="K92" s="2"/>
      <c r="L92" s="6">
        <f t="shared" si="46"/>
        <v>0</v>
      </c>
      <c r="M92" s="2"/>
      <c r="N92" s="7">
        <f t="shared" si="47"/>
        <v>0</v>
      </c>
      <c r="O92" s="11"/>
      <c r="P92" s="6"/>
      <c r="Q92" s="2"/>
      <c r="R92" s="7">
        <f t="shared" si="48"/>
        <v>0</v>
      </c>
      <c r="S92" s="2"/>
      <c r="T92" s="6">
        <v>750</v>
      </c>
      <c r="U92" s="2"/>
      <c r="V92" s="7">
        <f t="shared" si="49"/>
        <v>3.0349566304697507E-3</v>
      </c>
      <c r="W92" s="2"/>
      <c r="X92" s="6">
        <f t="shared" si="50"/>
        <v>-750</v>
      </c>
      <c r="Y92" s="2"/>
      <c r="Z92" s="7">
        <f t="shared" si="51"/>
        <v>-1</v>
      </c>
    </row>
    <row r="93" spans="1:26" s="26" customFormat="1" outlineLevel="1" collapsed="1" x14ac:dyDescent="0.25">
      <c r="A93" s="27"/>
      <c r="B93" s="13" t="str">
        <f>CONCATENATE("     ","Repair and Maintenance                            ")</f>
        <v xml:space="preserve">     Repair and Maintenance                            </v>
      </c>
      <c r="C93" s="13"/>
      <c r="D93" s="1">
        <f>SUM(OSRRefD22_7x_0)</f>
        <v>0</v>
      </c>
      <c r="E93" s="1"/>
      <c r="F93" s="5">
        <f t="shared" si="44"/>
        <v>0</v>
      </c>
      <c r="G93" s="1"/>
      <c r="H93" s="1">
        <f>SUM(OSRRefH22_7x_0)</f>
        <v>0</v>
      </c>
      <c r="I93" s="1"/>
      <c r="J93" s="5">
        <f t="shared" si="45"/>
        <v>0</v>
      </c>
      <c r="K93" s="1"/>
      <c r="L93" s="1">
        <f t="shared" si="46"/>
        <v>0</v>
      </c>
      <c r="M93" s="1"/>
      <c r="N93" s="5">
        <f t="shared" si="47"/>
        <v>0</v>
      </c>
      <c r="O93" s="13"/>
      <c r="P93" s="1">
        <f>SUM(OSRRefP22_7x_0)</f>
        <v>139.71</v>
      </c>
      <c r="Q93" s="1"/>
      <c r="R93" s="5">
        <f t="shared" si="48"/>
        <v>6.555486319393092E-3</v>
      </c>
      <c r="S93" s="1"/>
      <c r="T93" s="1">
        <f>SUM(OSRRefT22_7x_0)</f>
        <v>68.42</v>
      </c>
      <c r="U93" s="1"/>
      <c r="V93" s="5">
        <f t="shared" si="49"/>
        <v>2.7686897687565377E-4</v>
      </c>
      <c r="W93" s="1"/>
      <c r="X93" s="1">
        <f t="shared" si="50"/>
        <v>71.290000000000006</v>
      </c>
      <c r="Y93" s="1"/>
      <c r="Z93" s="5">
        <f t="shared" si="51"/>
        <v>1.0419467991815259</v>
      </c>
    </row>
    <row r="94" spans="1:26" s="24" customFormat="1" hidden="1" outlineLevel="2" x14ac:dyDescent="0.25">
      <c r="A94" s="25"/>
      <c r="B94" s="11" t="str">
        <f>CONCATENATE("          ", "6373", " - ", "MAINTENANCE CONTRACTS")</f>
        <v xml:space="preserve">          6373 - MAINTENANCE CONTRACTS</v>
      </c>
      <c r="C94" s="11"/>
      <c r="D94" s="6"/>
      <c r="E94" s="2"/>
      <c r="F94" s="7">
        <f t="shared" si="44"/>
        <v>0</v>
      </c>
      <c r="G94" s="2"/>
      <c r="H94" s="6"/>
      <c r="I94" s="2"/>
      <c r="J94" s="7">
        <f t="shared" si="45"/>
        <v>0</v>
      </c>
      <c r="K94" s="2"/>
      <c r="L94" s="6">
        <f t="shared" si="46"/>
        <v>0</v>
      </c>
      <c r="M94" s="2"/>
      <c r="N94" s="7">
        <f t="shared" si="47"/>
        <v>0</v>
      </c>
      <c r="O94" s="11"/>
      <c r="P94" s="6">
        <v>139.71</v>
      </c>
      <c r="Q94" s="2"/>
      <c r="R94" s="7">
        <f t="shared" si="48"/>
        <v>6.555486319393092E-3</v>
      </c>
      <c r="S94" s="2"/>
      <c r="T94" s="6">
        <v>58.62</v>
      </c>
      <c r="U94" s="2"/>
      <c r="V94" s="7">
        <f t="shared" si="49"/>
        <v>2.372122102375157E-4</v>
      </c>
      <c r="W94" s="2"/>
      <c r="X94" s="6">
        <f t="shared" si="50"/>
        <v>81.09</v>
      </c>
      <c r="Y94" s="2"/>
      <c r="Z94" s="7">
        <f t="shared" si="51"/>
        <v>1.3833162743091096</v>
      </c>
    </row>
    <row r="95" spans="1:26" s="24" customFormat="1" hidden="1" outlineLevel="2" x14ac:dyDescent="0.25">
      <c r="A95" s="25"/>
      <c r="B95" s="11" t="str">
        <f>CONCATENATE("          ", "6375", " - ", "OUTSIDE REPAIRS &amp; MAINTENANCE")</f>
        <v xml:space="preserve">          6375 - OUTSIDE REPAIRS &amp; MAINTENANCE</v>
      </c>
      <c r="C95" s="11"/>
      <c r="D95" s="6"/>
      <c r="E95" s="2"/>
      <c r="F95" s="7">
        <f t="shared" si="44"/>
        <v>0</v>
      </c>
      <c r="G95" s="2"/>
      <c r="H95" s="6"/>
      <c r="I95" s="2"/>
      <c r="J95" s="7">
        <f t="shared" si="45"/>
        <v>0</v>
      </c>
      <c r="K95" s="2"/>
      <c r="L95" s="6">
        <f t="shared" si="46"/>
        <v>0</v>
      </c>
      <c r="M95" s="2"/>
      <c r="N95" s="7">
        <f t="shared" si="47"/>
        <v>0</v>
      </c>
      <c r="O95" s="11"/>
      <c r="P95" s="6"/>
      <c r="Q95" s="2"/>
      <c r="R95" s="7">
        <f t="shared" si="48"/>
        <v>0</v>
      </c>
      <c r="S95" s="2"/>
      <c r="T95" s="6">
        <v>9.8000000000000007</v>
      </c>
      <c r="U95" s="2"/>
      <c r="V95" s="7">
        <f t="shared" si="49"/>
        <v>3.9656766638138078E-5</v>
      </c>
      <c r="W95" s="2"/>
      <c r="X95" s="6">
        <f t="shared" si="50"/>
        <v>-9.8000000000000007</v>
      </c>
      <c r="Y95" s="2"/>
      <c r="Z95" s="7">
        <f t="shared" si="51"/>
        <v>-1</v>
      </c>
    </row>
    <row r="96" spans="1:26" s="26" customFormat="1" outlineLevel="1" collapsed="1" x14ac:dyDescent="0.25">
      <c r="A96" s="27"/>
      <c r="B96" s="13" t="str">
        <f>CONCATENATE("     ","Services                                          ")</f>
        <v xml:space="preserve">     Services                                          </v>
      </c>
      <c r="C96" s="13"/>
      <c r="D96" s="1">
        <f>SUM(OSRRefD22_8x_0)</f>
        <v>44</v>
      </c>
      <c r="E96" s="1"/>
      <c r="F96" s="5">
        <f t="shared" ref="F96:F98" si="52">IF(D$12=0,0,D96/D$12)</f>
        <v>0</v>
      </c>
      <c r="G96" s="1"/>
      <c r="H96" s="1">
        <f>SUM(OSRRefH22_8x_0)</f>
        <v>150.81</v>
      </c>
      <c r="I96" s="1"/>
      <c r="J96" s="5">
        <f t="shared" ref="J96:J98" si="53">IF(H$12=0,0,H96/H$12)</f>
        <v>3.2779160270118889E-3</v>
      </c>
      <c r="K96" s="1"/>
      <c r="L96" s="1">
        <f t="shared" ref="L96:L98" si="54">+D96-H96</f>
        <v>-106.81</v>
      </c>
      <c r="M96" s="1"/>
      <c r="N96" s="5">
        <f t="shared" ref="N96:N98" si="55">IF(H96=0,0,L96/H96)</f>
        <v>-0.70824215900802334</v>
      </c>
      <c r="O96" s="13"/>
      <c r="P96" s="1">
        <f>SUM(OSRRefP22_8x_0)</f>
        <v>18.5</v>
      </c>
      <c r="Q96" s="1"/>
      <c r="R96" s="5">
        <f t="shared" ref="R96:R98" si="56">IF(P$12=0,0,P96/P$12)</f>
        <v>8.6805881403458724E-4</v>
      </c>
      <c r="S96" s="1"/>
      <c r="T96" s="1">
        <f>SUM(OSRRefT22_8x_0)</f>
        <v>1121.03</v>
      </c>
      <c r="U96" s="1"/>
      <c r="V96" s="5">
        <f t="shared" ref="V96:V98" si="57">IF(T$12=0,0,T96/T$12)</f>
        <v>4.5363699086073388E-3</v>
      </c>
      <c r="W96" s="1"/>
      <c r="X96" s="1">
        <f t="shared" ref="X96:X98" si="58">+P96-T96</f>
        <v>-1102.53</v>
      </c>
      <c r="Y96" s="1"/>
      <c r="Z96" s="5">
        <f t="shared" ref="Z96:Z98" si="59">IF(T96=0,0,X96/T96)</f>
        <v>-0.98349731942945329</v>
      </c>
    </row>
    <row r="97" spans="1:26" s="24" customFormat="1" hidden="1" outlineLevel="2" x14ac:dyDescent="0.25">
      <c r="A97" s="25"/>
      <c r="B97" s="11" t="str">
        <f>CONCATENATE("          ", "6282", " - ", "JANITORIAL/EXTERMINATOR EXPENS")</f>
        <v xml:space="preserve">          6282 - JANITORIAL/EXTERMINATOR EXPENS</v>
      </c>
      <c r="C97" s="11"/>
      <c r="D97" s="6">
        <v>44</v>
      </c>
      <c r="E97" s="2"/>
      <c r="F97" s="7">
        <f t="shared" si="52"/>
        <v>0</v>
      </c>
      <c r="G97" s="2"/>
      <c r="H97" s="6">
        <v>44</v>
      </c>
      <c r="I97" s="2"/>
      <c r="J97" s="7">
        <f t="shared" si="53"/>
        <v>9.563577029939865E-4</v>
      </c>
      <c r="K97" s="2"/>
      <c r="L97" s="6">
        <f t="shared" si="54"/>
        <v>0</v>
      </c>
      <c r="M97" s="2"/>
      <c r="N97" s="7">
        <f t="shared" si="55"/>
        <v>0</v>
      </c>
      <c r="O97" s="11"/>
      <c r="P97" s="6">
        <v>176</v>
      </c>
      <c r="Q97" s="2"/>
      <c r="R97" s="7">
        <f t="shared" si="56"/>
        <v>8.2582892578425601E-3</v>
      </c>
      <c r="S97" s="2"/>
      <c r="T97" s="6">
        <v>220</v>
      </c>
      <c r="U97" s="2"/>
      <c r="V97" s="7">
        <f t="shared" si="57"/>
        <v>8.9025394493779351E-4</v>
      </c>
      <c r="W97" s="2"/>
      <c r="X97" s="6">
        <f t="shared" si="58"/>
        <v>-44</v>
      </c>
      <c r="Y97" s="2"/>
      <c r="Z97" s="7">
        <f t="shared" si="59"/>
        <v>-0.2</v>
      </c>
    </row>
    <row r="98" spans="1:26" s="24" customFormat="1" hidden="1" outlineLevel="2" x14ac:dyDescent="0.25">
      <c r="A98" s="25"/>
      <c r="B98" s="11" t="str">
        <f>CONCATENATE("          ", "6285", " - ", "JANITORIAL SERVICES")</f>
        <v xml:space="preserve">          6285 - JANITORIAL SERVICES</v>
      </c>
      <c r="C98" s="11"/>
      <c r="D98" s="6"/>
      <c r="E98" s="2"/>
      <c r="F98" s="7">
        <f t="shared" si="52"/>
        <v>0</v>
      </c>
      <c r="G98" s="2"/>
      <c r="H98" s="6">
        <v>106.81</v>
      </c>
      <c r="I98" s="2"/>
      <c r="J98" s="7">
        <f t="shared" si="53"/>
        <v>2.3215583240179024E-3</v>
      </c>
      <c r="K98" s="2"/>
      <c r="L98" s="6">
        <f t="shared" si="54"/>
        <v>-106.81</v>
      </c>
      <c r="M98" s="2"/>
      <c r="N98" s="7">
        <f t="shared" si="55"/>
        <v>-1</v>
      </c>
      <c r="O98" s="11"/>
      <c r="P98" s="6">
        <v>-157.5</v>
      </c>
      <c r="Q98" s="2"/>
      <c r="R98" s="7">
        <f t="shared" si="56"/>
        <v>-7.3902304438079732E-3</v>
      </c>
      <c r="S98" s="2"/>
      <c r="T98" s="6">
        <v>901.03</v>
      </c>
      <c r="U98" s="2"/>
      <c r="V98" s="7">
        <f t="shared" si="57"/>
        <v>3.6461159636695458E-3</v>
      </c>
      <c r="W98" s="2"/>
      <c r="X98" s="6">
        <f t="shared" si="58"/>
        <v>-1058.53</v>
      </c>
      <c r="Y98" s="2"/>
      <c r="Z98" s="7">
        <f t="shared" si="59"/>
        <v>-1.1747999511669978</v>
      </c>
    </row>
    <row r="99" spans="1:26" s="26" customFormat="1" outlineLevel="1" collapsed="1" x14ac:dyDescent="0.25">
      <c r="A99" s="27"/>
      <c r="B99" s="13" t="str">
        <f>CONCATENATE("     ","Supplies                                          ")</f>
        <v xml:space="preserve">     Supplies                                          </v>
      </c>
      <c r="C99" s="13"/>
      <c r="D99" s="1">
        <f>SUM(OSRRefD22_9x_0)</f>
        <v>0</v>
      </c>
      <c r="E99" s="1"/>
      <c r="F99" s="5">
        <f t="shared" ref="F99:F102" si="60">IF(D$12=0,0,D99/D$12)</f>
        <v>0</v>
      </c>
      <c r="G99" s="1"/>
      <c r="H99" s="1">
        <f>SUM(OSRRefH22_9x_0)</f>
        <v>405.98</v>
      </c>
      <c r="I99" s="1"/>
      <c r="J99" s="5">
        <f t="shared" ref="J99:J102" si="61">IF(H$12=0,0,H99/H$12)</f>
        <v>8.8241386423067881E-3</v>
      </c>
      <c r="K99" s="1"/>
      <c r="L99" s="1">
        <f t="shared" ref="L99:L102" si="62">+D99-H99</f>
        <v>-405.98</v>
      </c>
      <c r="M99" s="1"/>
      <c r="N99" s="5">
        <f t="shared" ref="N99:N102" si="63">IF(H99=0,0,L99/H99)</f>
        <v>-1</v>
      </c>
      <c r="O99" s="13"/>
      <c r="P99" s="1">
        <f>SUM(OSRRefP22_9x_0)</f>
        <v>1892.27</v>
      </c>
      <c r="Q99" s="1"/>
      <c r="R99" s="5">
        <f t="shared" ref="R99:R102" si="64">IF(P$12=0,0,P99/P$12)</f>
        <v>8.8789278488282622E-2</v>
      </c>
      <c r="S99" s="1"/>
      <c r="T99" s="1">
        <f>SUM(OSRRefT22_9x_0)</f>
        <v>978.17</v>
      </c>
      <c r="U99" s="1"/>
      <c r="V99" s="5">
        <f t="shared" ref="V99:V102" si="65">IF(T$12=0,0,T99/T$12)</f>
        <v>3.9582713696354613E-3</v>
      </c>
      <c r="W99" s="1"/>
      <c r="X99" s="1">
        <f t="shared" ref="X99:X102" si="66">+P99-T99</f>
        <v>914.1</v>
      </c>
      <c r="Y99" s="1"/>
      <c r="Z99" s="5">
        <f t="shared" ref="Z99:Z102" si="67">IF(T99=0,0,X99/T99)</f>
        <v>0.93450013801281995</v>
      </c>
    </row>
    <row r="100" spans="1:26" s="24" customFormat="1" hidden="1" outlineLevel="2" x14ac:dyDescent="0.25">
      <c r="A100" s="25"/>
      <c r="B100" s="11" t="str">
        <f>CONCATENATE("          ", "6235", " - ", "COVID-19 EXPENSES")</f>
        <v xml:space="preserve">          6235 - COVID-19 EXPENSES</v>
      </c>
      <c r="C100" s="11"/>
      <c r="D100" s="6"/>
      <c r="E100" s="2"/>
      <c r="F100" s="7">
        <f t="shared" si="60"/>
        <v>0</v>
      </c>
      <c r="G100" s="2"/>
      <c r="H100" s="6"/>
      <c r="I100" s="2"/>
      <c r="J100" s="7">
        <f t="shared" si="61"/>
        <v>0</v>
      </c>
      <c r="K100" s="2"/>
      <c r="L100" s="6">
        <f t="shared" si="62"/>
        <v>0</v>
      </c>
      <c r="M100" s="2"/>
      <c r="N100" s="7">
        <f t="shared" si="63"/>
        <v>0</v>
      </c>
      <c r="O100" s="11"/>
      <c r="P100" s="6">
        <v>444.3</v>
      </c>
      <c r="Q100" s="2"/>
      <c r="R100" s="7">
        <f t="shared" si="64"/>
        <v>2.0847488166246871E-2</v>
      </c>
      <c r="S100" s="2"/>
      <c r="T100" s="6"/>
      <c r="U100" s="2"/>
      <c r="V100" s="7">
        <f t="shared" si="65"/>
        <v>0</v>
      </c>
      <c r="W100" s="2"/>
      <c r="X100" s="6">
        <f t="shared" si="66"/>
        <v>444.3</v>
      </c>
      <c r="Y100" s="2"/>
      <c r="Z100" s="7">
        <f t="shared" si="67"/>
        <v>0</v>
      </c>
    </row>
    <row r="101" spans="1:26" s="24" customFormat="1" hidden="1" outlineLevel="2" x14ac:dyDescent="0.25">
      <c r="A101" s="25"/>
      <c r="B101" s="11" t="str">
        <f>CONCATENATE("          ", "6241", " - ", "OFFICE EXPENSE")</f>
        <v xml:space="preserve">          6241 - OFFICE EXPENSE</v>
      </c>
      <c r="C101" s="11"/>
      <c r="D101" s="6"/>
      <c r="E101" s="2"/>
      <c r="F101" s="7">
        <f t="shared" si="60"/>
        <v>0</v>
      </c>
      <c r="G101" s="2"/>
      <c r="H101" s="6">
        <v>405.98</v>
      </c>
      <c r="I101" s="2"/>
      <c r="J101" s="7">
        <f t="shared" si="61"/>
        <v>8.8241386423067881E-3</v>
      </c>
      <c r="K101" s="2"/>
      <c r="L101" s="6">
        <f t="shared" si="62"/>
        <v>-405.98</v>
      </c>
      <c r="M101" s="2"/>
      <c r="N101" s="7">
        <f t="shared" si="63"/>
        <v>-1</v>
      </c>
      <c r="O101" s="11"/>
      <c r="P101" s="6">
        <v>225.24</v>
      </c>
      <c r="Q101" s="2"/>
      <c r="R101" s="7">
        <f t="shared" si="64"/>
        <v>1.056873336611624E-2</v>
      </c>
      <c r="S101" s="2"/>
      <c r="T101" s="6">
        <v>978.27</v>
      </c>
      <c r="U101" s="2"/>
      <c r="V101" s="7">
        <f t="shared" si="65"/>
        <v>3.9586760305195239E-3</v>
      </c>
      <c r="W101" s="2"/>
      <c r="X101" s="6">
        <f t="shared" si="66"/>
        <v>-753.03</v>
      </c>
      <c r="Y101" s="2"/>
      <c r="Z101" s="7">
        <f t="shared" si="67"/>
        <v>-0.76975681560305431</v>
      </c>
    </row>
    <row r="102" spans="1:26" s="24" customFormat="1" hidden="1" outlineLevel="2" x14ac:dyDescent="0.25">
      <c r="A102" s="25"/>
      <c r="B102" s="11" t="str">
        <f>CONCATENATE("          ", "6247", " - ", "STORE SUPPLIES")</f>
        <v xml:space="preserve">          6247 - STORE SUPPLIES</v>
      </c>
      <c r="C102" s="11"/>
      <c r="D102" s="6"/>
      <c r="E102" s="2"/>
      <c r="F102" s="7">
        <f t="shared" si="60"/>
        <v>0</v>
      </c>
      <c r="G102" s="2"/>
      <c r="H102" s="6"/>
      <c r="I102" s="2"/>
      <c r="J102" s="7">
        <f t="shared" si="61"/>
        <v>0</v>
      </c>
      <c r="K102" s="2"/>
      <c r="L102" s="6">
        <f t="shared" si="62"/>
        <v>0</v>
      </c>
      <c r="M102" s="2"/>
      <c r="N102" s="7">
        <f t="shared" si="63"/>
        <v>0</v>
      </c>
      <c r="O102" s="11"/>
      <c r="P102" s="6">
        <v>1222.73</v>
      </c>
      <c r="Q102" s="2"/>
      <c r="R102" s="7">
        <f t="shared" si="64"/>
        <v>5.7373056955919509E-2</v>
      </c>
      <c r="S102" s="2"/>
      <c r="T102" s="6">
        <v>-0.1</v>
      </c>
      <c r="U102" s="2"/>
      <c r="V102" s="7">
        <f t="shared" si="65"/>
        <v>-4.0466088406263343E-7</v>
      </c>
      <c r="W102" s="2"/>
      <c r="X102" s="6">
        <f t="shared" si="66"/>
        <v>1222.83</v>
      </c>
      <c r="Y102" s="2"/>
      <c r="Z102" s="7">
        <f t="shared" si="67"/>
        <v>-12228.3</v>
      </c>
    </row>
    <row r="103" spans="1:26" s="26" customFormat="1" outlineLevel="1" collapsed="1" x14ac:dyDescent="0.25">
      <c r="A103" s="27"/>
      <c r="B103" s="13" t="str">
        <f>CONCATENATE("     ","Telephone/Data Lines                              ")</f>
        <v xml:space="preserve">     Telephone/Data Lines                              </v>
      </c>
      <c r="C103" s="13"/>
      <c r="D103" s="1">
        <f>SUM(OSRRefD22_10x_0)</f>
        <v>53.15</v>
      </c>
      <c r="E103" s="1"/>
      <c r="F103" s="5">
        <f t="shared" ref="F103:F106" si="68">IF(D$12=0,0,D103/D$12)</f>
        <v>0</v>
      </c>
      <c r="G103" s="1"/>
      <c r="H103" s="1">
        <f>SUM(OSRRefH22_10x_0)</f>
        <v>98.74</v>
      </c>
      <c r="I103" s="1"/>
      <c r="J103" s="5">
        <f t="shared" ref="J103:J106" si="69">IF(H$12=0,0,H103/H$12)</f>
        <v>2.1461536271278688E-3</v>
      </c>
      <c r="K103" s="1"/>
      <c r="L103" s="1">
        <f t="shared" ref="L103:L106" si="70">+D103-H103</f>
        <v>-45.589999999999996</v>
      </c>
      <c r="M103" s="1"/>
      <c r="N103" s="5">
        <f t="shared" ref="N103:N106" si="71">IF(H103=0,0,L103/H103)</f>
        <v>-0.46171764229289042</v>
      </c>
      <c r="O103" s="13"/>
      <c r="P103" s="1">
        <f>SUM(OSRRefP22_10x_0)</f>
        <v>313.05</v>
      </c>
      <c r="Q103" s="1"/>
      <c r="R103" s="5">
        <f t="shared" ref="R103:R106" si="72">IF(P$12=0,0,P103/P$12)</f>
        <v>1.4688962796406895E-2</v>
      </c>
      <c r="S103" s="1"/>
      <c r="T103" s="1">
        <f>SUM(OSRRefT22_10x_0)</f>
        <v>488.73</v>
      </c>
      <c r="U103" s="1"/>
      <c r="V103" s="5">
        <f t="shared" ref="V103:V106" si="73">IF(T$12=0,0,T103/T$12)</f>
        <v>1.9776991386793084E-3</v>
      </c>
      <c r="W103" s="1"/>
      <c r="X103" s="1">
        <f t="shared" ref="X103:X106" si="74">+P103-T103</f>
        <v>-175.68</v>
      </c>
      <c r="Y103" s="1"/>
      <c r="Z103" s="5">
        <f t="shared" ref="Z103:Z106" si="75">IF(T103=0,0,X103/T103)</f>
        <v>-0.35946227978638512</v>
      </c>
    </row>
    <row r="104" spans="1:26" s="24" customFormat="1" hidden="1" outlineLevel="2" x14ac:dyDescent="0.25">
      <c r="A104" s="25"/>
      <c r="B104" s="11" t="str">
        <f>CONCATENATE("          ", "6309", " - ", "TELEPHONE")</f>
        <v xml:space="preserve">          6309 - TELEPHONE</v>
      </c>
      <c r="C104" s="11"/>
      <c r="D104" s="6">
        <v>53.15</v>
      </c>
      <c r="E104" s="2"/>
      <c r="F104" s="7">
        <f t="shared" si="68"/>
        <v>0</v>
      </c>
      <c r="G104" s="2"/>
      <c r="H104" s="6">
        <v>98.74</v>
      </c>
      <c r="I104" s="2"/>
      <c r="J104" s="7">
        <f t="shared" si="69"/>
        <v>2.1461536271278688E-3</v>
      </c>
      <c r="K104" s="2"/>
      <c r="L104" s="6">
        <f t="shared" si="70"/>
        <v>-45.589999999999996</v>
      </c>
      <c r="M104" s="2"/>
      <c r="N104" s="7">
        <f t="shared" si="71"/>
        <v>-0.46171764229289042</v>
      </c>
      <c r="O104" s="11"/>
      <c r="P104" s="6">
        <v>313.05</v>
      </c>
      <c r="Q104" s="2"/>
      <c r="R104" s="7">
        <f t="shared" si="72"/>
        <v>1.4688962796406895E-2</v>
      </c>
      <c r="S104" s="2"/>
      <c r="T104" s="6">
        <v>488.73</v>
      </c>
      <c r="U104" s="2"/>
      <c r="V104" s="7">
        <f t="shared" si="73"/>
        <v>1.9776991386793084E-3</v>
      </c>
      <c r="W104" s="2"/>
      <c r="X104" s="6">
        <f t="shared" si="74"/>
        <v>-175.68</v>
      </c>
      <c r="Y104" s="2"/>
      <c r="Z104" s="7">
        <f t="shared" si="75"/>
        <v>-0.35946227978638512</v>
      </c>
    </row>
    <row r="105" spans="1:26" s="26" customFormat="1" outlineLevel="1" collapsed="1" x14ac:dyDescent="0.25">
      <c r="A105" s="27"/>
      <c r="B105" s="13" t="str">
        <f>CONCATENATE("     ","Training                                          ")</f>
        <v xml:space="preserve">     Training                                          </v>
      </c>
      <c r="C105" s="13"/>
      <c r="D105" s="1">
        <f>SUM(OSRRefD22_11x_0)</f>
        <v>0</v>
      </c>
      <c r="E105" s="1"/>
      <c r="F105" s="5">
        <f t="shared" si="68"/>
        <v>0</v>
      </c>
      <c r="G105" s="1"/>
      <c r="H105" s="1">
        <f>SUM(OSRRefH22_11x_0)</f>
        <v>0</v>
      </c>
      <c r="I105" s="1"/>
      <c r="J105" s="5">
        <f t="shared" si="69"/>
        <v>0</v>
      </c>
      <c r="K105" s="1"/>
      <c r="L105" s="1">
        <f t="shared" si="70"/>
        <v>0</v>
      </c>
      <c r="M105" s="1"/>
      <c r="N105" s="5">
        <f t="shared" si="71"/>
        <v>0</v>
      </c>
      <c r="O105" s="13"/>
      <c r="P105" s="1">
        <f>SUM(OSRRefP22_11x_0)</f>
        <v>14</v>
      </c>
      <c r="Q105" s="1"/>
      <c r="R105" s="5">
        <f t="shared" si="72"/>
        <v>6.5690937278293094E-4</v>
      </c>
      <c r="S105" s="1"/>
      <c r="T105" s="1">
        <f>SUM(OSRRefT22_11x_0)</f>
        <v>80</v>
      </c>
      <c r="U105" s="1"/>
      <c r="V105" s="5">
        <f t="shared" si="73"/>
        <v>3.2372870725010675E-4</v>
      </c>
      <c r="W105" s="1"/>
      <c r="X105" s="1">
        <f t="shared" si="74"/>
        <v>-66</v>
      </c>
      <c r="Y105" s="1"/>
      <c r="Z105" s="5">
        <f t="shared" si="75"/>
        <v>-0.82499999999999996</v>
      </c>
    </row>
    <row r="106" spans="1:26" s="24" customFormat="1" hidden="1" outlineLevel="2" x14ac:dyDescent="0.25">
      <c r="A106" s="25"/>
      <c r="B106" s="11" t="str">
        <f>CONCATENATE("          ", "6376", " - ", "TRAINING")</f>
        <v xml:space="preserve">          6376 - TRAINING</v>
      </c>
      <c r="C106" s="11"/>
      <c r="D106" s="6"/>
      <c r="E106" s="2"/>
      <c r="F106" s="7">
        <f t="shared" si="68"/>
        <v>0</v>
      </c>
      <c r="G106" s="2"/>
      <c r="H106" s="6"/>
      <c r="I106" s="2"/>
      <c r="J106" s="7">
        <f t="shared" si="69"/>
        <v>0</v>
      </c>
      <c r="K106" s="2"/>
      <c r="L106" s="6">
        <f t="shared" si="70"/>
        <v>0</v>
      </c>
      <c r="M106" s="2"/>
      <c r="N106" s="7">
        <f t="shared" si="71"/>
        <v>0</v>
      </c>
      <c r="O106" s="11"/>
      <c r="P106" s="6">
        <v>14</v>
      </c>
      <c r="Q106" s="2"/>
      <c r="R106" s="7">
        <f t="shared" si="72"/>
        <v>6.5690937278293094E-4</v>
      </c>
      <c r="S106" s="2"/>
      <c r="T106" s="6">
        <v>80</v>
      </c>
      <c r="U106" s="2"/>
      <c r="V106" s="7">
        <f t="shared" si="73"/>
        <v>3.2372870725010675E-4</v>
      </c>
      <c r="W106" s="2"/>
      <c r="X106" s="6">
        <f t="shared" si="74"/>
        <v>-66</v>
      </c>
      <c r="Y106" s="2"/>
      <c r="Z106" s="7">
        <f t="shared" si="75"/>
        <v>-0.82499999999999996</v>
      </c>
    </row>
    <row r="107" spans="1:26" s="53" customFormat="1" x14ac:dyDescent="0.25">
      <c r="A107" s="37"/>
      <c r="B107" s="37"/>
      <c r="C107" s="37"/>
      <c r="D107" s="1"/>
      <c r="E107" s="1"/>
      <c r="F107" s="5"/>
      <c r="G107" s="1"/>
      <c r="H107" s="1"/>
      <c r="I107" s="1"/>
      <c r="J107" s="5"/>
      <c r="K107" s="1"/>
      <c r="L107" s="1"/>
      <c r="M107" s="1"/>
      <c r="N107" s="5"/>
      <c r="O107" s="37"/>
      <c r="P107" s="1"/>
      <c r="Q107" s="1"/>
      <c r="R107" s="5"/>
      <c r="S107" s="1"/>
      <c r="T107" s="1"/>
      <c r="U107" s="1"/>
      <c r="V107" s="5"/>
      <c r="W107" s="1"/>
      <c r="X107" s="1"/>
      <c r="Y107" s="1"/>
      <c r="Z107" s="5"/>
    </row>
    <row r="108" spans="1:26" s="23" customFormat="1" x14ac:dyDescent="0.25">
      <c r="A108" s="10"/>
      <c r="B108" s="29" t="s">
        <v>0</v>
      </c>
      <c r="C108" s="10"/>
      <c r="D108" s="4">
        <f>SUM(0)</f>
        <v>0</v>
      </c>
      <c r="E108" s="4"/>
      <c r="F108" s="12">
        <f>IF(D$12=0,0,D108/D$12)</f>
        <v>0</v>
      </c>
      <c r="G108" s="4"/>
      <c r="H108" s="4">
        <f>SUM(0)</f>
        <v>0</v>
      </c>
      <c r="I108" s="4"/>
      <c r="J108" s="12">
        <f>IF(H$12=0,0,H108/H$12)</f>
        <v>0</v>
      </c>
      <c r="K108" s="4"/>
      <c r="L108" s="4">
        <f>+D108-H108</f>
        <v>0</v>
      </c>
      <c r="M108" s="4"/>
      <c r="N108" s="12">
        <f>IF(H108=0,0,L108/H108)</f>
        <v>0</v>
      </c>
      <c r="O108" s="10"/>
      <c r="P108" s="4">
        <f>SUM(0)</f>
        <v>0</v>
      </c>
      <c r="Q108" s="4"/>
      <c r="R108" s="12">
        <f>IF(P$12=0,0,P108/P$12)</f>
        <v>0</v>
      </c>
      <c r="S108" s="4"/>
      <c r="T108" s="4">
        <f>SUM(0)</f>
        <v>0</v>
      </c>
      <c r="U108" s="4"/>
      <c r="V108" s="12">
        <f>IF(T$12=0,0,T108/T$12)</f>
        <v>0</v>
      </c>
      <c r="W108" s="4"/>
      <c r="X108" s="4">
        <f>+P108-T108</f>
        <v>0</v>
      </c>
      <c r="Y108" s="4"/>
      <c r="Z108" s="12">
        <f>IF(T108=0,0,X108/T108)</f>
        <v>0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10"/>
      <c r="B110" s="28" t="s">
        <v>3</v>
      </c>
      <c r="C110" s="28"/>
      <c r="D110" s="20">
        <f>+D65-D67+D108</f>
        <v>-553.19000000000005</v>
      </c>
      <c r="E110" s="14"/>
      <c r="F110" s="22">
        <f>IF(D$12=0,0,D110/D$12)</f>
        <v>0</v>
      </c>
      <c r="G110" s="14"/>
      <c r="H110" s="20">
        <f>+H65-H67+H108</f>
        <v>7766.5599999999995</v>
      </c>
      <c r="I110" s="14"/>
      <c r="J110" s="22">
        <f>IF(H$12=0,0,H110/H$12)</f>
        <v>0.16880930640374944</v>
      </c>
      <c r="K110" s="15"/>
      <c r="L110" s="20">
        <f>+D110-H110</f>
        <v>-8319.75</v>
      </c>
      <c r="M110" s="15"/>
      <c r="N110" s="22">
        <f>IF(H110=0,0,L110/H110)</f>
        <v>-1.0712271584845801</v>
      </c>
      <c r="O110" s="29"/>
      <c r="P110" s="20">
        <f>+P65-P67+P108</f>
        <v>-5042.3799999999901</v>
      </c>
      <c r="Q110" s="14"/>
      <c r="R110" s="22">
        <f>IF(P$12=0,0,P110/P$12)</f>
        <v>-0.23659904879522778</v>
      </c>
      <c r="S110" s="14"/>
      <c r="T110" s="20">
        <f>+T65-T67+T108</f>
        <v>56727.97999999996</v>
      </c>
      <c r="U110" s="14"/>
      <c r="V110" s="22">
        <f>IF(T$12=0,0,T110/T$12)</f>
        <v>0.22955594537887369</v>
      </c>
      <c r="W110" s="15"/>
      <c r="X110" s="20">
        <f>+P110-T110</f>
        <v>-61770.35999999995</v>
      </c>
      <c r="Y110" s="15"/>
      <c r="Z110" s="22">
        <f>IF(T110=0,0,X110/T110)</f>
        <v>-1.088887000735792</v>
      </c>
    </row>
    <row r="111" spans="1:26" x14ac:dyDescent="0.25">
      <c r="A111" s="9"/>
      <c r="B111" s="10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51"/>
      <c r="B112" s="10" t="s">
        <v>13</v>
      </c>
      <c r="C112" s="10"/>
      <c r="D112" s="4">
        <v>-1230.1600000000001</v>
      </c>
      <c r="E112" s="4"/>
      <c r="F112" s="12">
        <f>IF(D$12=0,0,D112/D$12)</f>
        <v>0</v>
      </c>
      <c r="G112" s="4"/>
      <c r="H112" s="4">
        <v>5923.88</v>
      </c>
      <c r="I112" s="4"/>
      <c r="J112" s="12">
        <f>IF(H$12=0,0,H112/H$12)</f>
        <v>0.12875791521845492</v>
      </c>
      <c r="K112" s="4"/>
      <c r="L112" s="4">
        <f>+D112-H112</f>
        <v>-7154.04</v>
      </c>
      <c r="M112" s="4"/>
      <c r="N112" s="12">
        <f>IF(H112=0,0,L112/H112)</f>
        <v>-1.2076611950275833</v>
      </c>
      <c r="O112" s="10"/>
      <c r="P112" s="4">
        <v>3386.46</v>
      </c>
      <c r="Q112" s="4"/>
      <c r="R112" s="12">
        <f>IF(P$12=0,0,P112/P$12)</f>
        <v>0.15889980818246316</v>
      </c>
      <c r="S112" s="4"/>
      <c r="T112" s="4">
        <v>26168.390000000003</v>
      </c>
      <c r="U112" s="4"/>
      <c r="V112" s="12">
        <f>IF(T$12=0,0,T112/T$12)</f>
        <v>0.10589323831895776</v>
      </c>
      <c r="W112" s="4"/>
      <c r="X112" s="4">
        <f>+P112-T112</f>
        <v>-22781.930000000004</v>
      </c>
      <c r="Y112" s="4"/>
      <c r="Z112" s="12">
        <f>IF(T112=0,0,X112/T112)</f>
        <v>-0.87058966944470029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8" t="s">
        <v>4</v>
      </c>
      <c r="C114" s="28"/>
      <c r="D114" s="31">
        <f>+D110-D112</f>
        <v>676.97</v>
      </c>
      <c r="E114" s="14"/>
      <c r="F114" s="34">
        <f>IF(D$12=0,0,D114/D$12)</f>
        <v>0</v>
      </c>
      <c r="G114" s="14"/>
      <c r="H114" s="31">
        <f>+H110-H112</f>
        <v>1842.6799999999994</v>
      </c>
      <c r="I114" s="14"/>
      <c r="J114" s="34">
        <f>IF(H$12=0,0,H114/H$12)</f>
        <v>4.0051391185294508E-2</v>
      </c>
      <c r="K114" s="15"/>
      <c r="L114" s="31">
        <f>D114-H114</f>
        <v>-1165.7099999999994</v>
      </c>
      <c r="M114" s="15"/>
      <c r="N114" s="34">
        <f>IF(H114=0,0,L114/H114)</f>
        <v>-0.63261662361343252</v>
      </c>
      <c r="O114" s="29"/>
      <c r="P114" s="31">
        <f>+P110-P112</f>
        <v>-8428.8399999999892</v>
      </c>
      <c r="Q114" s="14"/>
      <c r="R114" s="34">
        <f>IF(P$12=0,0,P114/P$12)</f>
        <v>-0.39549885697769088</v>
      </c>
      <c r="S114" s="14"/>
      <c r="T114" s="31">
        <f>+T110-T112</f>
        <v>30559.589999999956</v>
      </c>
      <c r="U114" s="14"/>
      <c r="V114" s="34">
        <f>IF(T$12=0,0,T114/T$12)</f>
        <v>0.12366270705991594</v>
      </c>
      <c r="W114" s="15"/>
      <c r="X114" s="31">
        <f>P114-T114</f>
        <v>-38988.429999999949</v>
      </c>
      <c r="Y114" s="15"/>
      <c r="Z114" s="34">
        <f>IF(T114=0,0,X114/T114)</f>
        <v>-1.2758165276432047</v>
      </c>
    </row>
    <row r="115" spans="1:26" ht="15.75" thickTop="1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.75" thickBot="1" x14ac:dyDescent="0.3">
      <c r="A117" s="10"/>
      <c r="B117" s="28" t="s">
        <v>5</v>
      </c>
      <c r="C117" s="28"/>
      <c r="D117" s="32">
        <f>SUM(D114:D116)</f>
        <v>676.97</v>
      </c>
      <c r="E117" s="14"/>
      <c r="F117" s="30">
        <f>IF(D$12=0,0,D117/D$12)</f>
        <v>0</v>
      </c>
      <c r="G117" s="14"/>
      <c r="H117" s="32">
        <f>SUM(H114:H116)</f>
        <v>1842.6799999999994</v>
      </c>
      <c r="I117" s="14"/>
      <c r="J117" s="30">
        <f>IF(H$12=0,0,H117/H$12)</f>
        <v>4.0051391185294508E-2</v>
      </c>
      <c r="K117" s="15"/>
      <c r="L117" s="32">
        <f>+D117-H117</f>
        <v>-1165.7099999999994</v>
      </c>
      <c r="M117" s="15"/>
      <c r="N117" s="30">
        <f>IF(H117=0,0,L117/H117)</f>
        <v>-0.63261662361343252</v>
      </c>
      <c r="O117" s="29"/>
      <c r="P117" s="32">
        <f>SUM(P114:P116)</f>
        <v>-8428.8399999999892</v>
      </c>
      <c r="Q117" s="14"/>
      <c r="R117" s="30">
        <f>IF(P$12=0,0,P117/P$12)</f>
        <v>-0.39549885697769088</v>
      </c>
      <c r="S117" s="14"/>
      <c r="T117" s="32">
        <f>SUM(T114:T116)</f>
        <v>30559.589999999956</v>
      </c>
      <c r="U117" s="14"/>
      <c r="V117" s="30">
        <f>IF(T$12=0,0,T117/T$12)</f>
        <v>0.12366270705991594</v>
      </c>
      <c r="W117" s="15"/>
      <c r="X117" s="32">
        <f>+P117-T117</f>
        <v>-38988.429999999949</v>
      </c>
      <c r="Y117" s="15"/>
      <c r="Z117" s="30">
        <f>IF(T117=0,0,X117/T117)</f>
        <v>-1.2758165276432047</v>
      </c>
    </row>
    <row r="118" spans="1:26" ht="15.75" thickTop="1" x14ac:dyDescent="0.25">
      <c r="A118" s="9"/>
      <c r="C118" s="9"/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  <row r="119" spans="1:26" x14ac:dyDescent="0.25">
      <c r="A119" s="9"/>
      <c r="B119" s="54">
        <v>44174.685547766203</v>
      </c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  <row r="120" spans="1:26" x14ac:dyDescent="0.25">
      <c r="A120" s="9"/>
      <c r="B120" s="56" t="s">
        <v>313</v>
      </c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  <row r="121" spans="1:26" x14ac:dyDescent="0.25">
      <c r="A121" s="9"/>
      <c r="B121" s="61"/>
      <c r="D121" s="17"/>
      <c r="E121" s="17"/>
      <c r="G121" s="17"/>
      <c r="H121" s="17"/>
      <c r="I121" s="17"/>
      <c r="J121" s="43"/>
      <c r="K121" s="17"/>
      <c r="L121" s="17"/>
      <c r="M121" s="17"/>
      <c r="P121" s="17"/>
      <c r="Q121" s="17"/>
      <c r="R121" s="43"/>
      <c r="S121" s="17"/>
      <c r="T121" s="17"/>
      <c r="U121" s="17"/>
      <c r="V121" s="43"/>
      <c r="W121" s="17"/>
      <c r="X121" s="17"/>
    </row>
    <row r="122" spans="1:26" x14ac:dyDescent="0.25">
      <c r="D122" s="17"/>
      <c r="E122" s="17"/>
      <c r="G122" s="17"/>
      <c r="H122" s="17"/>
      <c r="I122" s="17"/>
      <c r="J122" s="43"/>
      <c r="K122" s="17"/>
      <c r="L122" s="17"/>
      <c r="M122" s="17"/>
      <c r="P122" s="17"/>
      <c r="Q122" s="17"/>
      <c r="R122" s="43"/>
      <c r="S122" s="17"/>
      <c r="T122" s="17"/>
      <c r="U122" s="17"/>
      <c r="V122" s="43"/>
      <c r="W122" s="17"/>
      <c r="X122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","314", " - ", "Tech/Supplies")</f>
        <v>Department 314 - Tech/Supplies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19240.009999999998</v>
      </c>
      <c r="I12" s="4"/>
      <c r="J12" s="12"/>
      <c r="K12" s="4"/>
      <c r="L12" s="4">
        <f t="shared" ref="L12:L32" si="0">+D12-H12</f>
        <v>-19240.009999999998</v>
      </c>
      <c r="M12" s="4"/>
      <c r="N12" s="12">
        <f t="shared" ref="N12:N32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224660.36000000002</v>
      </c>
      <c r="U12" s="4"/>
      <c r="V12" s="12"/>
      <c r="W12" s="4"/>
      <c r="X12" s="4">
        <f t="shared" ref="X12:X32" si="2">+P12-T12</f>
        <v>-224660.36000000002</v>
      </c>
      <c r="Y12" s="4"/>
      <c r="Z12" s="12">
        <f t="shared" ref="Z12:Z32" si="3">IF(T12=0,0,X12/T12)</f>
        <v>-1</v>
      </c>
    </row>
    <row r="13" spans="1:26" s="24" customFormat="1" hidden="1" outlineLevel="1" x14ac:dyDescent="0.25">
      <c r="A13" s="44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 t="shared" ref="D13:D32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32" si="5">0</f>
        <v>0</v>
      </c>
      <c r="Q13" s="2"/>
      <c r="R13" s="19"/>
      <c r="S13" s="2"/>
      <c r="T13" s="2">
        <f>--209.2</f>
        <v>209.2</v>
      </c>
      <c r="U13" s="2"/>
      <c r="V13" s="19"/>
      <c r="W13" s="2"/>
      <c r="X13" s="2">
        <f t="shared" si="2"/>
        <v>-209.2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"4019", " - ", "TAXABLE SALES-BOOK RELATED")</f>
        <v xml:space="preserve">          4019 - TAXABLE SALES-BOOK RELATED</v>
      </c>
      <c r="C14" s="11"/>
      <c r="D14" s="2">
        <f t="shared" si="4"/>
        <v>0</v>
      </c>
      <c r="E14" s="2"/>
      <c r="F14" s="19"/>
      <c r="G14" s="2"/>
      <c r="H14" s="2">
        <f>--3.98</f>
        <v>3.98</v>
      </c>
      <c r="I14" s="2"/>
      <c r="J14" s="19"/>
      <c r="K14" s="2"/>
      <c r="L14" s="2">
        <f t="shared" si="0"/>
        <v>-3.98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--33.88</f>
        <v>33.880000000000003</v>
      </c>
      <c r="U14" s="2"/>
      <c r="V14" s="19"/>
      <c r="W14" s="2"/>
      <c r="X14" s="2">
        <f t="shared" si="2"/>
        <v>-33.880000000000003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 t="shared" si="4"/>
        <v>0</v>
      </c>
      <c r="E15" s="2"/>
      <c r="F15" s="19"/>
      <c r="G15" s="2"/>
      <c r="H15" s="2">
        <f>--3023.67</f>
        <v>3023.67</v>
      </c>
      <c r="I15" s="2"/>
      <c r="J15" s="19"/>
      <c r="K15" s="2"/>
      <c r="L15" s="2">
        <f t="shared" si="0"/>
        <v>-3023.67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--28235.55</f>
        <v>28235.55</v>
      </c>
      <c r="U15" s="2"/>
      <c r="V15" s="19"/>
      <c r="W15" s="2"/>
      <c r="X15" s="2">
        <f t="shared" si="2"/>
        <v>-28235.55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 t="shared" si="4"/>
        <v>0</v>
      </c>
      <c r="E16" s="2"/>
      <c r="F16" s="19"/>
      <c r="G16" s="2"/>
      <c r="H16" s="2">
        <f>--5828.94</f>
        <v>5828.94</v>
      </c>
      <c r="I16" s="2"/>
      <c r="J16" s="19"/>
      <c r="K16" s="2"/>
      <c r="L16" s="2">
        <f t="shared" si="0"/>
        <v>-5828.94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--40074.73</f>
        <v>40074.730000000003</v>
      </c>
      <c r="U16" s="2"/>
      <c r="V16" s="19"/>
      <c r="W16" s="2"/>
      <c r="X16" s="2">
        <f t="shared" si="2"/>
        <v>-40074.730000000003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 t="shared" si="4"/>
        <v>0</v>
      </c>
      <c r="E17" s="2"/>
      <c r="F17" s="19"/>
      <c r="G17" s="2"/>
      <c r="H17" s="2">
        <f>--10193.48</f>
        <v>10193.48</v>
      </c>
      <c r="I17" s="2"/>
      <c r="J17" s="19"/>
      <c r="K17" s="2"/>
      <c r="L17" s="2">
        <f t="shared" si="0"/>
        <v>-10193.48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--149176.63</f>
        <v>149176.63</v>
      </c>
      <c r="U17" s="2"/>
      <c r="V17" s="19"/>
      <c r="W17" s="2"/>
      <c r="X17" s="2">
        <f t="shared" si="2"/>
        <v>-149176.63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 t="shared" si="4"/>
        <v>0</v>
      </c>
      <c r="E18" s="2"/>
      <c r="F18" s="19"/>
      <c r="G18" s="2"/>
      <c r="H18" s="2">
        <f>--845.44</f>
        <v>845.44</v>
      </c>
      <c r="I18" s="2"/>
      <c r="J18" s="19"/>
      <c r="K18" s="2"/>
      <c r="L18" s="2">
        <f t="shared" si="0"/>
        <v>-845.44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--6684.78</f>
        <v>6684.78</v>
      </c>
      <c r="U18" s="2"/>
      <c r="V18" s="19"/>
      <c r="W18" s="2"/>
      <c r="X18" s="2">
        <f t="shared" si="2"/>
        <v>-6684.78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"4035", " - ", "TAXABLE SALES-HEALTH &amp; BEAUTY")</f>
        <v xml:space="preserve">          4035 - TAXABLE SALES-HEALTH &amp; BEAUTY</v>
      </c>
      <c r="C19" s="11"/>
      <c r="D19" s="2">
        <f t="shared" si="4"/>
        <v>0</v>
      </c>
      <c r="E19" s="2"/>
      <c r="F19" s="19"/>
      <c r="G19" s="2"/>
      <c r="H19" s="2">
        <f t="shared" ref="H19:H20" si="6"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5"/>
        <v>0</v>
      </c>
      <c r="Q19" s="2"/>
      <c r="R19" s="19"/>
      <c r="S19" s="2"/>
      <c r="T19" s="2">
        <f>--16.2</f>
        <v>16.2</v>
      </c>
      <c r="U19" s="2"/>
      <c r="V19" s="19"/>
      <c r="W19" s="2"/>
      <c r="X19" s="2">
        <f t="shared" si="2"/>
        <v>-16.2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"4125", " - ", "NON-TAXABLE SALES-TEST FORMS")</f>
        <v xml:space="preserve">          4125 - NON-TAXABLE SALES-TEST FORMS</v>
      </c>
      <c r="C20" s="11"/>
      <c r="D20" s="2">
        <f t="shared" si="4"/>
        <v>0</v>
      </c>
      <c r="E20" s="2"/>
      <c r="F20" s="19"/>
      <c r="G20" s="2"/>
      <c r="H20" s="2">
        <f t="shared" si="6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si="5"/>
        <v>0</v>
      </c>
      <c r="Q20" s="2"/>
      <c r="R20" s="19"/>
      <c r="S20" s="2"/>
      <c r="T20" s="2">
        <f>--124.18</f>
        <v>124.18</v>
      </c>
      <c r="U20" s="2"/>
      <c r="V20" s="19"/>
      <c r="W20" s="2"/>
      <c r="X20" s="2">
        <f t="shared" si="2"/>
        <v>-124.18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 t="shared" si="4"/>
        <v>0</v>
      </c>
      <c r="E21" s="2"/>
      <c r="F21" s="19"/>
      <c r="G21" s="2"/>
      <c r="H21" s="2">
        <f>--11.85</f>
        <v>11.85</v>
      </c>
      <c r="I21" s="2"/>
      <c r="J21" s="19"/>
      <c r="K21" s="2"/>
      <c r="L21" s="2">
        <f t="shared" si="0"/>
        <v>-11.85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--1470.38</f>
        <v>1470.38</v>
      </c>
      <c r="U21" s="2"/>
      <c r="V21" s="19"/>
      <c r="W21" s="2"/>
      <c r="X21" s="2">
        <f t="shared" si="2"/>
        <v>-1470.38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"4127", " - ", "NON-TAXABLE SALES-SCHOOL SUPPL")</f>
        <v xml:space="preserve">          4127 - NON-TAXABLE SALES-SCHOOL SUPPL</v>
      </c>
      <c r="C22" s="11"/>
      <c r="D22" s="2">
        <f t="shared" si="4"/>
        <v>0</v>
      </c>
      <c r="E22" s="2"/>
      <c r="F22" s="19"/>
      <c r="G22" s="2"/>
      <c r="H22" s="2">
        <f>--6.28</f>
        <v>6.28</v>
      </c>
      <c r="I22" s="2"/>
      <c r="J22" s="19"/>
      <c r="K22" s="2"/>
      <c r="L22" s="2">
        <f t="shared" si="0"/>
        <v>-6.28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--2591.23</f>
        <v>2591.23</v>
      </c>
      <c r="U22" s="2"/>
      <c r="V22" s="19"/>
      <c r="W22" s="2"/>
      <c r="X22" s="2">
        <f t="shared" si="2"/>
        <v>-2591.23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"4128", " - ", "NON-TAXABLE SALES-ART/TECH")</f>
        <v xml:space="preserve">          4128 - NON-TAXABLE SALES-ART/TECH</v>
      </c>
      <c r="C23" s="11"/>
      <c r="D23" s="2">
        <f t="shared" si="4"/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si="5"/>
        <v>0</v>
      </c>
      <c r="Q23" s="2"/>
      <c r="R23" s="19"/>
      <c r="S23" s="2"/>
      <c r="T23" s="2">
        <f>--253.32</f>
        <v>253.32</v>
      </c>
      <c r="U23" s="2"/>
      <c r="V23" s="19"/>
      <c r="W23" s="2"/>
      <c r="X23" s="2">
        <f t="shared" si="2"/>
        <v>-253.32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 t="shared" si="4"/>
        <v>0</v>
      </c>
      <c r="E24" s="2"/>
      <c r="F24" s="19"/>
      <c r="G24" s="2"/>
      <c r="H24" s="2">
        <f>--90.16</f>
        <v>90.16</v>
      </c>
      <c r="I24" s="2"/>
      <c r="J24" s="19"/>
      <c r="K24" s="2"/>
      <c r="L24" s="2">
        <f t="shared" si="0"/>
        <v>-90.16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--793.83</f>
        <v>793.83</v>
      </c>
      <c r="U24" s="2"/>
      <c r="V24" s="19"/>
      <c r="W24" s="2"/>
      <c r="X24" s="2">
        <f t="shared" si="2"/>
        <v>-793.83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"4133", " - ", "NON-TAXABLE SALES-CANDY")</f>
        <v xml:space="preserve">          4133 - NON-TAXABLE SALES-CANDY</v>
      </c>
      <c r="C25" s="11"/>
      <c r="D25" s="2">
        <f t="shared" si="4"/>
        <v>0</v>
      </c>
      <c r="E25" s="2"/>
      <c r="F25" s="19"/>
      <c r="G25" s="2"/>
      <c r="H25" s="2">
        <f>--195.72</f>
        <v>195.72</v>
      </c>
      <c r="I25" s="2"/>
      <c r="J25" s="19"/>
      <c r="K25" s="2"/>
      <c r="L25" s="2">
        <f t="shared" si="0"/>
        <v>-195.72</v>
      </c>
      <c r="M25" s="2"/>
      <c r="N25" s="19">
        <f t="shared" si="1"/>
        <v>-1</v>
      </c>
      <c r="O25" s="11"/>
      <c r="P25" s="2">
        <f t="shared" si="5"/>
        <v>0</v>
      </c>
      <c r="Q25" s="2"/>
      <c r="R25" s="19"/>
      <c r="S25" s="2"/>
      <c r="T25" s="2">
        <f>--1341.12</f>
        <v>1341.12</v>
      </c>
      <c r="U25" s="2"/>
      <c r="V25" s="19"/>
      <c r="W25" s="2"/>
      <c r="X25" s="2">
        <f t="shared" si="2"/>
        <v>-1341.12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"4135", " - ", "NON-TAXABLE SALES")</f>
        <v xml:space="preserve">          4135 - NON-TAXABLE SALES</v>
      </c>
      <c r="C26" s="11"/>
      <c r="D26" s="2">
        <f t="shared" si="4"/>
        <v>0</v>
      </c>
      <c r="E26" s="2"/>
      <c r="F26" s="19"/>
      <c r="G26" s="2"/>
      <c r="H26" s="2">
        <f t="shared" ref="H26:H27" si="7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5"/>
        <v>0</v>
      </c>
      <c r="Q26" s="2"/>
      <c r="R26" s="19"/>
      <c r="S26" s="2"/>
      <c r="T26" s="2">
        <f>--50.16</f>
        <v>50.16</v>
      </c>
      <c r="U26" s="2"/>
      <c r="V26" s="19"/>
      <c r="W26" s="2"/>
      <c r="X26" s="2">
        <f t="shared" si="2"/>
        <v>-50.16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"4217", " - ", "NON-TAXABLE SALES-DORM/HOUSEWA")</f>
        <v xml:space="preserve">          4217 - NON-TAXABLE SALES-DORM/HOUSEWA</v>
      </c>
      <c r="C27" s="11"/>
      <c r="D27" s="2">
        <f t="shared" si="4"/>
        <v>0</v>
      </c>
      <c r="E27" s="2"/>
      <c r="F27" s="19"/>
      <c r="G27" s="2"/>
      <c r="H27" s="2">
        <f t="shared" si="7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5"/>
        <v>0</v>
      </c>
      <c r="Q27" s="2"/>
      <c r="R27" s="19"/>
      <c r="S27" s="2"/>
      <c r="T27" s="2">
        <f>-2.98</f>
        <v>-2.98</v>
      </c>
      <c r="U27" s="2"/>
      <c r="V27" s="19"/>
      <c r="W27" s="2"/>
      <c r="X27" s="2">
        <f t="shared" si="2"/>
        <v>2.98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"4225", " - ", "SALES RETURN TAXABLE-TEST FORM")</f>
        <v xml:space="preserve">          4225 - SALES RETURN TAXABLE-TEST FORM</v>
      </c>
      <c r="C28" s="11"/>
      <c r="D28" s="2">
        <f t="shared" si="4"/>
        <v>0</v>
      </c>
      <c r="E28" s="2"/>
      <c r="F28" s="19"/>
      <c r="G28" s="2"/>
      <c r="H28" s="2">
        <f>-23.91</f>
        <v>-23.91</v>
      </c>
      <c r="I28" s="2"/>
      <c r="J28" s="19"/>
      <c r="K28" s="2"/>
      <c r="L28" s="2">
        <f t="shared" si="0"/>
        <v>23.91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-64.97</f>
        <v>-64.97</v>
      </c>
      <c r="U28" s="2"/>
      <c r="V28" s="19"/>
      <c r="W28" s="2"/>
      <c r="X28" s="2">
        <f t="shared" si="2"/>
        <v>64.97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 t="shared" si="4"/>
        <v>0</v>
      </c>
      <c r="E29" s="2"/>
      <c r="F29" s="19"/>
      <c r="G29" s="2"/>
      <c r="H29" s="2">
        <f>-10.75</f>
        <v>-10.75</v>
      </c>
      <c r="I29" s="2"/>
      <c r="J29" s="19"/>
      <c r="K29" s="2"/>
      <c r="L29" s="2">
        <f t="shared" si="0"/>
        <v>10.75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-348.93</f>
        <v>-348.93</v>
      </c>
      <c r="U29" s="2"/>
      <c r="V29" s="19"/>
      <c r="W29" s="2"/>
      <c r="X29" s="2">
        <f t="shared" si="2"/>
        <v>348.93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 t="shared" si="4"/>
        <v>0</v>
      </c>
      <c r="E30" s="2"/>
      <c r="F30" s="19"/>
      <c r="G30" s="2"/>
      <c r="H30" s="2">
        <f>-914.07</f>
        <v>-914.07</v>
      </c>
      <c r="I30" s="2"/>
      <c r="J30" s="19"/>
      <c r="K30" s="2"/>
      <c r="L30" s="2">
        <f t="shared" si="0"/>
        <v>914.07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-5718.33</f>
        <v>-5718.33</v>
      </c>
      <c r="U30" s="2"/>
      <c r="V30" s="19"/>
      <c r="W30" s="2"/>
      <c r="X30" s="2">
        <f t="shared" si="2"/>
        <v>5718.33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"4228", " - ", "SALES RETURN TAXABLE-ART/TECH")</f>
        <v xml:space="preserve">          4228 - SALES RETURN TAXABLE-ART/TECH</v>
      </c>
      <c r="C31" s="11"/>
      <c r="D31" s="2">
        <f t="shared" si="4"/>
        <v>0</v>
      </c>
      <c r="E31" s="2"/>
      <c r="F31" s="19"/>
      <c r="G31" s="2"/>
      <c r="H31" s="2">
        <f>-10.78</f>
        <v>-10.78</v>
      </c>
      <c r="I31" s="2"/>
      <c r="J31" s="19"/>
      <c r="K31" s="2"/>
      <c r="L31" s="2">
        <f t="shared" si="0"/>
        <v>10.78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-237.75</f>
        <v>-237.75</v>
      </c>
      <c r="U31" s="2"/>
      <c r="V31" s="19"/>
      <c r="W31" s="2"/>
      <c r="X31" s="2">
        <f t="shared" si="2"/>
        <v>237.75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"4327", " - ", "SALES RETURN NON TAXABLE-SCHOO")</f>
        <v xml:space="preserve">          4327 - SALES RETURN NON TAXABLE-SCHOO</v>
      </c>
      <c r="C32" s="11"/>
      <c r="D32" s="2">
        <f t="shared" si="4"/>
        <v>0</v>
      </c>
      <c r="E32" s="2"/>
      <c r="F32" s="19"/>
      <c r="G32" s="2"/>
      <c r="H32" s="2">
        <f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5"/>
        <v>0</v>
      </c>
      <c r="Q32" s="2"/>
      <c r="R32" s="19"/>
      <c r="S32" s="2"/>
      <c r="T32" s="2">
        <f>-21.87</f>
        <v>-21.87</v>
      </c>
      <c r="U32" s="2"/>
      <c r="V32" s="19"/>
      <c r="W32" s="2"/>
      <c r="X32" s="2">
        <f t="shared" si="2"/>
        <v>21.87</v>
      </c>
      <c r="Y32" s="2"/>
      <c r="Z32" s="19">
        <f t="shared" si="3"/>
        <v>-1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9" t="s">
        <v>8</v>
      </c>
      <c r="C34" s="10"/>
      <c r="D34" s="4">
        <f>SUM(OSRRefD16x_0)</f>
        <v>0</v>
      </c>
      <c r="E34" s="4"/>
      <c r="F34" s="12">
        <f t="shared" ref="F34:F49" si="8">IF(D$12=0,0,D34/D$12)</f>
        <v>0</v>
      </c>
      <c r="G34" s="4"/>
      <c r="H34" s="4">
        <f>SUM(OSRRefH16x_0)</f>
        <v>9387.1799999999967</v>
      </c>
      <c r="I34" s="4"/>
      <c r="J34" s="12">
        <f t="shared" ref="J34:J49" si="9">IF(H$12=0,0,H34/H$12)</f>
        <v>0.48789891481345371</v>
      </c>
      <c r="K34" s="4"/>
      <c r="L34" s="4">
        <f t="shared" ref="L34:L49" si="10">+D34-H34</f>
        <v>-9387.1799999999967</v>
      </c>
      <c r="M34" s="4"/>
      <c r="N34" s="12">
        <f t="shared" ref="N34:N49" si="11">IF(H34=0,0,L34/H34)</f>
        <v>-1</v>
      </c>
      <c r="O34" s="10"/>
      <c r="P34" s="4">
        <f>SUM(OSRRefP16x_0)</f>
        <v>0</v>
      </c>
      <c r="Q34" s="4"/>
      <c r="R34" s="12">
        <f t="shared" ref="R34:R49" si="12">IF(P$12=0,0,P34/P$12)</f>
        <v>0</v>
      </c>
      <c r="S34" s="4"/>
      <c r="T34" s="4">
        <f>SUM(OSRRefT16x_0)</f>
        <v>104566.19</v>
      </c>
      <c r="U34" s="4"/>
      <c r="V34" s="12">
        <f t="shared" ref="V34:V49" si="13">IF(T$12=0,0,T34/T$12)</f>
        <v>0.46544121090164725</v>
      </c>
      <c r="W34" s="4"/>
      <c r="X34" s="4">
        <f t="shared" ref="X34:X49" si="14">+P34-T34</f>
        <v>-104566.19</v>
      </c>
      <c r="Y34" s="4"/>
      <c r="Z34" s="12">
        <f t="shared" ref="Z34:Z49" si="15">IF(T34=0,0,X34/T34)</f>
        <v>-1</v>
      </c>
    </row>
    <row r="35" spans="1:26" s="24" customFormat="1" hidden="1" outlineLevel="1" x14ac:dyDescent="0.25">
      <c r="A35" s="44"/>
      <c r="B35" s="11" t="str">
        <f>CONCATENATE("          ", "5017", " - ", "PURCHASES @ COST-DORM/HOUSEWAR")</f>
        <v xml:space="preserve">          5017 - PURCHASES @ COST-DORM/HOUSEWAR</v>
      </c>
      <c r="C35" s="11"/>
      <c r="D35" s="2"/>
      <c r="E35" s="2"/>
      <c r="F35" s="19">
        <f t="shared" si="8"/>
        <v>0</v>
      </c>
      <c r="G35" s="2"/>
      <c r="H35" s="2"/>
      <c r="I35" s="2"/>
      <c r="J35" s="19">
        <f t="shared" si="9"/>
        <v>0</v>
      </c>
      <c r="K35" s="2"/>
      <c r="L35" s="2">
        <f t="shared" si="10"/>
        <v>0</v>
      </c>
      <c r="M35" s="2"/>
      <c r="N35" s="19">
        <f t="shared" si="11"/>
        <v>0</v>
      </c>
      <c r="O35" s="11"/>
      <c r="P35" s="2"/>
      <c r="Q35" s="2"/>
      <c r="R35" s="19">
        <f t="shared" si="12"/>
        <v>0</v>
      </c>
      <c r="S35" s="2"/>
      <c r="T35" s="2">
        <v>0</v>
      </c>
      <c r="U35" s="2"/>
      <c r="V35" s="19">
        <f t="shared" si="13"/>
        <v>0</v>
      </c>
      <c r="W35" s="2"/>
      <c r="X35" s="2">
        <f t="shared" si="14"/>
        <v>0</v>
      </c>
      <c r="Y35" s="2"/>
      <c r="Z35" s="19">
        <f t="shared" si="15"/>
        <v>0</v>
      </c>
    </row>
    <row r="36" spans="1:26" s="24" customFormat="1" hidden="1" outlineLevel="1" x14ac:dyDescent="0.25">
      <c r="A36" s="44"/>
      <c r="B36" s="11" t="str">
        <f>CONCATENATE("          ", "5025", " - ", "PURCHASES @ COST-TEST FORMS")</f>
        <v xml:space="preserve">          5025 - PURCHASES @ COST-TEST FORMS</v>
      </c>
      <c r="C36" s="11"/>
      <c r="D36" s="2"/>
      <c r="E36" s="2"/>
      <c r="F36" s="19">
        <f t="shared" si="8"/>
        <v>0</v>
      </c>
      <c r="G36" s="2"/>
      <c r="H36" s="2">
        <v>18880.099999999999</v>
      </c>
      <c r="I36" s="2"/>
      <c r="J36" s="19">
        <f t="shared" si="9"/>
        <v>0.98129366876628443</v>
      </c>
      <c r="K36" s="2"/>
      <c r="L36" s="2">
        <f t="shared" si="10"/>
        <v>-18880.099999999999</v>
      </c>
      <c r="M36" s="2"/>
      <c r="N36" s="19">
        <f t="shared" si="11"/>
        <v>-1</v>
      </c>
      <c r="O36" s="11"/>
      <c r="P36" s="2"/>
      <c r="Q36" s="2"/>
      <c r="R36" s="19">
        <f t="shared" si="12"/>
        <v>0</v>
      </c>
      <c r="S36" s="2"/>
      <c r="T36" s="2">
        <v>21694.11</v>
      </c>
      <c r="U36" s="2"/>
      <c r="V36" s="19">
        <f t="shared" si="13"/>
        <v>9.6564031144613136E-2</v>
      </c>
      <c r="W36" s="2"/>
      <c r="X36" s="2">
        <f t="shared" si="14"/>
        <v>-21694.11</v>
      </c>
      <c r="Y36" s="2"/>
      <c r="Z36" s="19">
        <f t="shared" si="15"/>
        <v>-1</v>
      </c>
    </row>
    <row r="37" spans="1:26" s="24" customFormat="1" hidden="1" outlineLevel="1" x14ac:dyDescent="0.25">
      <c r="A37" s="44"/>
      <c r="B37" s="11" t="str">
        <f>CONCATENATE("          ", "5026", " - ", "PURCHASES @ COST-WRITING INSTR")</f>
        <v xml:space="preserve">          5026 - PURCHASES @ COST-WRITING INSTR</v>
      </c>
      <c r="C37" s="11"/>
      <c r="D37" s="2"/>
      <c r="E37" s="2"/>
      <c r="F37" s="19">
        <f t="shared" si="8"/>
        <v>0</v>
      </c>
      <c r="G37" s="2"/>
      <c r="H37" s="2">
        <v>3910.23</v>
      </c>
      <c r="I37" s="2"/>
      <c r="J37" s="19">
        <f t="shared" si="9"/>
        <v>0.20323430185327349</v>
      </c>
      <c r="K37" s="2"/>
      <c r="L37" s="2">
        <f t="shared" si="10"/>
        <v>-3910.23</v>
      </c>
      <c r="M37" s="2"/>
      <c r="N37" s="19">
        <f t="shared" si="11"/>
        <v>-1</v>
      </c>
      <c r="O37" s="11"/>
      <c r="P37" s="2"/>
      <c r="Q37" s="2"/>
      <c r="R37" s="19">
        <f t="shared" si="12"/>
        <v>0</v>
      </c>
      <c r="S37" s="2"/>
      <c r="T37" s="2">
        <v>27410.329999999998</v>
      </c>
      <c r="U37" s="2"/>
      <c r="V37" s="19">
        <f t="shared" si="13"/>
        <v>0.12200786111087865</v>
      </c>
      <c r="W37" s="2"/>
      <c r="X37" s="2">
        <f t="shared" si="14"/>
        <v>-27410.329999999998</v>
      </c>
      <c r="Y37" s="2"/>
      <c r="Z37" s="19">
        <f t="shared" si="15"/>
        <v>-1</v>
      </c>
    </row>
    <row r="38" spans="1:26" s="24" customFormat="1" hidden="1" outlineLevel="1" x14ac:dyDescent="0.25">
      <c r="A38" s="44"/>
      <c r="B38" s="11" t="str">
        <f>CONCATENATE("          ", "5027", " - ", "PURCHASES @ COST-SCHOOL SUPPLI")</f>
        <v xml:space="preserve">          5027 - PURCHASES @ COST-SCHOOL SUPPLI</v>
      </c>
      <c r="C38" s="11"/>
      <c r="D38" s="2"/>
      <c r="E38" s="2"/>
      <c r="F38" s="19">
        <f t="shared" si="8"/>
        <v>0</v>
      </c>
      <c r="G38" s="2"/>
      <c r="H38" s="2">
        <v>3386.98</v>
      </c>
      <c r="I38" s="2"/>
      <c r="J38" s="19">
        <f t="shared" si="9"/>
        <v>0.17603837004242723</v>
      </c>
      <c r="K38" s="2"/>
      <c r="L38" s="2">
        <f t="shared" si="10"/>
        <v>-3386.98</v>
      </c>
      <c r="M38" s="2"/>
      <c r="N38" s="19">
        <f t="shared" si="11"/>
        <v>-1</v>
      </c>
      <c r="O38" s="11"/>
      <c r="P38" s="2"/>
      <c r="Q38" s="2"/>
      <c r="R38" s="19">
        <f t="shared" si="12"/>
        <v>0</v>
      </c>
      <c r="S38" s="2"/>
      <c r="T38" s="2">
        <v>73600</v>
      </c>
      <c r="U38" s="2"/>
      <c r="V38" s="19">
        <f t="shared" si="13"/>
        <v>0.32760563545789739</v>
      </c>
      <c r="W38" s="2"/>
      <c r="X38" s="2">
        <f t="shared" si="14"/>
        <v>-73600</v>
      </c>
      <c r="Y38" s="2"/>
      <c r="Z38" s="19">
        <f t="shared" si="15"/>
        <v>-1</v>
      </c>
    </row>
    <row r="39" spans="1:26" s="24" customFormat="1" hidden="1" outlineLevel="1" x14ac:dyDescent="0.25">
      <c r="A39" s="44"/>
      <c r="B39" s="11" t="str">
        <f>CONCATENATE("          ", "5028", " - ", "PURCHASES @ COST-ART/TECH")</f>
        <v xml:space="preserve">          5028 - PURCHASES @ COST-ART/TECH</v>
      </c>
      <c r="C39" s="11"/>
      <c r="D39" s="2"/>
      <c r="E39" s="2"/>
      <c r="F39" s="19">
        <f t="shared" si="8"/>
        <v>0</v>
      </c>
      <c r="G39" s="2"/>
      <c r="H39" s="2">
        <v>4.92</v>
      </c>
      <c r="I39" s="2"/>
      <c r="J39" s="19">
        <f t="shared" si="9"/>
        <v>2.5571712280814823E-4</v>
      </c>
      <c r="K39" s="2"/>
      <c r="L39" s="2">
        <f t="shared" si="10"/>
        <v>-4.92</v>
      </c>
      <c r="M39" s="2"/>
      <c r="N39" s="19">
        <f t="shared" si="11"/>
        <v>-1</v>
      </c>
      <c r="O39" s="11"/>
      <c r="P39" s="2"/>
      <c r="Q39" s="2"/>
      <c r="R39" s="19">
        <f t="shared" si="12"/>
        <v>0</v>
      </c>
      <c r="S39" s="2"/>
      <c r="T39" s="2">
        <v>3278.26</v>
      </c>
      <c r="U39" s="2"/>
      <c r="V39" s="19">
        <f t="shared" si="13"/>
        <v>1.4592071338263679E-2</v>
      </c>
      <c r="W39" s="2"/>
      <c r="X39" s="2">
        <f t="shared" si="14"/>
        <v>-3278.26</v>
      </c>
      <c r="Y39" s="2"/>
      <c r="Z39" s="19">
        <f t="shared" si="15"/>
        <v>-1</v>
      </c>
    </row>
    <row r="40" spans="1:26" s="24" customFormat="1" hidden="1" outlineLevel="1" x14ac:dyDescent="0.25">
      <c r="A40" s="44"/>
      <c r="B40" s="11" t="str">
        <f>CONCATENATE("          ", "5031", " - ", "PURCHASES @ COST-FOOD")</f>
        <v xml:space="preserve">          5031 - PURCHASES @ COST-FOOD</v>
      </c>
      <c r="C40" s="11"/>
      <c r="D40" s="2"/>
      <c r="E40" s="2"/>
      <c r="F40" s="19">
        <f t="shared" si="8"/>
        <v>0</v>
      </c>
      <c r="G40" s="2"/>
      <c r="H40" s="2">
        <v>98.54</v>
      </c>
      <c r="I40" s="2"/>
      <c r="J40" s="19">
        <f t="shared" si="9"/>
        <v>5.1216189596575059E-3</v>
      </c>
      <c r="K40" s="2"/>
      <c r="L40" s="2">
        <f t="shared" si="10"/>
        <v>-98.54</v>
      </c>
      <c r="M40" s="2"/>
      <c r="N40" s="19">
        <f t="shared" si="11"/>
        <v>-1</v>
      </c>
      <c r="O40" s="11"/>
      <c r="P40" s="2"/>
      <c r="Q40" s="2"/>
      <c r="R40" s="19">
        <f t="shared" si="12"/>
        <v>0</v>
      </c>
      <c r="S40" s="2"/>
      <c r="T40" s="2">
        <v>265.83999999999997</v>
      </c>
      <c r="U40" s="2"/>
      <c r="V40" s="19">
        <f t="shared" si="13"/>
        <v>1.1832973115506445E-3</v>
      </c>
      <c r="W40" s="2"/>
      <c r="X40" s="2">
        <f t="shared" si="14"/>
        <v>-265.83999999999997</v>
      </c>
      <c r="Y40" s="2"/>
      <c r="Z40" s="19">
        <f t="shared" si="15"/>
        <v>-1</v>
      </c>
    </row>
    <row r="41" spans="1:26" s="24" customFormat="1" hidden="1" outlineLevel="1" x14ac:dyDescent="0.25">
      <c r="A41" s="44"/>
      <c r="B41" s="11" t="str">
        <f>CONCATENATE("          ", "5033", " - ", "PURCHASES @ COST-CANDY")</f>
        <v xml:space="preserve">          5033 - PURCHASES @ COST-CANDY</v>
      </c>
      <c r="C41" s="11"/>
      <c r="D41" s="2"/>
      <c r="E41" s="2"/>
      <c r="F41" s="19">
        <f t="shared" si="8"/>
        <v>0</v>
      </c>
      <c r="G41" s="2"/>
      <c r="H41" s="2">
        <v>134.88999999999999</v>
      </c>
      <c r="I41" s="2"/>
      <c r="J41" s="19">
        <f t="shared" si="9"/>
        <v>7.0109111169900642E-3</v>
      </c>
      <c r="K41" s="2"/>
      <c r="L41" s="2">
        <f t="shared" si="10"/>
        <v>-134.88999999999999</v>
      </c>
      <c r="M41" s="2"/>
      <c r="N41" s="19">
        <f t="shared" si="11"/>
        <v>-1</v>
      </c>
      <c r="O41" s="11"/>
      <c r="P41" s="2"/>
      <c r="Q41" s="2"/>
      <c r="R41" s="19">
        <f t="shared" si="12"/>
        <v>0</v>
      </c>
      <c r="S41" s="2"/>
      <c r="T41" s="2">
        <v>288.88</v>
      </c>
      <c r="U41" s="2"/>
      <c r="V41" s="19">
        <f t="shared" si="13"/>
        <v>1.2858521191722472E-3</v>
      </c>
      <c r="W41" s="2"/>
      <c r="X41" s="2">
        <f t="shared" si="14"/>
        <v>-288.88</v>
      </c>
      <c r="Y41" s="2"/>
      <c r="Z41" s="19">
        <f t="shared" si="15"/>
        <v>-1</v>
      </c>
    </row>
    <row r="42" spans="1:26" s="24" customFormat="1" hidden="1" outlineLevel="1" x14ac:dyDescent="0.25">
      <c r="A42" s="44"/>
      <c r="B42" s="11" t="str">
        <f>CONCATENATE("          ", "5035", " - ", "PURCHASES @ COST-HEALTH &amp; BEAU")</f>
        <v xml:space="preserve">          5035 - PURCHASES @ COST-HEALTH &amp; BEAU</v>
      </c>
      <c r="C42" s="11"/>
      <c r="D42" s="2"/>
      <c r="E42" s="2"/>
      <c r="F42" s="19">
        <f t="shared" si="8"/>
        <v>0</v>
      </c>
      <c r="G42" s="2"/>
      <c r="H42" s="2"/>
      <c r="I42" s="2"/>
      <c r="J42" s="19">
        <f t="shared" si="9"/>
        <v>0</v>
      </c>
      <c r="K42" s="2"/>
      <c r="L42" s="2">
        <f t="shared" si="10"/>
        <v>0</v>
      </c>
      <c r="M42" s="2"/>
      <c r="N42" s="19">
        <f t="shared" si="11"/>
        <v>0</v>
      </c>
      <c r="O42" s="11"/>
      <c r="P42" s="2"/>
      <c r="Q42" s="2"/>
      <c r="R42" s="19">
        <f t="shared" si="12"/>
        <v>0</v>
      </c>
      <c r="S42" s="2"/>
      <c r="T42" s="2">
        <v>34.49</v>
      </c>
      <c r="U42" s="2"/>
      <c r="V42" s="19">
        <f t="shared" si="13"/>
        <v>1.5352062998563699E-4</v>
      </c>
      <c r="W42" s="2"/>
      <c r="X42" s="2">
        <f t="shared" si="14"/>
        <v>-34.49</v>
      </c>
      <c r="Y42" s="2"/>
      <c r="Z42" s="19">
        <f t="shared" si="15"/>
        <v>-1</v>
      </c>
    </row>
    <row r="43" spans="1:26" s="24" customFormat="1" hidden="1" outlineLevel="1" x14ac:dyDescent="0.25">
      <c r="A43" s="44"/>
      <c r="B43" s="11" t="str">
        <f>CONCATENATE("          ", "5200", " - ", "PURCHASES OFFSET")</f>
        <v xml:space="preserve">          5200 - PURCHASES OFFSET</v>
      </c>
      <c r="C43" s="11"/>
      <c r="D43" s="2"/>
      <c r="E43" s="2"/>
      <c r="F43" s="19">
        <f t="shared" si="8"/>
        <v>0</v>
      </c>
      <c r="G43" s="2"/>
      <c r="H43" s="2">
        <v>-27051</v>
      </c>
      <c r="I43" s="2"/>
      <c r="J43" s="19">
        <f t="shared" si="9"/>
        <v>-1.4059764002201662</v>
      </c>
      <c r="K43" s="2"/>
      <c r="L43" s="2">
        <f t="shared" si="10"/>
        <v>27051</v>
      </c>
      <c r="M43" s="2"/>
      <c r="N43" s="19">
        <f t="shared" si="11"/>
        <v>-1</v>
      </c>
      <c r="O43" s="11"/>
      <c r="P43" s="2"/>
      <c r="Q43" s="2"/>
      <c r="R43" s="19">
        <f t="shared" si="12"/>
        <v>0</v>
      </c>
      <c r="S43" s="2"/>
      <c r="T43" s="2">
        <v>-128073</v>
      </c>
      <c r="U43" s="2"/>
      <c r="V43" s="19">
        <f t="shared" si="13"/>
        <v>-0.57007386616846867</v>
      </c>
      <c r="W43" s="2"/>
      <c r="X43" s="2">
        <f t="shared" si="14"/>
        <v>128073</v>
      </c>
      <c r="Y43" s="2"/>
      <c r="Z43" s="19">
        <f t="shared" si="15"/>
        <v>-1</v>
      </c>
    </row>
    <row r="44" spans="1:26" s="24" customFormat="1" hidden="1" outlineLevel="1" x14ac:dyDescent="0.25">
      <c r="A44" s="44"/>
      <c r="B44" s="11" t="str">
        <f>CONCATENATE("          ", "5300", " - ", "COG$ OFFSET")</f>
        <v xml:space="preserve">          5300 - COG$ OFFSET</v>
      </c>
      <c r="C44" s="11"/>
      <c r="D44" s="2"/>
      <c r="E44" s="2"/>
      <c r="F44" s="19">
        <f t="shared" si="8"/>
        <v>0</v>
      </c>
      <c r="G44" s="2"/>
      <c r="H44" s="2">
        <v>9388</v>
      </c>
      <c r="I44" s="2"/>
      <c r="J44" s="19">
        <f t="shared" si="9"/>
        <v>0.4879415343339219</v>
      </c>
      <c r="K44" s="2"/>
      <c r="L44" s="2">
        <f t="shared" si="10"/>
        <v>-9388</v>
      </c>
      <c r="M44" s="2"/>
      <c r="N44" s="19">
        <f t="shared" si="11"/>
        <v>-1</v>
      </c>
      <c r="O44" s="11"/>
      <c r="P44" s="2"/>
      <c r="Q44" s="2"/>
      <c r="R44" s="19">
        <f t="shared" si="12"/>
        <v>0</v>
      </c>
      <c r="S44" s="2"/>
      <c r="T44" s="2">
        <v>104561</v>
      </c>
      <c r="U44" s="2"/>
      <c r="V44" s="19">
        <f t="shared" si="13"/>
        <v>0.46541810936295125</v>
      </c>
      <c r="W44" s="2"/>
      <c r="X44" s="2">
        <f t="shared" si="14"/>
        <v>-104561</v>
      </c>
      <c r="Y44" s="2"/>
      <c r="Z44" s="19">
        <f t="shared" si="15"/>
        <v>-1</v>
      </c>
    </row>
    <row r="45" spans="1:26" s="24" customFormat="1" hidden="1" outlineLevel="1" x14ac:dyDescent="0.25">
      <c r="A45" s="44"/>
      <c r="B45" s="11" t="str">
        <f>CONCATENATE("          ", "5500", " - ", "FREIGHT-IN")</f>
        <v xml:space="preserve">          5500 - FREIGHT-IN</v>
      </c>
      <c r="C45" s="11"/>
      <c r="D45" s="2"/>
      <c r="E45" s="2"/>
      <c r="F45" s="19">
        <f t="shared" si="8"/>
        <v>0</v>
      </c>
      <c r="G45" s="2"/>
      <c r="H45" s="2"/>
      <c r="I45" s="2"/>
      <c r="J45" s="19">
        <f t="shared" si="9"/>
        <v>0</v>
      </c>
      <c r="K45" s="2"/>
      <c r="L45" s="2">
        <f t="shared" si="10"/>
        <v>0</v>
      </c>
      <c r="M45" s="2"/>
      <c r="N45" s="19">
        <f t="shared" si="11"/>
        <v>0</v>
      </c>
      <c r="O45" s="11"/>
      <c r="P45" s="2"/>
      <c r="Q45" s="2"/>
      <c r="R45" s="19">
        <f t="shared" si="12"/>
        <v>0</v>
      </c>
      <c r="S45" s="2"/>
      <c r="T45" s="2">
        <v>6</v>
      </c>
      <c r="U45" s="2"/>
      <c r="V45" s="19">
        <f t="shared" si="13"/>
        <v>2.6706981151459027E-5</v>
      </c>
      <c r="W45" s="2"/>
      <c r="X45" s="2">
        <f t="shared" si="14"/>
        <v>-6</v>
      </c>
      <c r="Y45" s="2"/>
      <c r="Z45" s="19">
        <f t="shared" si="15"/>
        <v>-1</v>
      </c>
    </row>
    <row r="46" spans="1:26" s="24" customFormat="1" hidden="1" outlineLevel="1" x14ac:dyDescent="0.25">
      <c r="A46" s="44"/>
      <c r="B46" s="11" t="str">
        <f>CONCATENATE("          ", "5525", " - ", "FREIGHT-IN-TEST FORMS")</f>
        <v xml:space="preserve">          5525 - FREIGHT-IN-TEST FORMS</v>
      </c>
      <c r="C46" s="11"/>
      <c r="D46" s="2"/>
      <c r="E46" s="2"/>
      <c r="F46" s="19">
        <f t="shared" si="8"/>
        <v>0</v>
      </c>
      <c r="G46" s="2"/>
      <c r="H46" s="2">
        <v>335.7</v>
      </c>
      <c r="I46" s="2"/>
      <c r="J46" s="19">
        <f t="shared" si="9"/>
        <v>1.7448015879409626E-2</v>
      </c>
      <c r="K46" s="2"/>
      <c r="L46" s="2">
        <f t="shared" si="10"/>
        <v>-335.7</v>
      </c>
      <c r="M46" s="2"/>
      <c r="N46" s="19">
        <f t="shared" si="11"/>
        <v>-1</v>
      </c>
      <c r="O46" s="11"/>
      <c r="P46" s="2"/>
      <c r="Q46" s="2"/>
      <c r="R46" s="19">
        <f t="shared" si="12"/>
        <v>0</v>
      </c>
      <c r="S46" s="2"/>
      <c r="T46" s="2">
        <v>374.92</v>
      </c>
      <c r="U46" s="2"/>
      <c r="V46" s="19">
        <f t="shared" si="13"/>
        <v>1.6688302288841699E-3</v>
      </c>
      <c r="W46" s="2"/>
      <c r="X46" s="2">
        <f t="shared" si="14"/>
        <v>-374.92</v>
      </c>
      <c r="Y46" s="2"/>
      <c r="Z46" s="19">
        <f t="shared" si="15"/>
        <v>-1</v>
      </c>
    </row>
    <row r="47" spans="1:26" s="24" customFormat="1" hidden="1" outlineLevel="1" x14ac:dyDescent="0.25">
      <c r="A47" s="44"/>
      <c r="B47" s="11" t="str">
        <f>CONCATENATE("          ", "5526", " - ", "FREIGHT-IN-WRITING INSTRUMENTS")</f>
        <v xml:space="preserve">          5526 - FREIGHT-IN-WRITING INSTRUMENTS</v>
      </c>
      <c r="C47" s="11"/>
      <c r="D47" s="2"/>
      <c r="E47" s="2"/>
      <c r="F47" s="19">
        <f t="shared" si="8"/>
        <v>0</v>
      </c>
      <c r="G47" s="2"/>
      <c r="H47" s="2">
        <v>160.91999999999999</v>
      </c>
      <c r="I47" s="2"/>
      <c r="J47" s="19">
        <f t="shared" si="9"/>
        <v>8.3638210167250437E-3</v>
      </c>
      <c r="K47" s="2"/>
      <c r="L47" s="2">
        <f t="shared" si="10"/>
        <v>-160.91999999999999</v>
      </c>
      <c r="M47" s="2"/>
      <c r="N47" s="19">
        <f t="shared" si="11"/>
        <v>-1</v>
      </c>
      <c r="O47" s="11"/>
      <c r="P47" s="2"/>
      <c r="Q47" s="2"/>
      <c r="R47" s="19">
        <f t="shared" si="12"/>
        <v>0</v>
      </c>
      <c r="S47" s="2"/>
      <c r="T47" s="2">
        <v>217.49</v>
      </c>
      <c r="U47" s="2"/>
      <c r="V47" s="19">
        <f t="shared" si="13"/>
        <v>9.6808355510513732E-4</v>
      </c>
      <c r="W47" s="2"/>
      <c r="X47" s="2">
        <f t="shared" si="14"/>
        <v>-217.49</v>
      </c>
      <c r="Y47" s="2"/>
      <c r="Z47" s="19">
        <f t="shared" si="15"/>
        <v>-1</v>
      </c>
    </row>
    <row r="48" spans="1:26" s="24" customFormat="1" hidden="1" outlineLevel="1" x14ac:dyDescent="0.25">
      <c r="A48" s="44"/>
      <c r="B48" s="11" t="str">
        <f>CONCATENATE("          ", "5527", " - ", "FREIGHT-IN-SCHOOL SUPPLIES")</f>
        <v xml:space="preserve">          5527 - FREIGHT-IN-SCHOOL SUPPLIES</v>
      </c>
      <c r="C48" s="11"/>
      <c r="D48" s="2"/>
      <c r="E48" s="2"/>
      <c r="F48" s="19">
        <f t="shared" si="8"/>
        <v>0</v>
      </c>
      <c r="G48" s="2"/>
      <c r="H48" s="2">
        <v>134.09</v>
      </c>
      <c r="I48" s="2"/>
      <c r="J48" s="19">
        <f t="shared" si="9"/>
        <v>6.9693310970212604E-3</v>
      </c>
      <c r="K48" s="2"/>
      <c r="L48" s="2">
        <f t="shared" si="10"/>
        <v>-134.09</v>
      </c>
      <c r="M48" s="2"/>
      <c r="N48" s="19">
        <f t="shared" si="11"/>
        <v>-1</v>
      </c>
      <c r="O48" s="11"/>
      <c r="P48" s="2"/>
      <c r="Q48" s="2"/>
      <c r="R48" s="19">
        <f t="shared" si="12"/>
        <v>0</v>
      </c>
      <c r="S48" s="2"/>
      <c r="T48" s="2">
        <v>860.06</v>
      </c>
      <c r="U48" s="2"/>
      <c r="V48" s="19">
        <f t="shared" si="13"/>
        <v>3.8282677015206417E-3</v>
      </c>
      <c r="W48" s="2"/>
      <c r="X48" s="2">
        <f t="shared" si="14"/>
        <v>-860.06</v>
      </c>
      <c r="Y48" s="2"/>
      <c r="Z48" s="19">
        <f t="shared" si="15"/>
        <v>-1</v>
      </c>
    </row>
    <row r="49" spans="1:26" s="24" customFormat="1" hidden="1" outlineLevel="1" x14ac:dyDescent="0.25">
      <c r="A49" s="44"/>
      <c r="B49" s="11" t="str">
        <f>CONCATENATE("          ", "5528", " - ", "FREIGHT-IN-ART/TECH")</f>
        <v xml:space="preserve">          5528 - FREIGHT-IN-ART/TECH</v>
      </c>
      <c r="C49" s="11"/>
      <c r="D49" s="2"/>
      <c r="E49" s="2"/>
      <c r="F49" s="19">
        <f t="shared" si="8"/>
        <v>0</v>
      </c>
      <c r="G49" s="2"/>
      <c r="H49" s="2">
        <v>3.81</v>
      </c>
      <c r="I49" s="2"/>
      <c r="J49" s="19">
        <f t="shared" si="9"/>
        <v>1.9802484510143188E-4</v>
      </c>
      <c r="K49" s="2"/>
      <c r="L49" s="2">
        <f t="shared" si="10"/>
        <v>-3.81</v>
      </c>
      <c r="M49" s="2"/>
      <c r="N49" s="19">
        <f t="shared" si="11"/>
        <v>-1</v>
      </c>
      <c r="O49" s="11"/>
      <c r="P49" s="2"/>
      <c r="Q49" s="2"/>
      <c r="R49" s="19">
        <f t="shared" si="12"/>
        <v>0</v>
      </c>
      <c r="S49" s="2"/>
      <c r="T49" s="2">
        <v>47.81</v>
      </c>
      <c r="U49" s="2"/>
      <c r="V49" s="19">
        <f t="shared" si="13"/>
        <v>2.1281012814187603E-4</v>
      </c>
      <c r="W49" s="2"/>
      <c r="X49" s="2">
        <f t="shared" si="14"/>
        <v>-47.81</v>
      </c>
      <c r="Y49" s="2"/>
      <c r="Z49" s="19">
        <f t="shared" si="15"/>
        <v>-1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8" t="s">
        <v>6</v>
      </c>
      <c r="C51" s="28"/>
      <c r="D51" s="20">
        <f>D12-D34</f>
        <v>0</v>
      </c>
      <c r="E51" s="14"/>
      <c r="F51" s="22">
        <f>IF(D$12=0,0,D51/D$12)</f>
        <v>0</v>
      </c>
      <c r="G51" s="14"/>
      <c r="H51" s="20">
        <f>H12-H34</f>
        <v>9852.8300000000017</v>
      </c>
      <c r="I51" s="14"/>
      <c r="J51" s="22">
        <f>IF(H$12=0,0,H51/H$12)</f>
        <v>0.51210108518654629</v>
      </c>
      <c r="K51" s="15"/>
      <c r="L51" s="20">
        <f>+D51-H51</f>
        <v>-9852.8300000000017</v>
      </c>
      <c r="M51" s="15"/>
      <c r="N51" s="22">
        <f>IF(H51=0,0,L51/H51)</f>
        <v>-1</v>
      </c>
      <c r="O51" s="29"/>
      <c r="P51" s="20">
        <f>P12-P34</f>
        <v>0</v>
      </c>
      <c r="Q51" s="14"/>
      <c r="R51" s="22">
        <f>IF(P$12=0,0,P51/P$12)</f>
        <v>0</v>
      </c>
      <c r="S51" s="14"/>
      <c r="T51" s="20">
        <f>T12-T34</f>
        <v>120094.17000000001</v>
      </c>
      <c r="U51" s="14"/>
      <c r="V51" s="22">
        <f>IF(T$12=0,0,T51/T$12)</f>
        <v>0.53455878909835275</v>
      </c>
      <c r="W51" s="15"/>
      <c r="X51" s="20">
        <f>+P51-T51</f>
        <v>-120094.17000000001</v>
      </c>
      <c r="Y51" s="15"/>
      <c r="Z51" s="22">
        <f>IF(T51=0,0,X51/T51)</f>
        <v>-1</v>
      </c>
    </row>
    <row r="52" spans="1:26" x14ac:dyDescent="0.25">
      <c r="A52" s="9"/>
      <c r="B52" s="10"/>
      <c r="C52" s="9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7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x14ac:dyDescent="0.25">
      <c r="A53" s="10"/>
      <c r="B53" s="29" t="s">
        <v>9</v>
      </c>
      <c r="C53" s="10"/>
      <c r="D53" s="21">
        <f>SUM(OSRRefD22x_0)</f>
        <v>0</v>
      </c>
      <c r="E53" s="21"/>
      <c r="F53" s="35">
        <f t="shared" ref="F53:F61" si="16">IF(D$12=0,0,D53/D$12)</f>
        <v>0</v>
      </c>
      <c r="G53" s="21"/>
      <c r="H53" s="21">
        <f>SUM(OSRRefH22x_0)</f>
        <v>9864.3799999999974</v>
      </c>
      <c r="I53" s="21"/>
      <c r="J53" s="35">
        <f t="shared" ref="J53:J61" si="17">IF(H$12=0,0,H53/H$12)</f>
        <v>0.51270139672484571</v>
      </c>
      <c r="K53" s="4"/>
      <c r="L53" s="21">
        <f t="shared" ref="L53:L61" si="18">+D53-H53</f>
        <v>-9864.3799999999974</v>
      </c>
      <c r="M53" s="4"/>
      <c r="N53" s="35">
        <f t="shared" ref="N53:N61" si="19">IF(H53=0,0,L53/H53)</f>
        <v>-1</v>
      </c>
      <c r="O53" s="10"/>
      <c r="P53" s="21">
        <f>SUM(OSRRefP22x_0)</f>
        <v>0</v>
      </c>
      <c r="Q53" s="21"/>
      <c r="R53" s="35">
        <f t="shared" ref="R53:R61" si="20">IF(P$12=0,0,P53/P$12)</f>
        <v>0</v>
      </c>
      <c r="S53" s="21"/>
      <c r="T53" s="21">
        <f>SUM(OSRRefT22x_0)</f>
        <v>50835.499999999993</v>
      </c>
      <c r="U53" s="21"/>
      <c r="V53" s="35">
        <f t="shared" ref="V53:V61" si="21">IF(T$12=0,0,T53/T$12)</f>
        <v>0.2262771233874992</v>
      </c>
      <c r="W53" s="4"/>
      <c r="X53" s="21">
        <f t="shared" ref="X53:X61" si="22">+P53-T53</f>
        <v>-50835.499999999993</v>
      </c>
      <c r="Y53" s="4"/>
      <c r="Z53" s="35">
        <f t="shared" ref="Z53:Z61" si="23">IF(T53=0,0,X53/T53)</f>
        <v>-1</v>
      </c>
    </row>
    <row r="54" spans="1:26" s="26" customFormat="1" outlineLevel="1" collapsed="1" x14ac:dyDescent="0.25">
      <c r="A54" s="27"/>
      <c r="B54" s="13" t="str">
        <f>CONCATENATE("     ","*Benefits                                         ")</f>
        <v xml:space="preserve">     *Benefits                                         </v>
      </c>
      <c r="C54" s="13"/>
      <c r="D54" s="1">
        <f>SUM(OSRRefD22_0x_0)</f>
        <v>0</v>
      </c>
      <c r="E54" s="1"/>
      <c r="F54" s="5">
        <f t="shared" si="16"/>
        <v>0</v>
      </c>
      <c r="G54" s="1"/>
      <c r="H54" s="1">
        <f>SUM(OSRRefH22_0x_0)</f>
        <v>1800.21</v>
      </c>
      <c r="I54" s="1"/>
      <c r="J54" s="5">
        <f t="shared" si="17"/>
        <v>9.3565959685052144E-2</v>
      </c>
      <c r="K54" s="1"/>
      <c r="L54" s="1">
        <f t="shared" si="18"/>
        <v>-1800.21</v>
      </c>
      <c r="M54" s="1"/>
      <c r="N54" s="5">
        <f t="shared" si="19"/>
        <v>-1</v>
      </c>
      <c r="O54" s="13"/>
      <c r="P54" s="1">
        <f>SUM(OSRRefP22_0x_0)</f>
        <v>0</v>
      </c>
      <c r="Q54" s="1"/>
      <c r="R54" s="5">
        <f t="shared" si="20"/>
        <v>0</v>
      </c>
      <c r="S54" s="1"/>
      <c r="T54" s="1">
        <f>SUM(OSRRefT22_0x_0)</f>
        <v>8596.77</v>
      </c>
      <c r="U54" s="1"/>
      <c r="V54" s="5">
        <f t="shared" si="21"/>
        <v>3.8265629058904738E-2</v>
      </c>
      <c r="W54" s="1"/>
      <c r="X54" s="1">
        <f t="shared" si="22"/>
        <v>-8596.77</v>
      </c>
      <c r="Y54" s="1"/>
      <c r="Z54" s="5">
        <f t="shared" si="23"/>
        <v>-1</v>
      </c>
    </row>
    <row r="55" spans="1:26" s="24" customFormat="1" hidden="1" outlineLevel="2" x14ac:dyDescent="0.25">
      <c r="A55" s="25"/>
      <c r="B55" s="11" t="str">
        <f>CONCATENATE("          ", "6111", " - ", "F.I.C.A.")</f>
        <v xml:space="preserve">          6111 - F.I.C.A.</v>
      </c>
      <c r="C55" s="11"/>
      <c r="D55" s="6"/>
      <c r="E55" s="2"/>
      <c r="F55" s="7">
        <f t="shared" si="16"/>
        <v>0</v>
      </c>
      <c r="G55" s="2"/>
      <c r="H55" s="6">
        <v>180.9</v>
      </c>
      <c r="I55" s="2"/>
      <c r="J55" s="7">
        <f t="shared" si="17"/>
        <v>9.4022820154459393E-3</v>
      </c>
      <c r="K55" s="2"/>
      <c r="L55" s="6">
        <f t="shared" si="18"/>
        <v>-180.9</v>
      </c>
      <c r="M55" s="2"/>
      <c r="N55" s="7">
        <f t="shared" si="19"/>
        <v>-1</v>
      </c>
      <c r="O55" s="11"/>
      <c r="P55" s="6"/>
      <c r="Q55" s="2"/>
      <c r="R55" s="7">
        <f t="shared" si="20"/>
        <v>0</v>
      </c>
      <c r="S55" s="2"/>
      <c r="T55" s="6">
        <v>1415.17</v>
      </c>
      <c r="U55" s="2"/>
      <c r="V55" s="7">
        <f t="shared" si="21"/>
        <v>6.2991530860183791E-3</v>
      </c>
      <c r="W55" s="2"/>
      <c r="X55" s="6">
        <f t="shared" si="22"/>
        <v>-1415.17</v>
      </c>
      <c r="Y55" s="2"/>
      <c r="Z55" s="7">
        <f t="shared" si="23"/>
        <v>-1</v>
      </c>
    </row>
    <row r="56" spans="1:26" s="24" customFormat="1" hidden="1" outlineLevel="2" x14ac:dyDescent="0.25">
      <c r="A56" s="25"/>
      <c r="B56" s="11" t="str">
        <f>CONCATENATE("          ", "6112", " - ", "COMPENSATION INSURANCE")</f>
        <v xml:space="preserve">          6112 - COMPENSATION INSURANCE</v>
      </c>
      <c r="C56" s="11"/>
      <c r="D56" s="6"/>
      <c r="E56" s="2"/>
      <c r="F56" s="7">
        <f t="shared" si="16"/>
        <v>0</v>
      </c>
      <c r="G56" s="2"/>
      <c r="H56" s="6">
        <v>118</v>
      </c>
      <c r="I56" s="2"/>
      <c r="J56" s="7">
        <f t="shared" si="17"/>
        <v>6.1330529453986777E-3</v>
      </c>
      <c r="K56" s="2"/>
      <c r="L56" s="6">
        <f t="shared" si="18"/>
        <v>-118</v>
      </c>
      <c r="M56" s="2"/>
      <c r="N56" s="7">
        <f t="shared" si="19"/>
        <v>-1</v>
      </c>
      <c r="O56" s="11"/>
      <c r="P56" s="6"/>
      <c r="Q56" s="2"/>
      <c r="R56" s="7">
        <f t="shared" si="20"/>
        <v>0</v>
      </c>
      <c r="S56" s="2"/>
      <c r="T56" s="6">
        <v>527.05999999999995</v>
      </c>
      <c r="U56" s="2"/>
      <c r="V56" s="7">
        <f t="shared" si="21"/>
        <v>2.3460302476146656E-3</v>
      </c>
      <c r="W56" s="2"/>
      <c r="X56" s="6">
        <f t="shared" si="22"/>
        <v>-527.05999999999995</v>
      </c>
      <c r="Y56" s="2"/>
      <c r="Z56" s="7">
        <f t="shared" si="23"/>
        <v>-1</v>
      </c>
    </row>
    <row r="57" spans="1:26" s="24" customFormat="1" hidden="1" outlineLevel="2" x14ac:dyDescent="0.25">
      <c r="A57" s="25"/>
      <c r="B57" s="11" t="str">
        <f>CONCATENATE("          ", "6113", " - ", "GROUP INSURANCE")</f>
        <v xml:space="preserve">          6113 - GROUP INSURANCE</v>
      </c>
      <c r="C57" s="11"/>
      <c r="D57" s="6"/>
      <c r="E57" s="2"/>
      <c r="F57" s="7">
        <f t="shared" si="16"/>
        <v>0</v>
      </c>
      <c r="G57" s="2"/>
      <c r="H57" s="6">
        <v>1107.68</v>
      </c>
      <c r="I57" s="2"/>
      <c r="J57" s="7">
        <f t="shared" si="17"/>
        <v>5.7571695648806841E-2</v>
      </c>
      <c r="K57" s="2"/>
      <c r="L57" s="6">
        <f t="shared" si="18"/>
        <v>-1107.68</v>
      </c>
      <c r="M57" s="2"/>
      <c r="N57" s="7">
        <f t="shared" si="19"/>
        <v>-1</v>
      </c>
      <c r="O57" s="11"/>
      <c r="P57" s="6"/>
      <c r="Q57" s="2"/>
      <c r="R57" s="7">
        <f t="shared" si="20"/>
        <v>0</v>
      </c>
      <c r="S57" s="2"/>
      <c r="T57" s="6">
        <v>3880.44</v>
      </c>
      <c r="U57" s="2"/>
      <c r="V57" s="7">
        <f t="shared" si="21"/>
        <v>1.7272472989894611E-2</v>
      </c>
      <c r="W57" s="2"/>
      <c r="X57" s="6">
        <f t="shared" si="22"/>
        <v>-3880.44</v>
      </c>
      <c r="Y57" s="2"/>
      <c r="Z57" s="7">
        <f t="shared" si="23"/>
        <v>-1</v>
      </c>
    </row>
    <row r="58" spans="1:26" s="24" customFormat="1" hidden="1" outlineLevel="2" x14ac:dyDescent="0.25">
      <c r="A58" s="25"/>
      <c r="B58" s="11" t="str">
        <f>CONCATENATE("          ", "6114", " - ", "STATE UNEMPLOYMENT INSURANCE")</f>
        <v xml:space="preserve">          6114 - STATE UNEMPLOYMENT INSURANCE</v>
      </c>
      <c r="C58" s="11"/>
      <c r="D58" s="6"/>
      <c r="E58" s="2"/>
      <c r="F58" s="7">
        <f t="shared" si="16"/>
        <v>0</v>
      </c>
      <c r="G58" s="2"/>
      <c r="H58" s="6">
        <v>17.170000000000002</v>
      </c>
      <c r="I58" s="2"/>
      <c r="J58" s="7">
        <f t="shared" si="17"/>
        <v>8.9241117858046863E-4</v>
      </c>
      <c r="K58" s="2"/>
      <c r="L58" s="6">
        <f t="shared" si="18"/>
        <v>-17.170000000000002</v>
      </c>
      <c r="M58" s="2"/>
      <c r="N58" s="7">
        <f t="shared" si="19"/>
        <v>-1</v>
      </c>
      <c r="O58" s="11"/>
      <c r="P58" s="6"/>
      <c r="Q58" s="2"/>
      <c r="R58" s="7">
        <f t="shared" si="20"/>
        <v>0</v>
      </c>
      <c r="S58" s="2"/>
      <c r="T58" s="6">
        <v>91.7</v>
      </c>
      <c r="U58" s="2"/>
      <c r="V58" s="7">
        <f t="shared" si="21"/>
        <v>4.0817169526479884E-4</v>
      </c>
      <c r="W58" s="2"/>
      <c r="X58" s="6">
        <f t="shared" si="22"/>
        <v>-91.7</v>
      </c>
      <c r="Y58" s="2"/>
      <c r="Z58" s="7">
        <f t="shared" si="23"/>
        <v>-1</v>
      </c>
    </row>
    <row r="59" spans="1:26" s="24" customFormat="1" hidden="1" outlineLevel="2" x14ac:dyDescent="0.25">
      <c r="A59" s="25"/>
      <c r="B59" s="11" t="str">
        <f>CONCATENATE("          ", "6115", " - ", "P.E.R.S.")</f>
        <v xml:space="preserve">          6115 - P.E.R.S.</v>
      </c>
      <c r="C59" s="11"/>
      <c r="D59" s="6"/>
      <c r="E59" s="2"/>
      <c r="F59" s="7">
        <f t="shared" si="16"/>
        <v>0</v>
      </c>
      <c r="G59" s="2"/>
      <c r="H59" s="6">
        <v>232.24</v>
      </c>
      <c r="I59" s="2"/>
      <c r="J59" s="7">
        <f t="shared" si="17"/>
        <v>1.2070679796943973E-2</v>
      </c>
      <c r="K59" s="2"/>
      <c r="L59" s="6">
        <f t="shared" si="18"/>
        <v>-232.24</v>
      </c>
      <c r="M59" s="2"/>
      <c r="N59" s="7">
        <f t="shared" si="19"/>
        <v>-1</v>
      </c>
      <c r="O59" s="11"/>
      <c r="P59" s="6"/>
      <c r="Q59" s="2"/>
      <c r="R59" s="7">
        <f t="shared" si="20"/>
        <v>0</v>
      </c>
      <c r="S59" s="2"/>
      <c r="T59" s="6">
        <v>795.28</v>
      </c>
      <c r="U59" s="2"/>
      <c r="V59" s="7">
        <f t="shared" si="21"/>
        <v>3.539921328355389E-3</v>
      </c>
      <c r="W59" s="2"/>
      <c r="X59" s="6">
        <f t="shared" si="22"/>
        <v>-795.28</v>
      </c>
      <c r="Y59" s="2"/>
      <c r="Z59" s="7">
        <f t="shared" si="23"/>
        <v>-1</v>
      </c>
    </row>
    <row r="60" spans="1:26" s="24" customFormat="1" hidden="1" outlineLevel="2" x14ac:dyDescent="0.25">
      <c r="A60" s="25"/>
      <c r="B60" s="11" t="str">
        <f>CONCATENATE("          ", "6118", " - ", "VACATION")</f>
        <v xml:space="preserve">          6118 - VACATION</v>
      </c>
      <c r="C60" s="11"/>
      <c r="D60" s="6"/>
      <c r="E60" s="2"/>
      <c r="F60" s="7">
        <f t="shared" si="16"/>
        <v>0</v>
      </c>
      <c r="G60" s="2"/>
      <c r="H60" s="6">
        <v>57.28</v>
      </c>
      <c r="I60" s="2"/>
      <c r="J60" s="7">
        <f t="shared" si="17"/>
        <v>2.9771294297664089E-3</v>
      </c>
      <c r="K60" s="2"/>
      <c r="L60" s="6">
        <f t="shared" si="18"/>
        <v>-57.28</v>
      </c>
      <c r="M60" s="2"/>
      <c r="N60" s="7">
        <f t="shared" si="19"/>
        <v>-1</v>
      </c>
      <c r="O60" s="11"/>
      <c r="P60" s="6"/>
      <c r="Q60" s="2"/>
      <c r="R60" s="7">
        <f t="shared" si="20"/>
        <v>0</v>
      </c>
      <c r="S60" s="2"/>
      <c r="T60" s="6">
        <v>935.1</v>
      </c>
      <c r="U60" s="2"/>
      <c r="V60" s="7">
        <f t="shared" si="21"/>
        <v>4.1622830124548897E-3</v>
      </c>
      <c r="W60" s="2"/>
      <c r="X60" s="6">
        <f t="shared" si="22"/>
        <v>-935.1</v>
      </c>
      <c r="Y60" s="2"/>
      <c r="Z60" s="7">
        <f t="shared" si="23"/>
        <v>-1</v>
      </c>
    </row>
    <row r="61" spans="1:26" s="24" customFormat="1" hidden="1" outlineLevel="2" x14ac:dyDescent="0.25">
      <c r="A61" s="25"/>
      <c r="B61" s="11" t="str">
        <f>CONCATENATE("          ", "6119", " - ", "SICK LEAVE")</f>
        <v xml:space="preserve">          6119 - SICK LEAVE</v>
      </c>
      <c r="C61" s="11"/>
      <c r="D61" s="6"/>
      <c r="E61" s="2"/>
      <c r="F61" s="7">
        <f t="shared" si="16"/>
        <v>0</v>
      </c>
      <c r="G61" s="2"/>
      <c r="H61" s="6">
        <v>86.94</v>
      </c>
      <c r="I61" s="2"/>
      <c r="J61" s="7">
        <f t="shared" si="17"/>
        <v>4.5187086701098389E-3</v>
      </c>
      <c r="K61" s="2"/>
      <c r="L61" s="6">
        <f t="shared" si="18"/>
        <v>-86.94</v>
      </c>
      <c r="M61" s="2"/>
      <c r="N61" s="7">
        <f t="shared" si="19"/>
        <v>-1</v>
      </c>
      <c r="O61" s="11"/>
      <c r="P61" s="6"/>
      <c r="Q61" s="2"/>
      <c r="R61" s="7">
        <f t="shared" si="20"/>
        <v>0</v>
      </c>
      <c r="S61" s="2"/>
      <c r="T61" s="6">
        <v>952.02</v>
      </c>
      <c r="U61" s="2"/>
      <c r="V61" s="7">
        <f t="shared" si="21"/>
        <v>4.237596699302004E-3</v>
      </c>
      <c r="W61" s="2"/>
      <c r="X61" s="6">
        <f t="shared" si="22"/>
        <v>-952.02</v>
      </c>
      <c r="Y61" s="2"/>
      <c r="Z61" s="7">
        <f t="shared" si="23"/>
        <v>-1</v>
      </c>
    </row>
    <row r="62" spans="1:26" s="26" customFormat="1" outlineLevel="1" collapsed="1" x14ac:dyDescent="0.25">
      <c r="A62" s="27"/>
      <c r="B62" s="13" t="str">
        <f>CONCATENATE("     ","*Payroll                                          ")</f>
        <v xml:space="preserve">     *Payroll                                          </v>
      </c>
      <c r="C62" s="13"/>
      <c r="D62" s="1">
        <f>SUM(OSRRefD22_1x_0)</f>
        <v>0</v>
      </c>
      <c r="E62" s="1"/>
      <c r="F62" s="5">
        <f t="shared" ref="F62:F65" si="24">IF(D$12=0,0,D62/D$12)</f>
        <v>0</v>
      </c>
      <c r="G62" s="1"/>
      <c r="H62" s="1">
        <f>SUM(OSRRefH22_1x_0)</f>
        <v>6249.68</v>
      </c>
      <c r="I62" s="1"/>
      <c r="J62" s="5">
        <f t="shared" ref="J62:J65" si="25">IF(H$12=0,0,H62/H$12)</f>
        <v>0.32482727399829836</v>
      </c>
      <c r="K62" s="1"/>
      <c r="L62" s="1">
        <f t="shared" ref="L62:L65" si="26">+D62-H62</f>
        <v>-6249.68</v>
      </c>
      <c r="M62" s="1"/>
      <c r="N62" s="5">
        <f t="shared" ref="N62:N65" si="27">IF(H62=0,0,L62/H62)</f>
        <v>-1</v>
      </c>
      <c r="O62" s="13"/>
      <c r="P62" s="1">
        <f>SUM(OSRRefP22_1x_0)</f>
        <v>0</v>
      </c>
      <c r="Q62" s="1"/>
      <c r="R62" s="5">
        <f t="shared" ref="R62:R65" si="28">IF(P$12=0,0,P62/P$12)</f>
        <v>0</v>
      </c>
      <c r="S62" s="1"/>
      <c r="T62" s="1">
        <f>SUM(OSRRefT22_1x_0)</f>
        <v>36029.65</v>
      </c>
      <c r="U62" s="1"/>
      <c r="V62" s="5">
        <f t="shared" ref="V62:V65" si="29">IF(T$12=0,0,T62/T$12)</f>
        <v>0.16037386390727762</v>
      </c>
      <c r="W62" s="1"/>
      <c r="X62" s="1">
        <f t="shared" ref="X62:X65" si="30">+P62-T62</f>
        <v>-36029.65</v>
      </c>
      <c r="Y62" s="1"/>
      <c r="Z62" s="5">
        <f t="shared" ref="Z62:Z65" si="31">IF(T62=0,0,X62/T62)</f>
        <v>-1</v>
      </c>
    </row>
    <row r="63" spans="1:26" s="24" customFormat="1" hidden="1" outlineLevel="2" x14ac:dyDescent="0.25">
      <c r="A63" s="25"/>
      <c r="B63" s="11" t="str">
        <f>CONCATENATE("          ", "6002", " - ", "STAFF SALARIES")</f>
        <v xml:space="preserve">          6002 - STAFF SALARIES</v>
      </c>
      <c r="C63" s="11"/>
      <c r="D63" s="6"/>
      <c r="E63" s="2"/>
      <c r="F63" s="7">
        <f t="shared" si="24"/>
        <v>0</v>
      </c>
      <c r="G63" s="2"/>
      <c r="H63" s="6">
        <v>2364.8000000000002</v>
      </c>
      <c r="I63" s="2"/>
      <c r="J63" s="7">
        <f t="shared" si="25"/>
        <v>0.12291053902778638</v>
      </c>
      <c r="K63" s="2"/>
      <c r="L63" s="6">
        <f t="shared" si="26"/>
        <v>-2364.8000000000002</v>
      </c>
      <c r="M63" s="2"/>
      <c r="N63" s="7">
        <f t="shared" si="27"/>
        <v>-1</v>
      </c>
      <c r="O63" s="11"/>
      <c r="P63" s="6"/>
      <c r="Q63" s="2"/>
      <c r="R63" s="7">
        <f t="shared" si="28"/>
        <v>0</v>
      </c>
      <c r="S63" s="2"/>
      <c r="T63" s="6">
        <v>10996.91</v>
      </c>
      <c r="U63" s="2"/>
      <c r="V63" s="7">
        <f t="shared" si="29"/>
        <v>4.8949044682381884E-2</v>
      </c>
      <c r="W63" s="2"/>
      <c r="X63" s="6">
        <f t="shared" si="30"/>
        <v>-10996.91</v>
      </c>
      <c r="Y63" s="2"/>
      <c r="Z63" s="7">
        <f t="shared" si="31"/>
        <v>-1</v>
      </c>
    </row>
    <row r="64" spans="1:26" s="24" customFormat="1" hidden="1" outlineLevel="2" x14ac:dyDescent="0.25">
      <c r="A64" s="25"/>
      <c r="B64" s="11" t="str">
        <f>CONCATENATE("          ", "6004", " - ", "STAFF HOURLY")</f>
        <v xml:space="preserve">          6004 - STAFF HOURLY</v>
      </c>
      <c r="C64" s="11"/>
      <c r="D64" s="6"/>
      <c r="E64" s="2"/>
      <c r="F64" s="7">
        <f t="shared" si="24"/>
        <v>0</v>
      </c>
      <c r="G64" s="2"/>
      <c r="H64" s="6">
        <v>-48</v>
      </c>
      <c r="I64" s="2"/>
      <c r="J64" s="7">
        <f t="shared" si="25"/>
        <v>-2.4948011981282756E-3</v>
      </c>
      <c r="K64" s="2"/>
      <c r="L64" s="6">
        <f t="shared" si="26"/>
        <v>48</v>
      </c>
      <c r="M64" s="2"/>
      <c r="N64" s="7">
        <f t="shared" si="27"/>
        <v>-1</v>
      </c>
      <c r="O64" s="11"/>
      <c r="P64" s="6"/>
      <c r="Q64" s="2"/>
      <c r="R64" s="7">
        <f t="shared" si="28"/>
        <v>0</v>
      </c>
      <c r="S64" s="2"/>
      <c r="T64" s="6">
        <v>-48</v>
      </c>
      <c r="U64" s="2"/>
      <c r="V64" s="7">
        <f t="shared" si="29"/>
        <v>-2.1365584921167221E-4</v>
      </c>
      <c r="W64" s="2"/>
      <c r="X64" s="6">
        <f t="shared" si="30"/>
        <v>48</v>
      </c>
      <c r="Y64" s="2"/>
      <c r="Z64" s="7">
        <f t="shared" si="31"/>
        <v>-1</v>
      </c>
    </row>
    <row r="65" spans="1:26" s="24" customFormat="1" hidden="1" outlineLevel="2" x14ac:dyDescent="0.25">
      <c r="A65" s="25"/>
      <c r="B65" s="11" t="str">
        <f>CONCATENATE("          ", "6007", " - ", "STUDENT HOURLY")</f>
        <v xml:space="preserve">          6007 - STUDENT HOURLY</v>
      </c>
      <c r="C65" s="11"/>
      <c r="D65" s="6"/>
      <c r="E65" s="2"/>
      <c r="F65" s="7">
        <f t="shared" si="24"/>
        <v>0</v>
      </c>
      <c r="G65" s="2"/>
      <c r="H65" s="6">
        <v>3932.88</v>
      </c>
      <c r="I65" s="2"/>
      <c r="J65" s="7">
        <f t="shared" si="25"/>
        <v>0.20441153616864027</v>
      </c>
      <c r="K65" s="2"/>
      <c r="L65" s="6">
        <f t="shared" si="26"/>
        <v>-3932.88</v>
      </c>
      <c r="M65" s="2"/>
      <c r="N65" s="7">
        <f t="shared" si="27"/>
        <v>-1</v>
      </c>
      <c r="O65" s="11"/>
      <c r="P65" s="6"/>
      <c r="Q65" s="2"/>
      <c r="R65" s="7">
        <f t="shared" si="28"/>
        <v>0</v>
      </c>
      <c r="S65" s="2"/>
      <c r="T65" s="6">
        <v>25080.74</v>
      </c>
      <c r="U65" s="2"/>
      <c r="V65" s="7">
        <f t="shared" si="29"/>
        <v>0.11163847507410742</v>
      </c>
      <c r="W65" s="2"/>
      <c r="X65" s="6">
        <f t="shared" si="30"/>
        <v>-25080.74</v>
      </c>
      <c r="Y65" s="2"/>
      <c r="Z65" s="7">
        <f t="shared" si="31"/>
        <v>-1</v>
      </c>
    </row>
    <row r="66" spans="1:26" s="26" customFormat="1" outlineLevel="1" collapsed="1" x14ac:dyDescent="0.25">
      <c r="A66" s="27"/>
      <c r="B66" s="13" t="str">
        <f>CONCATENATE("     ","Advertising/Promo                                 ")</f>
        <v xml:space="preserve">     Advertising/Promo                                 </v>
      </c>
      <c r="C66" s="13"/>
      <c r="D66" s="1">
        <f>SUM(OSRRefD22_2x_0)</f>
        <v>0</v>
      </c>
      <c r="E66" s="1"/>
      <c r="F66" s="5">
        <f t="shared" ref="F66:F70" si="32">IF(D$12=0,0,D66/D$12)</f>
        <v>0</v>
      </c>
      <c r="G66" s="1"/>
      <c r="H66" s="1">
        <f>SUM(OSRRefH22_2x_0)</f>
        <v>545</v>
      </c>
      <c r="I66" s="1"/>
      <c r="J66" s="5">
        <f t="shared" ref="J66:J70" si="33">IF(H$12=0,0,H66/H$12)</f>
        <v>2.8326388603748129E-2</v>
      </c>
      <c r="K66" s="1"/>
      <c r="L66" s="1">
        <f t="shared" ref="L66:L70" si="34">+D66-H66</f>
        <v>-545</v>
      </c>
      <c r="M66" s="1"/>
      <c r="N66" s="5">
        <f t="shared" ref="N66:N70" si="35">IF(H66=0,0,L66/H66)</f>
        <v>-1</v>
      </c>
      <c r="O66" s="13"/>
      <c r="P66" s="1">
        <f>SUM(OSRRefP22_2x_0)</f>
        <v>0</v>
      </c>
      <c r="Q66" s="1"/>
      <c r="R66" s="5">
        <f t="shared" ref="R66:R70" si="36">IF(P$12=0,0,P66/P$12)</f>
        <v>0</v>
      </c>
      <c r="S66" s="1"/>
      <c r="T66" s="1">
        <f>SUM(OSRRefT22_2x_0)</f>
        <v>881.86</v>
      </c>
      <c r="U66" s="1"/>
      <c r="V66" s="5">
        <f t="shared" ref="V66:V70" si="37">IF(T$12=0,0,T66/T$12)</f>
        <v>3.9253030663709432E-3</v>
      </c>
      <c r="W66" s="1"/>
      <c r="X66" s="1">
        <f t="shared" ref="X66:X70" si="38">+P66-T66</f>
        <v>-881.86</v>
      </c>
      <c r="Y66" s="1"/>
      <c r="Z66" s="5">
        <f t="shared" ref="Z66:Z70" si="39">IF(T66=0,0,X66/T66)</f>
        <v>-1</v>
      </c>
    </row>
    <row r="67" spans="1:26" s="24" customFormat="1" hidden="1" outlineLevel="2" x14ac:dyDescent="0.25">
      <c r="A67" s="25"/>
      <c r="B67" s="11" t="str">
        <f>CONCATENATE("          ", "6362", " - ", "ADVERTISING EXPENSE")</f>
        <v xml:space="preserve">          6362 - ADVERTISING EXPENSE</v>
      </c>
      <c r="C67" s="11"/>
      <c r="D67" s="6"/>
      <c r="E67" s="2"/>
      <c r="F67" s="7">
        <f t="shared" si="32"/>
        <v>0</v>
      </c>
      <c r="G67" s="2"/>
      <c r="H67" s="6">
        <v>545</v>
      </c>
      <c r="I67" s="2"/>
      <c r="J67" s="7">
        <f t="shared" si="33"/>
        <v>2.8326388603748129E-2</v>
      </c>
      <c r="K67" s="2"/>
      <c r="L67" s="6">
        <f t="shared" si="34"/>
        <v>-545</v>
      </c>
      <c r="M67" s="2"/>
      <c r="N67" s="7">
        <f t="shared" si="35"/>
        <v>-1</v>
      </c>
      <c r="O67" s="11"/>
      <c r="P67" s="6"/>
      <c r="Q67" s="2"/>
      <c r="R67" s="7">
        <f t="shared" si="36"/>
        <v>0</v>
      </c>
      <c r="S67" s="2"/>
      <c r="T67" s="6">
        <v>881.86</v>
      </c>
      <c r="U67" s="2"/>
      <c r="V67" s="7">
        <f t="shared" si="37"/>
        <v>3.9253030663709432E-3</v>
      </c>
      <c r="W67" s="2"/>
      <c r="X67" s="6">
        <f t="shared" si="38"/>
        <v>-881.86</v>
      </c>
      <c r="Y67" s="2"/>
      <c r="Z67" s="7">
        <f t="shared" si="39"/>
        <v>-1</v>
      </c>
    </row>
    <row r="68" spans="1:26" s="26" customFormat="1" outlineLevel="1" collapsed="1" x14ac:dyDescent="0.25">
      <c r="A68" s="27"/>
      <c r="B68" s="13" t="str">
        <f>CONCATENATE("     ","Discounts and Markdowns                           ")</f>
        <v xml:space="preserve">     Discounts and Markdowns                           </v>
      </c>
      <c r="C68" s="13"/>
      <c r="D68" s="1">
        <f>SUM(OSRRefD22_3x_0)</f>
        <v>0</v>
      </c>
      <c r="E68" s="1"/>
      <c r="F68" s="5">
        <f t="shared" si="32"/>
        <v>0</v>
      </c>
      <c r="G68" s="1"/>
      <c r="H68" s="1">
        <f>SUM(OSRRefH22_3x_0)</f>
        <v>1229.05</v>
      </c>
      <c r="I68" s="1"/>
      <c r="J68" s="5">
        <f t="shared" si="33"/>
        <v>6.38799044283241E-2</v>
      </c>
      <c r="K68" s="1"/>
      <c r="L68" s="1">
        <f t="shared" si="34"/>
        <v>-1229.05</v>
      </c>
      <c r="M68" s="1"/>
      <c r="N68" s="5">
        <f t="shared" si="35"/>
        <v>-1</v>
      </c>
      <c r="O68" s="13"/>
      <c r="P68" s="1">
        <f>SUM(OSRRefP22_3x_0)</f>
        <v>0</v>
      </c>
      <c r="Q68" s="1"/>
      <c r="R68" s="5">
        <f t="shared" si="36"/>
        <v>0</v>
      </c>
      <c r="S68" s="1"/>
      <c r="T68" s="1">
        <f>SUM(OSRRefT22_3x_0)</f>
        <v>4949.57</v>
      </c>
      <c r="U68" s="1"/>
      <c r="V68" s="5">
        <f t="shared" si="37"/>
        <v>2.2031345449637842E-2</v>
      </c>
      <c r="W68" s="1"/>
      <c r="X68" s="1">
        <f t="shared" si="38"/>
        <v>-4949.57</v>
      </c>
      <c r="Y68" s="1"/>
      <c r="Z68" s="5">
        <f t="shared" si="39"/>
        <v>-1</v>
      </c>
    </row>
    <row r="69" spans="1:26" s="24" customFormat="1" hidden="1" outlineLevel="2" x14ac:dyDescent="0.25">
      <c r="A69" s="25"/>
      <c r="B69" s="11" t="str">
        <f>CONCATENATE("          ", "6382", " - ", "DISCOUNTS/MARK DOWNS")</f>
        <v xml:space="preserve">          6382 - DISCOUNTS/MARK DOWNS</v>
      </c>
      <c r="C69" s="11"/>
      <c r="D69" s="6"/>
      <c r="E69" s="2"/>
      <c r="F69" s="7">
        <f t="shared" si="32"/>
        <v>0</v>
      </c>
      <c r="G69" s="2"/>
      <c r="H69" s="6">
        <v>1040.48</v>
      </c>
      <c r="I69" s="2"/>
      <c r="J69" s="7">
        <f t="shared" si="33"/>
        <v>5.4078973971427254E-2</v>
      </c>
      <c r="K69" s="2"/>
      <c r="L69" s="6">
        <f t="shared" si="34"/>
        <v>-1040.48</v>
      </c>
      <c r="M69" s="2"/>
      <c r="N69" s="7">
        <f t="shared" si="35"/>
        <v>-1</v>
      </c>
      <c r="O69" s="11"/>
      <c r="P69" s="6"/>
      <c r="Q69" s="2"/>
      <c r="R69" s="7">
        <f t="shared" si="36"/>
        <v>0</v>
      </c>
      <c r="S69" s="2"/>
      <c r="T69" s="6">
        <v>4949.57</v>
      </c>
      <c r="U69" s="2"/>
      <c r="V69" s="7">
        <f t="shared" si="37"/>
        <v>2.2031345449637842E-2</v>
      </c>
      <c r="W69" s="2"/>
      <c r="X69" s="6">
        <f t="shared" si="38"/>
        <v>-4949.57</v>
      </c>
      <c r="Y69" s="2"/>
      <c r="Z69" s="7">
        <f t="shared" si="39"/>
        <v>-1</v>
      </c>
    </row>
    <row r="70" spans="1:26" s="24" customFormat="1" hidden="1" outlineLevel="2" x14ac:dyDescent="0.25">
      <c r="A70" s="25"/>
      <c r="B70" s="11" t="str">
        <f>CONCATENATE("          ", "9175", " - ", "EARNED DISCOUNTS")</f>
        <v xml:space="preserve">          9175 - EARNED DISCOUNTS</v>
      </c>
      <c r="C70" s="11"/>
      <c r="D70" s="6"/>
      <c r="E70" s="2"/>
      <c r="F70" s="7">
        <f t="shared" si="32"/>
        <v>0</v>
      </c>
      <c r="G70" s="2"/>
      <c r="H70" s="6">
        <v>188.57</v>
      </c>
      <c r="I70" s="2"/>
      <c r="J70" s="7">
        <f t="shared" si="33"/>
        <v>9.800930456896853E-3</v>
      </c>
      <c r="K70" s="2"/>
      <c r="L70" s="6">
        <f t="shared" si="34"/>
        <v>-188.57</v>
      </c>
      <c r="M70" s="2"/>
      <c r="N70" s="7">
        <f t="shared" si="35"/>
        <v>-1</v>
      </c>
      <c r="O70" s="11"/>
      <c r="P70" s="6"/>
      <c r="Q70" s="2"/>
      <c r="R70" s="7">
        <f t="shared" si="36"/>
        <v>0</v>
      </c>
      <c r="S70" s="2"/>
      <c r="T70" s="6">
        <v>0</v>
      </c>
      <c r="U70" s="2"/>
      <c r="V70" s="7">
        <f t="shared" si="37"/>
        <v>0</v>
      </c>
      <c r="W70" s="2"/>
      <c r="X70" s="6">
        <f t="shared" si="38"/>
        <v>0</v>
      </c>
      <c r="Y70" s="2"/>
      <c r="Z70" s="7">
        <f t="shared" si="39"/>
        <v>0</v>
      </c>
    </row>
    <row r="71" spans="1:26" s="26" customFormat="1" outlineLevel="1" collapsed="1" x14ac:dyDescent="0.25">
      <c r="A71" s="27"/>
      <c r="B71" s="13" t="str">
        <f>CONCATENATE("     ","Freight out/Postage                               ")</f>
        <v xml:space="preserve">     Freight out/Postage                               </v>
      </c>
      <c r="C71" s="13"/>
      <c r="D71" s="1">
        <f>SUM(OSRRefD22_4x_0)</f>
        <v>0</v>
      </c>
      <c r="E71" s="1"/>
      <c r="F71" s="5">
        <f t="shared" ref="F71:F76" si="40">IF(D$12=0,0,D71/D$12)</f>
        <v>0</v>
      </c>
      <c r="G71" s="1"/>
      <c r="H71" s="1">
        <f>SUM(OSRRefH22_4x_0)</f>
        <v>15.81</v>
      </c>
      <c r="I71" s="1"/>
      <c r="J71" s="5">
        <f t="shared" ref="J71:J76" si="41">IF(H$12=0,0,H71/H$12)</f>
        <v>8.2172514463350085E-4</v>
      </c>
      <c r="K71" s="1"/>
      <c r="L71" s="1">
        <f t="shared" ref="L71:L76" si="42">+D71-H71</f>
        <v>-15.81</v>
      </c>
      <c r="M71" s="1"/>
      <c r="N71" s="5">
        <f t="shared" ref="N71:N76" si="43">IF(H71=0,0,L71/H71)</f>
        <v>-1</v>
      </c>
      <c r="O71" s="13"/>
      <c r="P71" s="1">
        <f>SUM(OSRRefP22_4x_0)</f>
        <v>0</v>
      </c>
      <c r="Q71" s="1"/>
      <c r="R71" s="5">
        <f t="shared" ref="R71:R76" si="44">IF(P$12=0,0,P71/P$12)</f>
        <v>0</v>
      </c>
      <c r="S71" s="1"/>
      <c r="T71" s="1">
        <f>SUM(OSRRefT22_4x_0)</f>
        <v>15.81</v>
      </c>
      <c r="U71" s="1"/>
      <c r="V71" s="5">
        <f t="shared" ref="V71:V76" si="45">IF(T$12=0,0,T71/T$12)</f>
        <v>7.0372895334094539E-5</v>
      </c>
      <c r="W71" s="1"/>
      <c r="X71" s="1">
        <f t="shared" ref="X71:X76" si="46">+P71-T71</f>
        <v>-15.81</v>
      </c>
      <c r="Y71" s="1"/>
      <c r="Z71" s="5">
        <f t="shared" ref="Z71:Z76" si="47">IF(T71=0,0,X71/T71)</f>
        <v>-1</v>
      </c>
    </row>
    <row r="72" spans="1:26" s="24" customFormat="1" hidden="1" outlineLevel="2" x14ac:dyDescent="0.25">
      <c r="A72" s="25"/>
      <c r="B72" s="11" t="str">
        <f>CONCATENATE("          ", "6305", " - ", "FREIGHT OUT")</f>
        <v xml:space="preserve">          6305 - FREIGHT OUT</v>
      </c>
      <c r="C72" s="11"/>
      <c r="D72" s="6"/>
      <c r="E72" s="2"/>
      <c r="F72" s="7">
        <f t="shared" si="40"/>
        <v>0</v>
      </c>
      <c r="G72" s="2"/>
      <c r="H72" s="6">
        <v>15.81</v>
      </c>
      <c r="I72" s="2"/>
      <c r="J72" s="7">
        <f t="shared" si="41"/>
        <v>8.2172514463350085E-4</v>
      </c>
      <c r="K72" s="2"/>
      <c r="L72" s="6">
        <f t="shared" si="42"/>
        <v>-15.81</v>
      </c>
      <c r="M72" s="2"/>
      <c r="N72" s="7">
        <f t="shared" si="43"/>
        <v>-1</v>
      </c>
      <c r="O72" s="11"/>
      <c r="P72" s="6"/>
      <c r="Q72" s="2"/>
      <c r="R72" s="7">
        <f t="shared" si="44"/>
        <v>0</v>
      </c>
      <c r="S72" s="2"/>
      <c r="T72" s="6">
        <v>15.81</v>
      </c>
      <c r="U72" s="2"/>
      <c r="V72" s="7">
        <f t="shared" si="45"/>
        <v>7.0372895334094539E-5</v>
      </c>
      <c r="W72" s="2"/>
      <c r="X72" s="6">
        <f t="shared" si="46"/>
        <v>-15.81</v>
      </c>
      <c r="Y72" s="2"/>
      <c r="Z72" s="7">
        <f t="shared" si="47"/>
        <v>-1</v>
      </c>
    </row>
    <row r="73" spans="1:26" s="26" customFormat="1" outlineLevel="1" collapsed="1" x14ac:dyDescent="0.25">
      <c r="A73" s="27"/>
      <c r="B73" s="13" t="str">
        <f>CONCATENATE("     ","Subscriptions &amp; Dues                              ")</f>
        <v xml:space="preserve">     Subscriptions &amp; Dues                              </v>
      </c>
      <c r="C73" s="13"/>
      <c r="D73" s="1">
        <f>SUM(OSRRefD22_5x_0)</f>
        <v>0</v>
      </c>
      <c r="E73" s="1"/>
      <c r="F73" s="5">
        <f t="shared" si="40"/>
        <v>0</v>
      </c>
      <c r="G73" s="1"/>
      <c r="H73" s="1">
        <f>SUM(OSRRefH22_5x_0)</f>
        <v>0</v>
      </c>
      <c r="I73" s="1"/>
      <c r="J73" s="5">
        <f t="shared" si="41"/>
        <v>0</v>
      </c>
      <c r="K73" s="1"/>
      <c r="L73" s="1">
        <f t="shared" si="42"/>
        <v>0</v>
      </c>
      <c r="M73" s="1"/>
      <c r="N73" s="5">
        <f t="shared" si="43"/>
        <v>0</v>
      </c>
      <c r="O73" s="13"/>
      <c r="P73" s="1">
        <f>SUM(OSRRefP22_5x_0)</f>
        <v>0</v>
      </c>
      <c r="Q73" s="1"/>
      <c r="R73" s="5">
        <f t="shared" si="44"/>
        <v>0</v>
      </c>
      <c r="S73" s="1"/>
      <c r="T73" s="1">
        <f>SUM(OSRRefT22_5x_0)</f>
        <v>120</v>
      </c>
      <c r="U73" s="1"/>
      <c r="V73" s="5">
        <f t="shared" si="45"/>
        <v>5.3413962302918054E-4</v>
      </c>
      <c r="W73" s="1"/>
      <c r="X73" s="1">
        <f t="shared" si="46"/>
        <v>-120</v>
      </c>
      <c r="Y73" s="1"/>
      <c r="Z73" s="5">
        <f t="shared" si="47"/>
        <v>-1</v>
      </c>
    </row>
    <row r="74" spans="1:26" s="24" customFormat="1" hidden="1" outlineLevel="2" x14ac:dyDescent="0.25">
      <c r="A74" s="25"/>
      <c r="B74" s="11" t="str">
        <f>CONCATENATE("          ", "6258", " - ", "MEMBERSHIP DUES")</f>
        <v xml:space="preserve">          6258 - MEMBERSHIP DUES</v>
      </c>
      <c r="C74" s="11"/>
      <c r="D74" s="6"/>
      <c r="E74" s="2"/>
      <c r="F74" s="7">
        <f t="shared" si="40"/>
        <v>0</v>
      </c>
      <c r="G74" s="2"/>
      <c r="H74" s="6"/>
      <c r="I74" s="2"/>
      <c r="J74" s="7">
        <f t="shared" si="41"/>
        <v>0</v>
      </c>
      <c r="K74" s="2"/>
      <c r="L74" s="6">
        <f t="shared" si="42"/>
        <v>0</v>
      </c>
      <c r="M74" s="2"/>
      <c r="N74" s="7">
        <f t="shared" si="43"/>
        <v>0</v>
      </c>
      <c r="O74" s="11"/>
      <c r="P74" s="6"/>
      <c r="Q74" s="2"/>
      <c r="R74" s="7">
        <f t="shared" si="44"/>
        <v>0</v>
      </c>
      <c r="S74" s="2"/>
      <c r="T74" s="6">
        <v>120</v>
      </c>
      <c r="U74" s="2"/>
      <c r="V74" s="7">
        <f t="shared" si="45"/>
        <v>5.3413962302918054E-4</v>
      </c>
      <c r="W74" s="2"/>
      <c r="X74" s="6">
        <f t="shared" si="46"/>
        <v>-120</v>
      </c>
      <c r="Y74" s="2"/>
      <c r="Z74" s="7">
        <f t="shared" si="47"/>
        <v>-1</v>
      </c>
    </row>
    <row r="75" spans="1:26" s="26" customFormat="1" outlineLevel="1" collapsed="1" x14ac:dyDescent="0.25">
      <c r="A75" s="27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SUM(OSRRefD22_6x_0)</f>
        <v>0</v>
      </c>
      <c r="E75" s="1"/>
      <c r="F75" s="5">
        <f t="shared" si="40"/>
        <v>0</v>
      </c>
      <c r="G75" s="1"/>
      <c r="H75" s="1">
        <f>SUM(OSRRefH22_6x_0)</f>
        <v>24.63</v>
      </c>
      <c r="I75" s="1"/>
      <c r="J75" s="5">
        <f t="shared" si="41"/>
        <v>1.2801448647895713E-3</v>
      </c>
      <c r="K75" s="1"/>
      <c r="L75" s="1">
        <f t="shared" si="42"/>
        <v>-24.63</v>
      </c>
      <c r="M75" s="1"/>
      <c r="N75" s="5">
        <f t="shared" si="43"/>
        <v>-1</v>
      </c>
      <c r="O75" s="13"/>
      <c r="P75" s="1">
        <f>SUM(OSRRefP22_6x_0)</f>
        <v>0</v>
      </c>
      <c r="Q75" s="1"/>
      <c r="R75" s="5">
        <f t="shared" si="44"/>
        <v>0</v>
      </c>
      <c r="S75" s="1"/>
      <c r="T75" s="1">
        <f>SUM(OSRRefT22_6x_0)</f>
        <v>241.84</v>
      </c>
      <c r="U75" s="1"/>
      <c r="V75" s="5">
        <f t="shared" si="45"/>
        <v>1.0764693869448085E-3</v>
      </c>
      <c r="W75" s="1"/>
      <c r="X75" s="1">
        <f t="shared" si="46"/>
        <v>-241.84</v>
      </c>
      <c r="Y75" s="1"/>
      <c r="Z75" s="5">
        <f t="shared" si="47"/>
        <v>-1</v>
      </c>
    </row>
    <row r="76" spans="1:26" s="24" customFormat="1" hidden="1" outlineLevel="2" x14ac:dyDescent="0.25">
      <c r="A76" s="25"/>
      <c r="B76" s="11" t="str">
        <f>CONCATENATE("          ", "6241", " - ", "OFFICE EXPENSE")</f>
        <v xml:space="preserve">          6241 - OFFICE EXPENSE</v>
      </c>
      <c r="C76" s="11"/>
      <c r="D76" s="6"/>
      <c r="E76" s="2"/>
      <c r="F76" s="7">
        <f t="shared" si="40"/>
        <v>0</v>
      </c>
      <c r="G76" s="2"/>
      <c r="H76" s="6">
        <v>24.63</v>
      </c>
      <c r="I76" s="2"/>
      <c r="J76" s="7">
        <f t="shared" si="41"/>
        <v>1.2801448647895713E-3</v>
      </c>
      <c r="K76" s="2"/>
      <c r="L76" s="6">
        <f t="shared" si="42"/>
        <v>-24.63</v>
      </c>
      <c r="M76" s="2"/>
      <c r="N76" s="7">
        <f t="shared" si="43"/>
        <v>-1</v>
      </c>
      <c r="O76" s="11"/>
      <c r="P76" s="6"/>
      <c r="Q76" s="2"/>
      <c r="R76" s="7">
        <f t="shared" si="44"/>
        <v>0</v>
      </c>
      <c r="S76" s="2"/>
      <c r="T76" s="6">
        <v>241.84</v>
      </c>
      <c r="U76" s="2"/>
      <c r="V76" s="7">
        <f t="shared" si="45"/>
        <v>1.0764693869448085E-3</v>
      </c>
      <c r="W76" s="2"/>
      <c r="X76" s="6">
        <f t="shared" si="46"/>
        <v>-241.84</v>
      </c>
      <c r="Y76" s="2"/>
      <c r="Z76" s="7">
        <f t="shared" si="47"/>
        <v>-1</v>
      </c>
    </row>
    <row r="77" spans="1:26" s="53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9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8" t="s">
        <v>3</v>
      </c>
      <c r="C80" s="28"/>
      <c r="D80" s="20">
        <f>+D51-D53+D78</f>
        <v>0</v>
      </c>
      <c r="E80" s="14"/>
      <c r="F80" s="22">
        <f>IF(D$12=0,0,D80/D$12)</f>
        <v>0</v>
      </c>
      <c r="G80" s="14"/>
      <c r="H80" s="20">
        <f>+H51-H53+H78</f>
        <v>-11.549999999995634</v>
      </c>
      <c r="I80" s="14"/>
      <c r="J80" s="22">
        <f>IF(H$12=0,0,H80/H$12)</f>
        <v>-6.003115382993894E-4</v>
      </c>
      <c r="K80" s="15"/>
      <c r="L80" s="20">
        <f>+D80-H80</f>
        <v>11.549999999995634</v>
      </c>
      <c r="M80" s="15"/>
      <c r="N80" s="22">
        <f>IF(H80=0,0,L80/H80)</f>
        <v>-1</v>
      </c>
      <c r="O80" s="29"/>
      <c r="P80" s="20">
        <f>+P51-P53+P78</f>
        <v>0</v>
      </c>
      <c r="Q80" s="14"/>
      <c r="R80" s="22">
        <f>IF(P$12=0,0,P80/P$12)</f>
        <v>0</v>
      </c>
      <c r="S80" s="14"/>
      <c r="T80" s="20">
        <f>+T51-T53+T78</f>
        <v>69258.670000000013</v>
      </c>
      <c r="U80" s="14"/>
      <c r="V80" s="22">
        <f>IF(T$12=0,0,T80/T$12)</f>
        <v>0.30828166571085353</v>
      </c>
      <c r="W80" s="15"/>
      <c r="X80" s="20">
        <f>+P80-T80</f>
        <v>-69258.670000000013</v>
      </c>
      <c r="Y80" s="15"/>
      <c r="Z80" s="22">
        <f>IF(T80=0,0,X80/T80)</f>
        <v>-1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/>
      <c r="E82" s="4"/>
      <c r="F82" s="12">
        <f>IF(D$12=0,0,D82/D$12)</f>
        <v>0</v>
      </c>
      <c r="G82" s="4"/>
      <c r="H82" s="4">
        <v>3111.87</v>
      </c>
      <c r="I82" s="4"/>
      <c r="J82" s="12">
        <f>IF(H$12=0,0,H82/H$12)</f>
        <v>0.16173952092540494</v>
      </c>
      <c r="K82" s="4"/>
      <c r="L82" s="4">
        <f>+D82-H82</f>
        <v>-3111.87</v>
      </c>
      <c r="M82" s="4"/>
      <c r="N82" s="12">
        <f>IF(H82=0,0,L82/H82)</f>
        <v>-1</v>
      </c>
      <c r="O82" s="10"/>
      <c r="P82" s="4"/>
      <c r="Q82" s="4"/>
      <c r="R82" s="12">
        <f>IF(P$12=0,0,P82/P$12)</f>
        <v>0</v>
      </c>
      <c r="S82" s="4"/>
      <c r="T82" s="4">
        <v>23790.01</v>
      </c>
      <c r="U82" s="4"/>
      <c r="V82" s="12">
        <f>IF(T$12=0,0,T82/T$12)</f>
        <v>0.10589322477717029</v>
      </c>
      <c r="W82" s="4"/>
      <c r="X82" s="4">
        <f>+P82-T82</f>
        <v>-23790.01</v>
      </c>
      <c r="Y82" s="4"/>
      <c r="Z82" s="12">
        <f>IF(T82=0,0,X82/T82)</f>
        <v>-1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4</v>
      </c>
      <c r="C84" s="28"/>
      <c r="D84" s="31">
        <f>+D80-D82</f>
        <v>0</v>
      </c>
      <c r="E84" s="14"/>
      <c r="F84" s="34">
        <f>IF(D$12=0,0,D84/D$12)</f>
        <v>0</v>
      </c>
      <c r="G84" s="14"/>
      <c r="H84" s="31">
        <f>+H80-H82</f>
        <v>-3123.4199999999955</v>
      </c>
      <c r="I84" s="14"/>
      <c r="J84" s="34">
        <f>IF(H$12=0,0,H84/H$12)</f>
        <v>-0.16233983246370431</v>
      </c>
      <c r="K84" s="15"/>
      <c r="L84" s="31">
        <f>D84-H84</f>
        <v>3123.4199999999955</v>
      </c>
      <c r="M84" s="15"/>
      <c r="N84" s="34">
        <f>IF(H84=0,0,L84/H84)</f>
        <v>-1</v>
      </c>
      <c r="O84" s="29"/>
      <c r="P84" s="31">
        <f>+P80-P82</f>
        <v>0</v>
      </c>
      <c r="Q84" s="14"/>
      <c r="R84" s="34">
        <f>IF(P$12=0,0,P84/P$12)</f>
        <v>0</v>
      </c>
      <c r="S84" s="14"/>
      <c r="T84" s="31">
        <f>+T80-T82</f>
        <v>45468.660000000018</v>
      </c>
      <c r="U84" s="14"/>
      <c r="V84" s="34">
        <f>IF(T$12=0,0,T84/T$12)</f>
        <v>0.20238844093368324</v>
      </c>
      <c r="W84" s="15"/>
      <c r="X84" s="31">
        <f>P84-T84</f>
        <v>-45468.660000000018</v>
      </c>
      <c r="Y84" s="15"/>
      <c r="Z84" s="34">
        <f>IF(T84=0,0,X84/T84)</f>
        <v>-1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5</v>
      </c>
      <c r="C87" s="28"/>
      <c r="D87" s="32">
        <f>SUM(D84:D86)</f>
        <v>0</v>
      </c>
      <c r="E87" s="14"/>
      <c r="F87" s="30">
        <f>IF(D$12=0,0,D87/D$12)</f>
        <v>0</v>
      </c>
      <c r="G87" s="14"/>
      <c r="H87" s="32">
        <f>SUM(H84:H86)</f>
        <v>-3123.4199999999955</v>
      </c>
      <c r="I87" s="14"/>
      <c r="J87" s="30">
        <f>IF(H$12=0,0,H87/H$12)</f>
        <v>-0.16233983246370431</v>
      </c>
      <c r="K87" s="15"/>
      <c r="L87" s="32">
        <f>+D87-H87</f>
        <v>3123.4199999999955</v>
      </c>
      <c r="M87" s="15"/>
      <c r="N87" s="30">
        <f>IF(H87=0,0,L87/H87)</f>
        <v>-1</v>
      </c>
      <c r="O87" s="29"/>
      <c r="P87" s="32">
        <f>SUM(P84:P86)</f>
        <v>0</v>
      </c>
      <c r="Q87" s="14"/>
      <c r="R87" s="30">
        <f>IF(P$12=0,0,P87/P$12)</f>
        <v>0</v>
      </c>
      <c r="S87" s="14"/>
      <c r="T87" s="32">
        <f>SUM(T84:T86)</f>
        <v>45468.660000000018</v>
      </c>
      <c r="U87" s="14"/>
      <c r="V87" s="30">
        <f>IF(T$12=0,0,T87/T$12)</f>
        <v>0.20238844093368324</v>
      </c>
      <c r="W87" s="15"/>
      <c r="X87" s="32">
        <f>+P87-T87</f>
        <v>-45468.660000000018</v>
      </c>
      <c r="Y87" s="15"/>
      <c r="Z87" s="30">
        <f>IF(T87=0,0,X87/T87)</f>
        <v>-1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54">
        <v>44174.685638391202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56" t="s">
        <v>313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61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301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8524.15</v>
      </c>
      <c r="E12" s="4"/>
      <c r="F12" s="12"/>
      <c r="G12" s="4"/>
      <c r="H12" s="4">
        <f>SUM(OSRRefH13x_0)</f>
        <v>14659.949999999997</v>
      </c>
      <c r="I12" s="4"/>
      <c r="J12" s="12"/>
      <c r="K12" s="4"/>
      <c r="L12" s="4">
        <f t="shared" ref="L12:L40" si="0">+D12-H12</f>
        <v>-6135.7999999999975</v>
      </c>
      <c r="M12" s="4"/>
      <c r="N12" s="12">
        <f t="shared" ref="N12:N40" si="1">IF(H12=0,0,L12/H12)</f>
        <v>-0.41854167306164064</v>
      </c>
      <c r="O12" s="10"/>
      <c r="P12" s="4">
        <f>SUM(OSRRefP13x_0)</f>
        <v>1554230.1799999997</v>
      </c>
      <c r="Q12" s="4"/>
      <c r="R12" s="12"/>
      <c r="S12" s="4"/>
      <c r="T12" s="4">
        <f>SUM(OSRRefT13x_0)</f>
        <v>2877055.3899999997</v>
      </c>
      <c r="U12" s="4"/>
      <c r="V12" s="12"/>
      <c r="W12" s="4"/>
      <c r="X12" s="4">
        <f t="shared" ref="X12:X40" si="2">+P12-T12</f>
        <v>-1322825.21</v>
      </c>
      <c r="Y12" s="4"/>
      <c r="Z12" s="12">
        <f t="shared" ref="Z12:Z40" si="3">IF(T12=0,0,X12/T12)</f>
        <v>-0.45978440825221656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-229.05</f>
        <v>-229.05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-229.05</v>
      </c>
      <c r="M13" s="2"/>
      <c r="N13" s="19">
        <f t="shared" si="1"/>
        <v>0</v>
      </c>
      <c r="O13" s="11"/>
      <c r="P13" s="2">
        <f>-6599.87</f>
        <v>-6599.87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-6599.87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--6816.45</f>
        <v>6816.45</v>
      </c>
      <c r="E14" s="2"/>
      <c r="F14" s="19"/>
      <c r="G14" s="2"/>
      <c r="H14" s="2">
        <f>--8184.69</f>
        <v>8184.69</v>
      </c>
      <c r="I14" s="2"/>
      <c r="J14" s="19"/>
      <c r="K14" s="2"/>
      <c r="L14" s="2">
        <f t="shared" si="0"/>
        <v>-1368.2399999999998</v>
      </c>
      <c r="M14" s="2"/>
      <c r="N14" s="19">
        <f t="shared" si="1"/>
        <v>-0.16717065643292536</v>
      </c>
      <c r="O14" s="11"/>
      <c r="P14" s="2">
        <f>--719144.02</f>
        <v>719144.02</v>
      </c>
      <c r="Q14" s="2"/>
      <c r="R14" s="19"/>
      <c r="S14" s="2"/>
      <c r="T14" s="2">
        <f>--1503344.43</f>
        <v>1503344.43</v>
      </c>
      <c r="U14" s="2"/>
      <c r="V14" s="19"/>
      <c r="W14" s="2"/>
      <c r="X14" s="2">
        <f t="shared" si="2"/>
        <v>-784200.40999999992</v>
      </c>
      <c r="Y14" s="2"/>
      <c r="Z14" s="19">
        <f t="shared" si="3"/>
        <v>-0.52163722055364248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--1492.1</f>
        <v>1492.1</v>
      </c>
      <c r="E15" s="2"/>
      <c r="F15" s="19"/>
      <c r="G15" s="2"/>
      <c r="H15" s="2">
        <f>--4182.93</f>
        <v>4182.93</v>
      </c>
      <c r="I15" s="2"/>
      <c r="J15" s="19"/>
      <c r="K15" s="2"/>
      <c r="L15" s="2">
        <f t="shared" si="0"/>
        <v>-2690.8300000000004</v>
      </c>
      <c r="M15" s="2"/>
      <c r="N15" s="19">
        <f t="shared" si="1"/>
        <v>-0.64328831704092593</v>
      </c>
      <c r="O15" s="11"/>
      <c r="P15" s="2">
        <f>--320631.62</f>
        <v>320631.62</v>
      </c>
      <c r="Q15" s="2"/>
      <c r="R15" s="19"/>
      <c r="S15" s="2"/>
      <c r="T15" s="2">
        <f>--670479.29</f>
        <v>670479.29</v>
      </c>
      <c r="U15" s="2"/>
      <c r="V15" s="19"/>
      <c r="W15" s="2"/>
      <c r="X15" s="2">
        <f t="shared" si="2"/>
        <v>-349847.67000000004</v>
      </c>
      <c r="Y15" s="2"/>
      <c r="Z15" s="19">
        <f t="shared" si="3"/>
        <v>-0.52178743656645987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8" si="4"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--10665.63</f>
        <v>10665.63</v>
      </c>
      <c r="Q16" s="2"/>
      <c r="R16" s="19"/>
      <c r="S16" s="2"/>
      <c r="T16" s="2">
        <f>--15844.66</f>
        <v>15844.66</v>
      </c>
      <c r="U16" s="2"/>
      <c r="V16" s="19"/>
      <c r="W16" s="2"/>
      <c r="X16" s="2">
        <f t="shared" si="2"/>
        <v>-5179.0300000000007</v>
      </c>
      <c r="Y16" s="2"/>
      <c r="Z16" s="19">
        <f t="shared" si="3"/>
        <v>-0.32686280425076969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--119.4</f>
        <v>119.4</v>
      </c>
      <c r="I17" s="2"/>
      <c r="J17" s="19"/>
      <c r="K17" s="2"/>
      <c r="L17" s="2">
        <f t="shared" si="0"/>
        <v>-119.4</v>
      </c>
      <c r="M17" s="2"/>
      <c r="N17" s="19">
        <f t="shared" si="1"/>
        <v>-1</v>
      </c>
      <c r="O17" s="11"/>
      <c r="P17" s="2">
        <f>--2459.56</f>
        <v>2459.56</v>
      </c>
      <c r="Q17" s="2"/>
      <c r="R17" s="19"/>
      <c r="S17" s="2"/>
      <c r="T17" s="2">
        <f>--30279.88</f>
        <v>30279.88</v>
      </c>
      <c r="U17" s="2"/>
      <c r="V17" s="19"/>
      <c r="W17" s="2"/>
      <c r="X17" s="2">
        <f t="shared" si="2"/>
        <v>-27820.32</v>
      </c>
      <c r="Y17" s="2"/>
      <c r="Z17" s="19">
        <f t="shared" si="3"/>
        <v>-0.91877246541267665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--9.6</f>
        <v>9.6</v>
      </c>
      <c r="U18" s="2"/>
      <c r="V18" s="19"/>
      <c r="W18" s="2"/>
      <c r="X18" s="2">
        <f t="shared" si="2"/>
        <v>-9.6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--307.75</f>
        <v>307.75</v>
      </c>
      <c r="E19" s="2"/>
      <c r="F19" s="19"/>
      <c r="G19" s="2"/>
      <c r="H19" s="2">
        <f>--285.33</f>
        <v>285.33</v>
      </c>
      <c r="I19" s="2"/>
      <c r="J19" s="19"/>
      <c r="K19" s="2"/>
      <c r="L19" s="2">
        <f t="shared" si="0"/>
        <v>22.420000000000016</v>
      </c>
      <c r="M19" s="2"/>
      <c r="N19" s="19">
        <f t="shared" si="1"/>
        <v>7.857568429537734E-2</v>
      </c>
      <c r="O19" s="11"/>
      <c r="P19" s="2">
        <f>--505.12</f>
        <v>505.12</v>
      </c>
      <c r="Q19" s="2"/>
      <c r="R19" s="19"/>
      <c r="S19" s="2"/>
      <c r="T19" s="2">
        <f>--1112.72</f>
        <v>1112.72</v>
      </c>
      <c r="U19" s="2"/>
      <c r="V19" s="19"/>
      <c r="W19" s="2"/>
      <c r="X19" s="2">
        <f t="shared" si="2"/>
        <v>-607.6</v>
      </c>
      <c r="Y19" s="2"/>
      <c r="Z19" s="19">
        <f t="shared" si="3"/>
        <v>-0.54604932058379463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 t="shared" ref="D20:D21" si="5">0</f>
        <v>0</v>
      </c>
      <c r="E20" s="2"/>
      <c r="F20" s="19"/>
      <c r="G20" s="2"/>
      <c r="H20" s="2">
        <f>--189.13</f>
        <v>189.13</v>
      </c>
      <c r="I20" s="2"/>
      <c r="J20" s="19"/>
      <c r="K20" s="2"/>
      <c r="L20" s="2">
        <f t="shared" si="0"/>
        <v>-189.13</v>
      </c>
      <c r="M20" s="2"/>
      <c r="N20" s="19">
        <f t="shared" si="1"/>
        <v>-1</v>
      </c>
      <c r="O20" s="11"/>
      <c r="P20" s="2">
        <f>--340.24</f>
        <v>340.24</v>
      </c>
      <c r="Q20" s="2"/>
      <c r="R20" s="19"/>
      <c r="S20" s="2"/>
      <c r="T20" s="2">
        <f>--883.35</f>
        <v>883.35</v>
      </c>
      <c r="U20" s="2"/>
      <c r="V20" s="19"/>
      <c r="W20" s="2"/>
      <c r="X20" s="2">
        <f t="shared" si="2"/>
        <v>-543.11</v>
      </c>
      <c r="Y20" s="2"/>
      <c r="Z20" s="19">
        <f t="shared" si="3"/>
        <v>-0.61482990886964395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 t="shared" si="5"/>
        <v>0</v>
      </c>
      <c r="E21" s="2"/>
      <c r="F21" s="19"/>
      <c r="G21" s="2"/>
      <c r="H21" s="2">
        <f>--277.82</f>
        <v>277.82</v>
      </c>
      <c r="I21" s="2"/>
      <c r="J21" s="19"/>
      <c r="K21" s="2"/>
      <c r="L21" s="2">
        <f t="shared" si="0"/>
        <v>-277.82</v>
      </c>
      <c r="M21" s="2"/>
      <c r="N21" s="19">
        <f t="shared" si="1"/>
        <v>-1</v>
      </c>
      <c r="O21" s="11"/>
      <c r="P21" s="2">
        <f>--183.89</f>
        <v>183.89</v>
      </c>
      <c r="Q21" s="2"/>
      <c r="R21" s="19"/>
      <c r="S21" s="2"/>
      <c r="T21" s="2">
        <f>--2732.65</f>
        <v>2732.65</v>
      </c>
      <c r="U21" s="2"/>
      <c r="V21" s="19"/>
      <c r="W21" s="2"/>
      <c r="X21" s="2">
        <f t="shared" si="2"/>
        <v>-2548.7600000000002</v>
      </c>
      <c r="Y21" s="2"/>
      <c r="Z21" s="19">
        <f t="shared" si="3"/>
        <v>-0.93270634731853697</v>
      </c>
    </row>
    <row r="22" spans="1:26" s="24" customFormat="1" hidden="1" outlineLevel="1" x14ac:dyDescent="0.25">
      <c r="A22" s="44"/>
      <c r="B22" s="11" t="str">
        <f>CONCATENATE("          ", "4100", " - ", "NON-TAXABLE SALES")</f>
        <v xml:space="preserve">          4100 - NON-TAXABLE SALES</v>
      </c>
      <c r="C22" s="11"/>
      <c r="D22" s="2">
        <f>--1333.61</f>
        <v>1333.61</v>
      </c>
      <c r="E22" s="2"/>
      <c r="F22" s="19"/>
      <c r="G22" s="2"/>
      <c r="H22" s="2">
        <f>--458.89</f>
        <v>458.89</v>
      </c>
      <c r="I22" s="2"/>
      <c r="J22" s="19"/>
      <c r="K22" s="2"/>
      <c r="L22" s="2">
        <f t="shared" si="0"/>
        <v>874.71999999999991</v>
      </c>
      <c r="M22" s="2"/>
      <c r="N22" s="19">
        <f t="shared" si="1"/>
        <v>1.9061648761141012</v>
      </c>
      <c r="O22" s="11"/>
      <c r="P22" s="2">
        <f>--165813.42</f>
        <v>165813.42000000001</v>
      </c>
      <c r="Q22" s="2"/>
      <c r="R22" s="19"/>
      <c r="S22" s="2"/>
      <c r="T22" s="2">
        <f>--335840.56</f>
        <v>335840.56</v>
      </c>
      <c r="U22" s="2"/>
      <c r="V22" s="19"/>
      <c r="W22" s="2"/>
      <c r="X22" s="2">
        <f t="shared" si="2"/>
        <v>-170027.13999999998</v>
      </c>
      <c r="Y22" s="2"/>
      <c r="Z22" s="19">
        <f t="shared" si="3"/>
        <v>-0.50627339354126843</v>
      </c>
    </row>
    <row r="23" spans="1:26" s="24" customFormat="1" hidden="1" outlineLevel="1" x14ac:dyDescent="0.25">
      <c r="A23" s="44"/>
      <c r="B23" s="11" t="str">
        <f>CONCATENATE("          ", "4101", " - ", "NON-TAXABLE SALES-NEW TEXT")</f>
        <v xml:space="preserve">          4101 - NON-TAXABLE SALES-NEW TEXT</v>
      </c>
      <c r="C23" s="11"/>
      <c r="D23" s="2">
        <f>--1270.83</f>
        <v>1270.83</v>
      </c>
      <c r="E23" s="2"/>
      <c r="F23" s="19"/>
      <c r="G23" s="2"/>
      <c r="H23" s="2">
        <f>--349.66</f>
        <v>349.66</v>
      </c>
      <c r="I23" s="2"/>
      <c r="J23" s="19"/>
      <c r="K23" s="2"/>
      <c r="L23" s="2">
        <f t="shared" si="0"/>
        <v>921.16999999999985</v>
      </c>
      <c r="M23" s="2"/>
      <c r="N23" s="19">
        <f t="shared" si="1"/>
        <v>2.6344734885317158</v>
      </c>
      <c r="O23" s="11"/>
      <c r="P23" s="2">
        <f>--78935.72</f>
        <v>78935.72</v>
      </c>
      <c r="Q23" s="2"/>
      <c r="R23" s="19"/>
      <c r="S23" s="2"/>
      <c r="T23" s="2">
        <f>--92680.75</f>
        <v>92680.75</v>
      </c>
      <c r="U23" s="2"/>
      <c r="V23" s="19"/>
      <c r="W23" s="2"/>
      <c r="X23" s="2">
        <f t="shared" si="2"/>
        <v>-13745.029999999999</v>
      </c>
      <c r="Y23" s="2"/>
      <c r="Z23" s="19">
        <f t="shared" si="3"/>
        <v>-0.14830512269268428</v>
      </c>
    </row>
    <row r="24" spans="1:26" s="24" customFormat="1" hidden="1" outlineLevel="1" x14ac:dyDescent="0.25">
      <c r="A24" s="44"/>
      <c r="B24" s="11" t="str">
        <f>CONCATENATE("          ", "4102", " - ", "NON-TAXABLE SALES-USED TEXT")</f>
        <v xml:space="preserve">          4102 - NON-TAXABLE SALES-USED TEXT</v>
      </c>
      <c r="C24" s="11"/>
      <c r="D24" s="2">
        <f>--320.72</f>
        <v>320.72000000000003</v>
      </c>
      <c r="E24" s="2"/>
      <c r="F24" s="19"/>
      <c r="G24" s="2"/>
      <c r="H24" s="2">
        <f>--584.52</f>
        <v>584.52</v>
      </c>
      <c r="I24" s="2"/>
      <c r="J24" s="19"/>
      <c r="K24" s="2"/>
      <c r="L24" s="2">
        <f t="shared" si="0"/>
        <v>-263.79999999999995</v>
      </c>
      <c r="M24" s="2"/>
      <c r="N24" s="19">
        <f t="shared" si="1"/>
        <v>-0.45131047697255861</v>
      </c>
      <c r="O24" s="11"/>
      <c r="P24" s="2">
        <f>--33033.19</f>
        <v>33033.19</v>
      </c>
      <c r="Q24" s="2"/>
      <c r="R24" s="19"/>
      <c r="S24" s="2"/>
      <c r="T24" s="2">
        <f>--37606.84</f>
        <v>37606.839999999997</v>
      </c>
      <c r="U24" s="2"/>
      <c r="V24" s="19"/>
      <c r="W24" s="2"/>
      <c r="X24" s="2">
        <f t="shared" si="2"/>
        <v>-4573.6499999999942</v>
      </c>
      <c r="Y24" s="2"/>
      <c r="Z24" s="19">
        <f t="shared" si="3"/>
        <v>-0.12161750362434054</v>
      </c>
    </row>
    <row r="25" spans="1:26" s="24" customFormat="1" hidden="1" outlineLevel="1" x14ac:dyDescent="0.25">
      <c r="A25" s="44"/>
      <c r="B25" s="11" t="str">
        <f>CONCATENATE("          ", "4103", " - ", "NON-TAXABLE SALES-RENTAL TEXT")</f>
        <v xml:space="preserve">          4103 - NON-TAXABLE SALES-RENTAL TEXT</v>
      </c>
      <c r="C25" s="11"/>
      <c r="D25" s="2">
        <f>0</f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--284.97</f>
        <v>284.97000000000003</v>
      </c>
      <c r="Q25" s="2"/>
      <c r="R25" s="19"/>
      <c r="S25" s="2"/>
      <c r="T25" s="2">
        <f>--329.98</f>
        <v>329.98</v>
      </c>
      <c r="U25" s="2"/>
      <c r="V25" s="19"/>
      <c r="W25" s="2"/>
      <c r="X25" s="2">
        <f t="shared" si="2"/>
        <v>-45.009999999999991</v>
      </c>
      <c r="Y25" s="2"/>
      <c r="Z25" s="19">
        <f t="shared" si="3"/>
        <v>-0.13640220619431478</v>
      </c>
    </row>
    <row r="26" spans="1:26" s="24" customFormat="1" hidden="1" outlineLevel="1" x14ac:dyDescent="0.25">
      <c r="A26" s="44"/>
      <c r="B26" s="11" t="str">
        <f>CONCATENATE("          ", "4104", " - ", "NON-TAXABLE SALES-DIGITAL TEXT")</f>
        <v xml:space="preserve">          4104 - NON-TAXABLE SALES-DIGITAL TEXT</v>
      </c>
      <c r="C26" s="11"/>
      <c r="D26" s="2">
        <f>--1414.19</f>
        <v>1414.19</v>
      </c>
      <c r="E26" s="2"/>
      <c r="F26" s="19"/>
      <c r="G26" s="2"/>
      <c r="H26" s="2">
        <f>--206.24</f>
        <v>206.24</v>
      </c>
      <c r="I26" s="2"/>
      <c r="J26" s="19"/>
      <c r="K26" s="2"/>
      <c r="L26" s="2">
        <f t="shared" si="0"/>
        <v>1207.95</v>
      </c>
      <c r="M26" s="2"/>
      <c r="N26" s="19">
        <f t="shared" si="1"/>
        <v>5.8570112490302559</v>
      </c>
      <c r="O26" s="11"/>
      <c r="P26" s="2">
        <f>--294889.71</f>
        <v>294889.71000000002</v>
      </c>
      <c r="Q26" s="2"/>
      <c r="R26" s="19"/>
      <c r="S26" s="2"/>
      <c r="T26" s="2">
        <f>--320699.09</f>
        <v>320699.09000000003</v>
      </c>
      <c r="U26" s="2"/>
      <c r="V26" s="19"/>
      <c r="W26" s="2"/>
      <c r="X26" s="2">
        <f t="shared" si="2"/>
        <v>-25809.380000000005</v>
      </c>
      <c r="Y26" s="2"/>
      <c r="Z26" s="19">
        <f t="shared" si="3"/>
        <v>-8.0478494653664287E-2</v>
      </c>
    </row>
    <row r="27" spans="1:26" s="24" customFormat="1" hidden="1" outlineLevel="1" x14ac:dyDescent="0.25">
      <c r="A27" s="44"/>
      <c r="B27" s="11" t="str">
        <f>CONCATENATE("          ", "4111", " - ", "NON-TAXABLE SALES-NO VALUE TEX")</f>
        <v xml:space="preserve">          4111 - NON-TAXABLE SALES-NO VALUE TEX</v>
      </c>
      <c r="C27" s="11"/>
      <c r="D27" s="2">
        <f>0</f>
        <v>0</v>
      </c>
      <c r="E27" s="2"/>
      <c r="F27" s="19"/>
      <c r="G27" s="2"/>
      <c r="H27" s="2">
        <f>--492.72</f>
        <v>492.72</v>
      </c>
      <c r="I27" s="2"/>
      <c r="J27" s="19"/>
      <c r="K27" s="2"/>
      <c r="L27" s="2">
        <f t="shared" si="0"/>
        <v>-492.72</v>
      </c>
      <c r="M27" s="2"/>
      <c r="N27" s="19">
        <f t="shared" si="1"/>
        <v>-1</v>
      </c>
      <c r="O27" s="11"/>
      <c r="P27" s="2">
        <f>0</f>
        <v>0</v>
      </c>
      <c r="Q27" s="2"/>
      <c r="R27" s="19"/>
      <c r="S27" s="2"/>
      <c r="T27" s="2">
        <f>--7592.19</f>
        <v>7592.19</v>
      </c>
      <c r="U27" s="2"/>
      <c r="V27" s="19"/>
      <c r="W27" s="2"/>
      <c r="X27" s="2">
        <f t="shared" si="2"/>
        <v>-7592.19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"4113", " - ", "NON-TAXABLE SALES-TRADE BOOKS")</f>
        <v xml:space="preserve">          4113 - NON-TAXABLE SALES-TRADE BOOKS</v>
      </c>
      <c r="C28" s="11"/>
      <c r="D28" s="2">
        <f>--630</f>
        <v>630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630</v>
      </c>
      <c r="M28" s="2"/>
      <c r="N28" s="19">
        <f t="shared" si="1"/>
        <v>0</v>
      </c>
      <c r="O28" s="11"/>
      <c r="P28" s="2">
        <f>--2285.95</f>
        <v>2285.9499999999998</v>
      </c>
      <c r="Q28" s="2"/>
      <c r="R28" s="19"/>
      <c r="S28" s="2"/>
      <c r="T28" s="2">
        <f>--1146.72</f>
        <v>1146.72</v>
      </c>
      <c r="U28" s="2"/>
      <c r="V28" s="19"/>
      <c r="W28" s="2"/>
      <c r="X28" s="2">
        <f t="shared" si="2"/>
        <v>1139.2299999999998</v>
      </c>
      <c r="Y28" s="2"/>
      <c r="Z28" s="19">
        <f t="shared" si="3"/>
        <v>0.99346832705455534</v>
      </c>
    </row>
    <row r="29" spans="1:26" s="24" customFormat="1" hidden="1" outlineLevel="1" x14ac:dyDescent="0.25">
      <c r="A29" s="44"/>
      <c r="B29" s="11" t="str">
        <f>CONCATENATE("          ", "4118", " - ", "NON-TAXABLE SALES-STUDY GUIDES")</f>
        <v xml:space="preserve">          4118 - NON-TAXABLE SALES-STUDY GUIDES</v>
      </c>
      <c r="C29" s="11"/>
      <c r="D29" s="2">
        <f>--27.8</f>
        <v>27.8</v>
      </c>
      <c r="E29" s="2"/>
      <c r="F29" s="19"/>
      <c r="G29" s="2"/>
      <c r="H29" s="2">
        <f>--14.04</f>
        <v>14.04</v>
      </c>
      <c r="I29" s="2"/>
      <c r="J29" s="19"/>
      <c r="K29" s="2"/>
      <c r="L29" s="2">
        <f t="shared" si="0"/>
        <v>13.760000000000002</v>
      </c>
      <c r="M29" s="2"/>
      <c r="N29" s="19">
        <f t="shared" si="1"/>
        <v>0.98005698005698028</v>
      </c>
      <c r="O29" s="11"/>
      <c r="P29" s="2">
        <f>--233.43</f>
        <v>233.43</v>
      </c>
      <c r="Q29" s="2"/>
      <c r="R29" s="19"/>
      <c r="S29" s="2"/>
      <c r="T29" s="2">
        <f>--34.96</f>
        <v>34.96</v>
      </c>
      <c r="U29" s="2"/>
      <c r="V29" s="19"/>
      <c r="W29" s="2"/>
      <c r="X29" s="2">
        <f t="shared" si="2"/>
        <v>198.47</v>
      </c>
      <c r="Y29" s="2"/>
      <c r="Z29" s="19">
        <f t="shared" si="3"/>
        <v>5.6770594965675052</v>
      </c>
    </row>
    <row r="30" spans="1:26" s="24" customFormat="1" hidden="1" outlineLevel="1" x14ac:dyDescent="0.25">
      <c r="A30" s="44"/>
      <c r="B30" s="11" t="str">
        <f>CONCATENATE("          ", "4201", " - ", "SALES RETURN TAXABLE-NEW TEXT")</f>
        <v xml:space="preserve">          4201 - SALES RETURN TAXABLE-NEW TEXT</v>
      </c>
      <c r="C30" s="11"/>
      <c r="D30" s="2">
        <f>-1333.42</f>
        <v>-1333.42</v>
      </c>
      <c r="E30" s="2"/>
      <c r="F30" s="19"/>
      <c r="G30" s="2"/>
      <c r="H30" s="2">
        <f>-314.9</f>
        <v>-314.89999999999998</v>
      </c>
      <c r="I30" s="2"/>
      <c r="J30" s="19"/>
      <c r="K30" s="2"/>
      <c r="L30" s="2">
        <f t="shared" si="0"/>
        <v>-1018.5200000000001</v>
      </c>
      <c r="M30" s="2"/>
      <c r="N30" s="19">
        <f t="shared" si="1"/>
        <v>3.2344236265481112</v>
      </c>
      <c r="O30" s="11"/>
      <c r="P30" s="2">
        <f>-35094.66</f>
        <v>-35094.660000000003</v>
      </c>
      <c r="Q30" s="2"/>
      <c r="R30" s="19"/>
      <c r="S30" s="2"/>
      <c r="T30" s="2">
        <f>-78098.57</f>
        <v>-78098.570000000007</v>
      </c>
      <c r="U30" s="2"/>
      <c r="V30" s="19"/>
      <c r="W30" s="2"/>
      <c r="X30" s="2">
        <f t="shared" si="2"/>
        <v>43003.91</v>
      </c>
      <c r="Y30" s="2"/>
      <c r="Z30" s="19">
        <f t="shared" si="3"/>
        <v>-0.55063633047314442</v>
      </c>
    </row>
    <row r="31" spans="1:26" s="24" customFormat="1" hidden="1" outlineLevel="1" x14ac:dyDescent="0.25">
      <c r="A31" s="44"/>
      <c r="B31" s="11" t="str">
        <f>CONCATENATE("          ", "4202", " - ", "SALES RETURN TAXABLE-USED TEXT")</f>
        <v xml:space="preserve">          4202 - SALES RETURN TAXABLE-USED TEXT</v>
      </c>
      <c r="C31" s="11"/>
      <c r="D31" s="2">
        <f>-3274.35</f>
        <v>-3274.35</v>
      </c>
      <c r="E31" s="2"/>
      <c r="F31" s="19"/>
      <c r="G31" s="2"/>
      <c r="H31" s="2">
        <f>-113.2</f>
        <v>-113.2</v>
      </c>
      <c r="I31" s="2"/>
      <c r="J31" s="19"/>
      <c r="K31" s="2"/>
      <c r="L31" s="2">
        <f t="shared" si="0"/>
        <v>-3161.15</v>
      </c>
      <c r="M31" s="2"/>
      <c r="N31" s="19">
        <f t="shared" si="1"/>
        <v>27.925353356890458</v>
      </c>
      <c r="O31" s="11"/>
      <c r="P31" s="2">
        <f>-13803.35</f>
        <v>-13803.35</v>
      </c>
      <c r="Q31" s="2"/>
      <c r="R31" s="19"/>
      <c r="S31" s="2"/>
      <c r="T31" s="2">
        <f>-27042.2</f>
        <v>-27042.2</v>
      </c>
      <c r="U31" s="2"/>
      <c r="V31" s="19"/>
      <c r="W31" s="2"/>
      <c r="X31" s="2">
        <f t="shared" si="2"/>
        <v>13238.85</v>
      </c>
      <c r="Y31" s="2"/>
      <c r="Z31" s="19">
        <f t="shared" si="3"/>
        <v>-0.48956260955099806</v>
      </c>
    </row>
    <row r="32" spans="1:26" s="24" customFormat="1" hidden="1" outlineLevel="1" x14ac:dyDescent="0.25">
      <c r="A32" s="44"/>
      <c r="B32" s="11" t="str">
        <f>CONCATENATE("          ", "4203", " - ", "SALES RETURN TAXABLE-RENTAL TE")</f>
        <v xml:space="preserve">          4203 - SALES RETURN TAXABLE-RENTAL TE</v>
      </c>
      <c r="C32" s="11"/>
      <c r="D32" s="2">
        <f t="shared" ref="D32:D36" si="6">0</f>
        <v>0</v>
      </c>
      <c r="E32" s="2"/>
      <c r="F32" s="19"/>
      <c r="G32" s="2"/>
      <c r="H32" s="2">
        <f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0</f>
        <v>0</v>
      </c>
      <c r="Q32" s="2"/>
      <c r="R32" s="19"/>
      <c r="S32" s="2"/>
      <c r="T32" s="2">
        <f>-144.99</f>
        <v>-144.99</v>
      </c>
      <c r="U32" s="2"/>
      <c r="V32" s="19"/>
      <c r="W32" s="2"/>
      <c r="X32" s="2">
        <f t="shared" si="2"/>
        <v>144.99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"4204", " - ", "SALES RETURN TAXABLE-DIGITAL T")</f>
        <v xml:space="preserve">          4204 - SALES RETURN TAXABLE-DIGITAL T</v>
      </c>
      <c r="C33" s="11"/>
      <c r="D33" s="2">
        <f t="shared" si="6"/>
        <v>0</v>
      </c>
      <c r="E33" s="2"/>
      <c r="F33" s="19"/>
      <c r="G33" s="2"/>
      <c r="H33" s="2">
        <f>-119.4</f>
        <v>-119.4</v>
      </c>
      <c r="I33" s="2"/>
      <c r="J33" s="19"/>
      <c r="K33" s="2"/>
      <c r="L33" s="2">
        <f t="shared" si="0"/>
        <v>119.4</v>
      </c>
      <c r="M33" s="2"/>
      <c r="N33" s="19">
        <f t="shared" si="1"/>
        <v>-1</v>
      </c>
      <c r="O33" s="11"/>
      <c r="P33" s="2">
        <f>-1630.85</f>
        <v>-1630.85</v>
      </c>
      <c r="Q33" s="2"/>
      <c r="R33" s="19"/>
      <c r="S33" s="2"/>
      <c r="T33" s="2">
        <f>-11369.46</f>
        <v>-11369.46</v>
      </c>
      <c r="U33" s="2"/>
      <c r="V33" s="19"/>
      <c r="W33" s="2"/>
      <c r="X33" s="2">
        <f t="shared" si="2"/>
        <v>9738.6099999999988</v>
      </c>
      <c r="Y33" s="2"/>
      <c r="Z33" s="19">
        <f t="shared" si="3"/>
        <v>-0.85655871079189327</v>
      </c>
    </row>
    <row r="34" spans="1:26" s="24" customFormat="1" hidden="1" outlineLevel="1" x14ac:dyDescent="0.25">
      <c r="A34" s="44"/>
      <c r="B34" s="11" t="str">
        <f>CONCATENATE("          ", "4213", " - ", "NON-TAXABLE SALES-TRADE BOOKS")</f>
        <v xml:space="preserve">          4213 - NON-TAXABLE SALES-TRADE BOOKS</v>
      </c>
      <c r="C34" s="11"/>
      <c r="D34" s="2">
        <f t="shared" si="6"/>
        <v>0</v>
      </c>
      <c r="E34" s="2"/>
      <c r="F34" s="19"/>
      <c r="G34" s="2"/>
      <c r="H34" s="2">
        <f>-67.34</f>
        <v>-67.34</v>
      </c>
      <c r="I34" s="2"/>
      <c r="J34" s="19"/>
      <c r="K34" s="2"/>
      <c r="L34" s="2">
        <f t="shared" si="0"/>
        <v>67.34</v>
      </c>
      <c r="M34" s="2"/>
      <c r="N34" s="19">
        <f t="shared" si="1"/>
        <v>-1</v>
      </c>
      <c r="O34" s="11"/>
      <c r="P34" s="2">
        <f t="shared" ref="P34:P35" si="7">0</f>
        <v>0</v>
      </c>
      <c r="Q34" s="2"/>
      <c r="R34" s="19"/>
      <c r="S34" s="2"/>
      <c r="T34" s="2">
        <f>-102.71</f>
        <v>-102.71</v>
      </c>
      <c r="U34" s="2"/>
      <c r="V34" s="19"/>
      <c r="W34" s="2"/>
      <c r="X34" s="2">
        <f t="shared" si="2"/>
        <v>102.71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 t="shared" si="6"/>
        <v>0</v>
      </c>
      <c r="E35" s="2"/>
      <c r="F35" s="19"/>
      <c r="G35" s="2"/>
      <c r="H35" s="2">
        <f t="shared" ref="H35:H38" si="8"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 t="shared" si="7"/>
        <v>0</v>
      </c>
      <c r="Q35" s="2"/>
      <c r="R35" s="19"/>
      <c r="S35" s="2"/>
      <c r="T35" s="2">
        <f>-32.75</f>
        <v>-32.75</v>
      </c>
      <c r="U35" s="2"/>
      <c r="V35" s="19"/>
      <c r="W35" s="2"/>
      <c r="X35" s="2">
        <f t="shared" si="2"/>
        <v>32.75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 t="shared" si="6"/>
        <v>0</v>
      </c>
      <c r="E36" s="2"/>
      <c r="F36" s="19"/>
      <c r="G36" s="2"/>
      <c r="H36" s="2">
        <f t="shared" si="8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-2376.17</f>
        <v>-2376.17</v>
      </c>
      <c r="Q36" s="2"/>
      <c r="R36" s="19"/>
      <c r="S36" s="2"/>
      <c r="T36" s="2">
        <f>-12310.98</f>
        <v>-12310.98</v>
      </c>
      <c r="U36" s="2"/>
      <c r="V36" s="19"/>
      <c r="W36" s="2"/>
      <c r="X36" s="2">
        <f t="shared" si="2"/>
        <v>9934.81</v>
      </c>
      <c r="Y36" s="2"/>
      <c r="Z36" s="19">
        <f t="shared" si="3"/>
        <v>-0.80698774589837685</v>
      </c>
    </row>
    <row r="37" spans="1:26" s="24" customFormat="1" hidden="1" outlineLevel="1" x14ac:dyDescent="0.2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>-76.05</f>
        <v>-76.05</v>
      </c>
      <c r="E37" s="2"/>
      <c r="F37" s="19"/>
      <c r="G37" s="2"/>
      <c r="H37" s="2">
        <f t="shared" si="8"/>
        <v>0</v>
      </c>
      <c r="I37" s="2"/>
      <c r="J37" s="19"/>
      <c r="K37" s="2"/>
      <c r="L37" s="2">
        <f t="shared" si="0"/>
        <v>-76.05</v>
      </c>
      <c r="M37" s="2"/>
      <c r="N37" s="19">
        <f t="shared" si="1"/>
        <v>0</v>
      </c>
      <c r="O37" s="11"/>
      <c r="P37" s="2">
        <f>-1392.85</f>
        <v>-1392.85</v>
      </c>
      <c r="Q37" s="2"/>
      <c r="R37" s="19"/>
      <c r="S37" s="2"/>
      <c r="T37" s="2">
        <f>-683.8</f>
        <v>-683.8</v>
      </c>
      <c r="U37" s="2"/>
      <c r="V37" s="19"/>
      <c r="W37" s="2"/>
      <c r="X37" s="2">
        <f t="shared" si="2"/>
        <v>-709.05</v>
      </c>
      <c r="Y37" s="2"/>
      <c r="Z37" s="19">
        <f t="shared" si="3"/>
        <v>1.0369260017548991</v>
      </c>
    </row>
    <row r="38" spans="1:26" s="24" customFormat="1" hidden="1" outlineLevel="1" x14ac:dyDescent="0.2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>0</f>
        <v>0</v>
      </c>
      <c r="E38" s="2"/>
      <c r="F38" s="19"/>
      <c r="G38" s="2"/>
      <c r="H38" s="2">
        <f t="shared" si="8"/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0</f>
        <v>0</v>
      </c>
      <c r="Q38" s="2"/>
      <c r="R38" s="19"/>
      <c r="S38" s="2"/>
      <c r="T38" s="2">
        <f>-184.99</f>
        <v>-184.99</v>
      </c>
      <c r="U38" s="2"/>
      <c r="V38" s="19"/>
      <c r="W38" s="2"/>
      <c r="X38" s="2">
        <f t="shared" si="2"/>
        <v>184.99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>-176.43</f>
        <v>-176.43</v>
      </c>
      <c r="E39" s="2"/>
      <c r="F39" s="19"/>
      <c r="G39" s="2"/>
      <c r="H39" s="2">
        <f>-70.58</f>
        <v>-70.58</v>
      </c>
      <c r="I39" s="2"/>
      <c r="J39" s="19"/>
      <c r="K39" s="2"/>
      <c r="L39" s="2">
        <f t="shared" si="0"/>
        <v>-105.85000000000001</v>
      </c>
      <c r="M39" s="2"/>
      <c r="N39" s="19">
        <f t="shared" si="1"/>
        <v>1.4997166336072543</v>
      </c>
      <c r="O39" s="11"/>
      <c r="P39" s="2">
        <f>-14278.54</f>
        <v>-14278.54</v>
      </c>
      <c r="Q39" s="2"/>
      <c r="R39" s="19"/>
      <c r="S39" s="2"/>
      <c r="T39" s="2">
        <f>-13203.87</f>
        <v>-13203.87</v>
      </c>
      <c r="U39" s="2"/>
      <c r="V39" s="19"/>
      <c r="W39" s="2"/>
      <c r="X39" s="2">
        <f t="shared" si="2"/>
        <v>-1074.67</v>
      </c>
      <c r="Y39" s="2"/>
      <c r="Z39" s="19">
        <f t="shared" si="3"/>
        <v>8.1390531715322859E-2</v>
      </c>
    </row>
    <row r="40" spans="1:26" s="24" customFormat="1" hidden="1" outlineLevel="1" x14ac:dyDescent="0.2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>0</f>
        <v>0</v>
      </c>
      <c r="E40" s="2"/>
      <c r="F40" s="19"/>
      <c r="G40" s="2"/>
      <c r="H40" s="2">
        <f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0</f>
        <v>0</v>
      </c>
      <c r="Q40" s="2"/>
      <c r="R40" s="19"/>
      <c r="S40" s="2"/>
      <c r="T40" s="2">
        <f>-387.96</f>
        <v>-387.96</v>
      </c>
      <c r="U40" s="2"/>
      <c r="V40" s="19"/>
      <c r="W40" s="2"/>
      <c r="X40" s="2">
        <f t="shared" si="2"/>
        <v>387.96</v>
      </c>
      <c r="Y40" s="2"/>
      <c r="Z40" s="19">
        <f t="shared" si="3"/>
        <v>-1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collapsed="1" x14ac:dyDescent="0.25">
      <c r="A42" s="10"/>
      <c r="B42" s="29" t="s">
        <v>8</v>
      </c>
      <c r="C42" s="10"/>
      <c r="D42" s="4">
        <f>SUM(OSRRefD16x_0)</f>
        <v>6522.4900000000307</v>
      </c>
      <c r="E42" s="4"/>
      <c r="F42" s="12">
        <f t="shared" ref="F42:F57" si="9">IF(D$12=0,0,D42/D$12)</f>
        <v>0.76517775965932455</v>
      </c>
      <c r="G42" s="4"/>
      <c r="H42" s="4">
        <f>SUM(OSRRefH16x_0)</f>
        <v>20945.880000000008</v>
      </c>
      <c r="I42" s="4"/>
      <c r="J42" s="12">
        <f t="shared" ref="J42:J57" si="10">IF(H$12=0,0,H42/H$12)</f>
        <v>1.4287824992581839</v>
      </c>
      <c r="K42" s="4"/>
      <c r="L42" s="4">
        <f t="shared" ref="L42:L57" si="11">+D42-H42</f>
        <v>-14423.389999999978</v>
      </c>
      <c r="M42" s="4"/>
      <c r="N42" s="12">
        <f t="shared" ref="N42:N57" si="12">IF(H42=0,0,L42/H42)</f>
        <v>-0.6886027228266357</v>
      </c>
      <c r="O42" s="10"/>
      <c r="P42" s="4">
        <f>SUM(OSRRefP16x_0)</f>
        <v>1113239.83</v>
      </c>
      <c r="Q42" s="4"/>
      <c r="R42" s="12">
        <f t="shared" ref="R42:R57" si="13">IF(P$12=0,0,P42/P$12)</f>
        <v>0.71626445318414822</v>
      </c>
      <c r="S42" s="4"/>
      <c r="T42" s="4">
        <f>SUM(OSRRefT16x_0)</f>
        <v>2122101.9700000002</v>
      </c>
      <c r="U42" s="4"/>
      <c r="V42" s="12">
        <f t="shared" ref="V42:V57" si="14">IF(T$12=0,0,T42/T$12)</f>
        <v>0.73759510413874951</v>
      </c>
      <c r="W42" s="4"/>
      <c r="X42" s="4">
        <f t="shared" ref="X42:X57" si="15">+P42-T42</f>
        <v>-1008862.1400000001</v>
      </c>
      <c r="Y42" s="4"/>
      <c r="Z42" s="12">
        <f t="shared" ref="Z42:Z57" si="16">IF(T42=0,0,X42/T42)</f>
        <v>-0.47540700412242681</v>
      </c>
    </row>
    <row r="43" spans="1:26" s="24" customFormat="1" hidden="1" outlineLevel="1" x14ac:dyDescent="0.25">
      <c r="A43" s="44"/>
      <c r="B43" s="11" t="str">
        <f>CONCATENATE("          ", "5001", " - ", "PURCHASES @ COST-NEW TEXT")</f>
        <v xml:space="preserve">          5001 - PURCHASES @ COST-NEW TEXT</v>
      </c>
      <c r="C43" s="11"/>
      <c r="D43" s="2">
        <v>-108601.35</v>
      </c>
      <c r="E43" s="2"/>
      <c r="F43" s="19">
        <f t="shared" si="9"/>
        <v>-12.740431597285362</v>
      </c>
      <c r="G43" s="2"/>
      <c r="H43" s="2">
        <v>-175297.72999999998</v>
      </c>
      <c r="I43" s="2"/>
      <c r="J43" s="19">
        <f t="shared" si="10"/>
        <v>-11.957593989065447</v>
      </c>
      <c r="K43" s="2"/>
      <c r="L43" s="2">
        <f t="shared" si="11"/>
        <v>66696.379999999976</v>
      </c>
      <c r="M43" s="2"/>
      <c r="N43" s="19">
        <f t="shared" si="12"/>
        <v>-0.38047486410691106</v>
      </c>
      <c r="O43" s="11"/>
      <c r="P43" s="2">
        <v>1240595.48</v>
      </c>
      <c r="Q43" s="2"/>
      <c r="R43" s="19">
        <f t="shared" si="13"/>
        <v>0.79820575868627142</v>
      </c>
      <c r="S43" s="2"/>
      <c r="T43" s="2">
        <v>1581850.69</v>
      </c>
      <c r="U43" s="2"/>
      <c r="V43" s="19">
        <f t="shared" si="14"/>
        <v>0.54981586225213419</v>
      </c>
      <c r="W43" s="2"/>
      <c r="X43" s="2">
        <f t="shared" si="15"/>
        <v>-341255.20999999996</v>
      </c>
      <c r="Y43" s="2"/>
      <c r="Z43" s="19">
        <f t="shared" si="16"/>
        <v>-0.21573161876611754</v>
      </c>
    </row>
    <row r="44" spans="1:26" s="24" customFormat="1" hidden="1" outlineLevel="1" x14ac:dyDescent="0.25">
      <c r="A44" s="44"/>
      <c r="B44" s="11" t="str">
        <f>CONCATENATE("          ", "5002", " - ", "PURCHASES @ COST-USED TEXT")</f>
        <v xml:space="preserve">          5002 - PURCHASES @ COST-USED TEXT</v>
      </c>
      <c r="C44" s="11"/>
      <c r="D44" s="2">
        <v>-208829.28</v>
      </c>
      <c r="E44" s="2"/>
      <c r="F44" s="19">
        <f t="shared" si="9"/>
        <v>-24.49854589607175</v>
      </c>
      <c r="G44" s="2"/>
      <c r="H44" s="2">
        <v>-155785.26999999999</v>
      </c>
      <c r="I44" s="2"/>
      <c r="J44" s="19">
        <f t="shared" si="10"/>
        <v>-10.626589449486527</v>
      </c>
      <c r="K44" s="2"/>
      <c r="L44" s="2">
        <f t="shared" si="11"/>
        <v>-53044.010000000009</v>
      </c>
      <c r="M44" s="2"/>
      <c r="N44" s="19">
        <f t="shared" si="12"/>
        <v>0.34049438692117689</v>
      </c>
      <c r="O44" s="11"/>
      <c r="P44" s="2">
        <v>94234.05</v>
      </c>
      <c r="Q44" s="2"/>
      <c r="R44" s="19">
        <f t="shared" si="13"/>
        <v>6.0630691137396407E-2</v>
      </c>
      <c r="S44" s="2"/>
      <c r="T44" s="2">
        <v>212247.9</v>
      </c>
      <c r="U44" s="2"/>
      <c r="V44" s="19">
        <f t="shared" si="14"/>
        <v>7.3772615132029151E-2</v>
      </c>
      <c r="W44" s="2"/>
      <c r="X44" s="2">
        <f t="shared" si="15"/>
        <v>-118013.84999999999</v>
      </c>
      <c r="Y44" s="2"/>
      <c r="Z44" s="19">
        <f t="shared" si="16"/>
        <v>-0.55601892880918957</v>
      </c>
    </row>
    <row r="45" spans="1:26" s="24" customFormat="1" hidden="1" outlineLevel="1" x14ac:dyDescent="0.25">
      <c r="A45" s="44"/>
      <c r="B45" s="11" t="str">
        <f>CONCATENATE("          ", "5003", " - ", "PURCHASES @ COST-RENTAL TEXT")</f>
        <v xml:space="preserve">          5003 - PURCHASES @ COST-RENTAL TEXT</v>
      </c>
      <c r="C45" s="11"/>
      <c r="D45" s="2">
        <v>517.92999999999995</v>
      </c>
      <c r="E45" s="2"/>
      <c r="F45" s="19">
        <f t="shared" si="9"/>
        <v>6.0760310412181856E-2</v>
      </c>
      <c r="G45" s="2"/>
      <c r="H45" s="2"/>
      <c r="I45" s="2"/>
      <c r="J45" s="19">
        <f t="shared" si="10"/>
        <v>0</v>
      </c>
      <c r="K45" s="2"/>
      <c r="L45" s="2">
        <f t="shared" si="11"/>
        <v>517.92999999999995</v>
      </c>
      <c r="M45" s="2"/>
      <c r="N45" s="19">
        <f t="shared" si="12"/>
        <v>0</v>
      </c>
      <c r="O45" s="11"/>
      <c r="P45" s="2">
        <v>32.520000000000003</v>
      </c>
      <c r="Q45" s="2"/>
      <c r="R45" s="19">
        <f t="shared" si="13"/>
        <v>2.0923541711176919E-5</v>
      </c>
      <c r="S45" s="2"/>
      <c r="T45" s="2">
        <v>-78.400000000000006</v>
      </c>
      <c r="U45" s="2"/>
      <c r="V45" s="19">
        <f t="shared" si="14"/>
        <v>-2.7250083634990431E-5</v>
      </c>
      <c r="W45" s="2"/>
      <c r="X45" s="2">
        <f t="shared" si="15"/>
        <v>110.92000000000002</v>
      </c>
      <c r="Y45" s="2"/>
      <c r="Z45" s="19">
        <f t="shared" si="16"/>
        <v>-1.4147959183673471</v>
      </c>
    </row>
    <row r="46" spans="1:26" s="24" customFormat="1" hidden="1" outlineLevel="1" x14ac:dyDescent="0.25">
      <c r="A46" s="44"/>
      <c r="B46" s="11" t="str">
        <f>CONCATENATE("          ", "5004", " - ", "PURCHASES @ COST-DIGITAL TEXT")</f>
        <v xml:space="preserve">          5004 - PURCHASES @ COST-DIGITAL TEXT</v>
      </c>
      <c r="C46" s="11"/>
      <c r="D46" s="2">
        <v>1418.58</v>
      </c>
      <c r="E46" s="2"/>
      <c r="F46" s="19">
        <f t="shared" si="9"/>
        <v>0.16641893913176092</v>
      </c>
      <c r="G46" s="2"/>
      <c r="H46" s="2">
        <v>0.94</v>
      </c>
      <c r="I46" s="2"/>
      <c r="J46" s="19">
        <f t="shared" si="10"/>
        <v>6.4120273261504993E-5</v>
      </c>
      <c r="K46" s="2"/>
      <c r="L46" s="2">
        <f t="shared" si="11"/>
        <v>1417.6399999999999</v>
      </c>
      <c r="M46" s="2"/>
      <c r="N46" s="19">
        <f t="shared" si="12"/>
        <v>1508.127659574468</v>
      </c>
      <c r="O46" s="11"/>
      <c r="P46" s="2">
        <v>196938.11000000002</v>
      </c>
      <c r="Q46" s="2"/>
      <c r="R46" s="19">
        <f t="shared" si="13"/>
        <v>0.12671103195280897</v>
      </c>
      <c r="S46" s="2"/>
      <c r="T46" s="2">
        <v>322779.97000000003</v>
      </c>
      <c r="U46" s="2"/>
      <c r="V46" s="19">
        <f t="shared" si="14"/>
        <v>0.11219108645662886</v>
      </c>
      <c r="W46" s="2"/>
      <c r="X46" s="2">
        <f t="shared" si="15"/>
        <v>-125841.86000000002</v>
      </c>
      <c r="Y46" s="2"/>
      <c r="Z46" s="19">
        <f t="shared" si="16"/>
        <v>-0.3898688633002847</v>
      </c>
    </row>
    <row r="47" spans="1:26" s="24" customFormat="1" hidden="1" outlineLevel="1" x14ac:dyDescent="0.25">
      <c r="A47" s="44"/>
      <c r="B47" s="11" t="str">
        <f>CONCATENATE("          ", "5011", " - ", "PURCHASES @ COST-NO VALUE TEXT")</f>
        <v xml:space="preserve">          5011 - PURCHASES @ COST-NO VALUE TEXT</v>
      </c>
      <c r="C47" s="11"/>
      <c r="D47" s="2"/>
      <c r="E47" s="2"/>
      <c r="F47" s="19">
        <f t="shared" si="9"/>
        <v>0</v>
      </c>
      <c r="G47" s="2"/>
      <c r="H47" s="2">
        <v>66</v>
      </c>
      <c r="I47" s="2"/>
      <c r="J47" s="19">
        <f t="shared" si="10"/>
        <v>4.5020617396375846E-3</v>
      </c>
      <c r="K47" s="2"/>
      <c r="L47" s="2">
        <f t="shared" si="11"/>
        <v>-66</v>
      </c>
      <c r="M47" s="2"/>
      <c r="N47" s="19">
        <f t="shared" si="12"/>
        <v>-1</v>
      </c>
      <c r="O47" s="11"/>
      <c r="P47" s="2">
        <v>67.17</v>
      </c>
      <c r="Q47" s="2"/>
      <c r="R47" s="19">
        <f t="shared" si="13"/>
        <v>4.3217536800115422E-5</v>
      </c>
      <c r="S47" s="2"/>
      <c r="T47" s="2">
        <v>3741</v>
      </c>
      <c r="U47" s="2"/>
      <c r="V47" s="19">
        <f t="shared" si="14"/>
        <v>1.3002877918175918E-3</v>
      </c>
      <c r="W47" s="2"/>
      <c r="X47" s="2">
        <f t="shared" si="15"/>
        <v>-3673.83</v>
      </c>
      <c r="Y47" s="2"/>
      <c r="Z47" s="19">
        <f t="shared" si="16"/>
        <v>-0.98204490777866882</v>
      </c>
    </row>
    <row r="48" spans="1:26" s="24" customFormat="1" hidden="1" outlineLevel="1" x14ac:dyDescent="0.25">
      <c r="A48" s="44"/>
      <c r="B48" s="11" t="str">
        <f>CONCATENATE("          ", "5013", " - ", "PURCHASES @ COST-TRADE BOOKS")</f>
        <v xml:space="preserve">          5013 - PURCHASES @ COST-TRADE BOOKS</v>
      </c>
      <c r="C48" s="11"/>
      <c r="D48" s="2">
        <v>611.1</v>
      </c>
      <c r="E48" s="2"/>
      <c r="F48" s="19">
        <f t="shared" si="9"/>
        <v>7.1690432477138494E-2</v>
      </c>
      <c r="G48" s="2"/>
      <c r="H48" s="2">
        <v>10.79</v>
      </c>
      <c r="I48" s="2"/>
      <c r="J48" s="19">
        <f t="shared" si="10"/>
        <v>7.3601888137408392E-4</v>
      </c>
      <c r="K48" s="2"/>
      <c r="L48" s="2">
        <f t="shared" si="11"/>
        <v>600.31000000000006</v>
      </c>
      <c r="M48" s="2"/>
      <c r="N48" s="19">
        <f t="shared" si="12"/>
        <v>55.63577386468954</v>
      </c>
      <c r="O48" s="11"/>
      <c r="P48" s="2">
        <v>2094.7399999999998</v>
      </c>
      <c r="Q48" s="2"/>
      <c r="R48" s="19">
        <f t="shared" si="13"/>
        <v>1.3477669054142291E-3</v>
      </c>
      <c r="S48" s="2"/>
      <c r="T48" s="2">
        <v>698.14</v>
      </c>
      <c r="U48" s="2"/>
      <c r="V48" s="19">
        <f t="shared" si="14"/>
        <v>2.4265782383842117E-4</v>
      </c>
      <c r="W48" s="2"/>
      <c r="X48" s="2">
        <f t="shared" si="15"/>
        <v>1396.6</v>
      </c>
      <c r="Y48" s="2"/>
      <c r="Z48" s="19">
        <f t="shared" si="16"/>
        <v>2.0004583607872344</v>
      </c>
    </row>
    <row r="49" spans="1:26" s="24" customFormat="1" hidden="1" outlineLevel="1" x14ac:dyDescent="0.25">
      <c r="A49" s="44"/>
      <c r="B49" s="11" t="str">
        <f>CONCATENATE("          ", "5014", " - ", "PURCHASES @ COST-REMAINDERS")</f>
        <v xml:space="preserve">          5014 - PURCHASES @ COST-REMAINDERS</v>
      </c>
      <c r="C49" s="11"/>
      <c r="D49" s="2"/>
      <c r="E49" s="2"/>
      <c r="F49" s="19">
        <f t="shared" si="9"/>
        <v>0</v>
      </c>
      <c r="G49" s="2"/>
      <c r="H49" s="2">
        <v>114.84</v>
      </c>
      <c r="I49" s="2"/>
      <c r="J49" s="19">
        <f t="shared" si="10"/>
        <v>7.8335874269693986E-3</v>
      </c>
      <c r="K49" s="2"/>
      <c r="L49" s="2">
        <f t="shared" si="11"/>
        <v>-114.84</v>
      </c>
      <c r="M49" s="2"/>
      <c r="N49" s="19">
        <f t="shared" si="12"/>
        <v>-1</v>
      </c>
      <c r="O49" s="11"/>
      <c r="P49" s="2">
        <v>90.41</v>
      </c>
      <c r="Q49" s="2"/>
      <c r="R49" s="19">
        <f t="shared" si="13"/>
        <v>5.8170276940575182E-5</v>
      </c>
      <c r="S49" s="2"/>
      <c r="T49" s="2">
        <v>442.35</v>
      </c>
      <c r="U49" s="2"/>
      <c r="V49" s="19">
        <f t="shared" si="14"/>
        <v>1.5375095020329105E-4</v>
      </c>
      <c r="W49" s="2"/>
      <c r="X49" s="2">
        <f t="shared" si="15"/>
        <v>-351.94000000000005</v>
      </c>
      <c r="Y49" s="2"/>
      <c r="Z49" s="19">
        <f t="shared" si="16"/>
        <v>-0.79561433254210479</v>
      </c>
    </row>
    <row r="50" spans="1:26" s="24" customFormat="1" hidden="1" outlineLevel="1" x14ac:dyDescent="0.25">
      <c r="A50" s="44"/>
      <c r="B50" s="11" t="str">
        <f>CONCATENATE("          ", "5018", " - ", "PURCHASES @ COST-STUDY GUIDES")</f>
        <v xml:space="preserve">          5018 - PURCHASES @ COST-STUDY GUIDES</v>
      </c>
      <c r="C50" s="11"/>
      <c r="D50" s="2">
        <v>106.34</v>
      </c>
      <c r="E50" s="2"/>
      <c r="F50" s="19">
        <f t="shared" si="9"/>
        <v>1.2475144149270015E-2</v>
      </c>
      <c r="G50" s="2"/>
      <c r="H50" s="2"/>
      <c r="I50" s="2"/>
      <c r="J50" s="19">
        <f t="shared" si="10"/>
        <v>0</v>
      </c>
      <c r="K50" s="2"/>
      <c r="L50" s="2">
        <f t="shared" si="11"/>
        <v>106.34</v>
      </c>
      <c r="M50" s="2"/>
      <c r="N50" s="19">
        <f t="shared" si="12"/>
        <v>0</v>
      </c>
      <c r="O50" s="11"/>
      <c r="P50" s="2">
        <v>106.34</v>
      </c>
      <c r="Q50" s="2"/>
      <c r="R50" s="19">
        <f t="shared" si="13"/>
        <v>6.8419724033411849E-5</v>
      </c>
      <c r="S50" s="2"/>
      <c r="T50" s="2">
        <v>802.09</v>
      </c>
      <c r="U50" s="2"/>
      <c r="V50" s="19">
        <f t="shared" si="14"/>
        <v>2.7878851508660046E-4</v>
      </c>
      <c r="W50" s="2"/>
      <c r="X50" s="2">
        <f t="shared" si="15"/>
        <v>-695.75</v>
      </c>
      <c r="Y50" s="2"/>
      <c r="Z50" s="19">
        <f t="shared" si="16"/>
        <v>-0.86742136169257811</v>
      </c>
    </row>
    <row r="51" spans="1:26" s="24" customFormat="1" hidden="1" outlineLevel="1" x14ac:dyDescent="0.25">
      <c r="A51" s="44"/>
      <c r="B51" s="11" t="str">
        <f>CONCATENATE("          ", "5200", " - ", "PURCHASES OFFSET")</f>
        <v xml:space="preserve">          5200 - PURCHASES OFFSET</v>
      </c>
      <c r="C51" s="11"/>
      <c r="D51" s="2">
        <v>313747.15000000002</v>
      </c>
      <c r="E51" s="2"/>
      <c r="F51" s="19">
        <f t="shared" si="9"/>
        <v>36.806854642398363</v>
      </c>
      <c r="G51" s="2"/>
      <c r="H51" s="2">
        <v>330700</v>
      </c>
      <c r="I51" s="2"/>
      <c r="J51" s="19">
        <f t="shared" si="10"/>
        <v>22.558057837850747</v>
      </c>
      <c r="K51" s="2"/>
      <c r="L51" s="2">
        <f t="shared" si="11"/>
        <v>-16952.849999999977</v>
      </c>
      <c r="M51" s="2"/>
      <c r="N51" s="19">
        <f t="shared" si="12"/>
        <v>-5.1263531902025934E-2</v>
      </c>
      <c r="O51" s="11"/>
      <c r="P51" s="2">
        <v>-1236227.33</v>
      </c>
      <c r="Q51" s="2"/>
      <c r="R51" s="19">
        <f t="shared" si="13"/>
        <v>-0.79539526764304647</v>
      </c>
      <c r="S51" s="2"/>
      <c r="T51" s="2">
        <v>-1480875</v>
      </c>
      <c r="U51" s="2"/>
      <c r="V51" s="19">
        <f t="shared" si="14"/>
        <v>-0.51471897452763338</v>
      </c>
      <c r="W51" s="2"/>
      <c r="X51" s="2">
        <f t="shared" si="15"/>
        <v>244647.66999999993</v>
      </c>
      <c r="Y51" s="2"/>
      <c r="Z51" s="19">
        <f t="shared" si="16"/>
        <v>-0.16520480796826195</v>
      </c>
    </row>
    <row r="52" spans="1:26" s="24" customFormat="1" hidden="1" outlineLevel="1" x14ac:dyDescent="0.25">
      <c r="A52" s="44"/>
      <c r="B52" s="11" t="str">
        <f>CONCATENATE("          ", "5300", " - ", "COG$ OFFSET")</f>
        <v xml:space="preserve">          5300 - COG$ OFFSET</v>
      </c>
      <c r="C52" s="11"/>
      <c r="D52" s="2">
        <v>6147</v>
      </c>
      <c r="E52" s="2"/>
      <c r="F52" s="19">
        <f t="shared" si="9"/>
        <v>0.72112761976267437</v>
      </c>
      <c r="G52" s="2"/>
      <c r="H52" s="2">
        <v>20379</v>
      </c>
      <c r="I52" s="2"/>
      <c r="J52" s="19">
        <f t="shared" si="10"/>
        <v>1.390113881698096</v>
      </c>
      <c r="K52" s="2"/>
      <c r="L52" s="2">
        <f t="shared" si="11"/>
        <v>-14232</v>
      </c>
      <c r="M52" s="2"/>
      <c r="N52" s="19">
        <f t="shared" si="12"/>
        <v>-0.69836596496393344</v>
      </c>
      <c r="O52" s="11"/>
      <c r="P52" s="2">
        <v>769078</v>
      </c>
      <c r="Q52" s="2"/>
      <c r="R52" s="19">
        <f t="shared" si="13"/>
        <v>0.49482889336250063</v>
      </c>
      <c r="S52" s="2"/>
      <c r="T52" s="2">
        <v>1438765</v>
      </c>
      <c r="U52" s="2"/>
      <c r="V52" s="19">
        <f t="shared" si="14"/>
        <v>0.50008248190174753</v>
      </c>
      <c r="W52" s="2"/>
      <c r="X52" s="2">
        <f t="shared" si="15"/>
        <v>-669687</v>
      </c>
      <c r="Y52" s="2"/>
      <c r="Z52" s="19">
        <f t="shared" si="16"/>
        <v>-0.46545961293192423</v>
      </c>
    </row>
    <row r="53" spans="1:26" s="24" customFormat="1" hidden="1" outlineLevel="1" x14ac:dyDescent="0.25">
      <c r="A53" s="44"/>
      <c r="B53" s="11" t="str">
        <f>CONCATENATE("          ", "5501", " - ", "FREIGHT-IN-NEW TEXT")</f>
        <v xml:space="preserve">          5501 - FREIGHT-IN-NEW TEXT</v>
      </c>
      <c r="C53" s="11"/>
      <c r="D53" s="2">
        <v>990.19</v>
      </c>
      <c r="E53" s="2"/>
      <c r="F53" s="19">
        <f t="shared" si="9"/>
        <v>0.11616290187291403</v>
      </c>
      <c r="G53" s="2"/>
      <c r="H53" s="2">
        <v>490.07</v>
      </c>
      <c r="I53" s="2"/>
      <c r="J53" s="19">
        <f t="shared" si="10"/>
        <v>3.3429172677942293E-2</v>
      </c>
      <c r="K53" s="2"/>
      <c r="L53" s="2">
        <f t="shared" si="11"/>
        <v>500.12000000000006</v>
      </c>
      <c r="M53" s="2"/>
      <c r="N53" s="19">
        <f t="shared" si="12"/>
        <v>1.020507274470994</v>
      </c>
      <c r="O53" s="11"/>
      <c r="P53" s="2">
        <v>35048.81</v>
      </c>
      <c r="Q53" s="2"/>
      <c r="R53" s="19">
        <f t="shared" si="13"/>
        <v>2.2550591573250754E-2</v>
      </c>
      <c r="S53" s="2"/>
      <c r="T53" s="2">
        <v>34507.550000000003</v>
      </c>
      <c r="U53" s="2"/>
      <c r="V53" s="19">
        <f t="shared" si="14"/>
        <v>1.1994051320645589E-2</v>
      </c>
      <c r="W53" s="2"/>
      <c r="X53" s="2">
        <f t="shared" si="15"/>
        <v>541.25999999999476</v>
      </c>
      <c r="Y53" s="2"/>
      <c r="Z53" s="19">
        <f t="shared" si="16"/>
        <v>1.5685263080108404E-2</v>
      </c>
    </row>
    <row r="54" spans="1:26" s="24" customFormat="1" hidden="1" outlineLevel="1" x14ac:dyDescent="0.25">
      <c r="A54" s="44"/>
      <c r="B54" s="11" t="str">
        <f>CONCATENATE("          ", "5502", " - ", "FREIGHT-IN-USED TEXT")</f>
        <v xml:space="preserve">          5502 - FREIGHT-IN-USED TEXT</v>
      </c>
      <c r="C54" s="11"/>
      <c r="D54" s="2">
        <v>388.37</v>
      </c>
      <c r="E54" s="2"/>
      <c r="F54" s="19">
        <f t="shared" si="9"/>
        <v>4.5561140993530147E-2</v>
      </c>
      <c r="G54" s="2"/>
      <c r="H54" s="2">
        <v>237.65</v>
      </c>
      <c r="I54" s="2"/>
      <c r="J54" s="19">
        <f t="shared" si="10"/>
        <v>1.6210832915528366E-2</v>
      </c>
      <c r="K54" s="2"/>
      <c r="L54" s="2">
        <f t="shared" si="11"/>
        <v>150.72</v>
      </c>
      <c r="M54" s="2"/>
      <c r="N54" s="19">
        <f t="shared" si="12"/>
        <v>0.63420997264885337</v>
      </c>
      <c r="O54" s="11"/>
      <c r="P54" s="2">
        <v>11133.09</v>
      </c>
      <c r="Q54" s="2"/>
      <c r="R54" s="19">
        <f t="shared" si="13"/>
        <v>7.1630895753163164E-3</v>
      </c>
      <c r="S54" s="2"/>
      <c r="T54" s="2">
        <v>7090.12</v>
      </c>
      <c r="U54" s="2"/>
      <c r="V54" s="19">
        <f t="shared" si="14"/>
        <v>2.4643668747719176E-3</v>
      </c>
      <c r="W54" s="2"/>
      <c r="X54" s="2">
        <f t="shared" si="15"/>
        <v>4042.9700000000003</v>
      </c>
      <c r="Y54" s="2"/>
      <c r="Z54" s="19">
        <f t="shared" si="16"/>
        <v>0.57022589180437011</v>
      </c>
    </row>
    <row r="55" spans="1:26" s="24" customFormat="1" hidden="1" outlineLevel="1" x14ac:dyDescent="0.25">
      <c r="A55" s="44"/>
      <c r="B55" s="11" t="str">
        <f>CONCATENATE("          ", "5504", " - ", "FREIGHT-IN-DIGITAL TEXT")</f>
        <v xml:space="preserve">          5504 - FREIGHT-IN-DIGITAL TEXT</v>
      </c>
      <c r="C55" s="11"/>
      <c r="D55" s="2"/>
      <c r="E55" s="2"/>
      <c r="F55" s="19">
        <f t="shared" si="9"/>
        <v>0</v>
      </c>
      <c r="G55" s="2"/>
      <c r="H55" s="2">
        <v>5</v>
      </c>
      <c r="I55" s="2"/>
      <c r="J55" s="19">
        <f t="shared" si="10"/>
        <v>3.4106528330587766E-4</v>
      </c>
      <c r="K55" s="2"/>
      <c r="L55" s="2">
        <f t="shared" si="11"/>
        <v>-5</v>
      </c>
      <c r="M55" s="2"/>
      <c r="N55" s="19">
        <f t="shared" si="12"/>
        <v>-1</v>
      </c>
      <c r="O55" s="11"/>
      <c r="P55" s="2">
        <v>21.98</v>
      </c>
      <c r="Q55" s="2"/>
      <c r="R55" s="19">
        <f t="shared" si="13"/>
        <v>1.414204940995291E-5</v>
      </c>
      <c r="S55" s="2"/>
      <c r="T55" s="2">
        <v>105.97</v>
      </c>
      <c r="U55" s="2"/>
      <c r="V55" s="19">
        <f t="shared" si="14"/>
        <v>3.683279799489714E-5</v>
      </c>
      <c r="W55" s="2"/>
      <c r="X55" s="2">
        <f t="shared" si="15"/>
        <v>-83.99</v>
      </c>
      <c r="Y55" s="2"/>
      <c r="Z55" s="19">
        <f t="shared" si="16"/>
        <v>-0.79258280645465695</v>
      </c>
    </row>
    <row r="56" spans="1:26" s="24" customFormat="1" hidden="1" outlineLevel="1" x14ac:dyDescent="0.25">
      <c r="A56" s="44"/>
      <c r="B56" s="11" t="str">
        <f>CONCATENATE("          ", "5513", " - ", "FREIGHT-IN-TRADE BOOKS")</f>
        <v xml:space="preserve">          5513 - FREIGHT-IN-TRADE BOOKS</v>
      </c>
      <c r="C56" s="11"/>
      <c r="D56" s="2">
        <v>26.46</v>
      </c>
      <c r="E56" s="2"/>
      <c r="F56" s="19">
        <f t="shared" si="9"/>
        <v>3.1041218185977491E-3</v>
      </c>
      <c r="G56" s="2"/>
      <c r="H56" s="2">
        <v>12.33</v>
      </c>
      <c r="I56" s="2"/>
      <c r="J56" s="19">
        <f t="shared" si="10"/>
        <v>8.4106698863229432E-4</v>
      </c>
      <c r="K56" s="2"/>
      <c r="L56" s="2">
        <f t="shared" si="11"/>
        <v>14.13</v>
      </c>
      <c r="M56" s="2"/>
      <c r="N56" s="19">
        <f t="shared" si="12"/>
        <v>1.1459854014598541</v>
      </c>
      <c r="O56" s="11"/>
      <c r="P56" s="2">
        <v>26.46</v>
      </c>
      <c r="Q56" s="2"/>
      <c r="R56" s="19">
        <f t="shared" si="13"/>
        <v>1.7024505340643949E-5</v>
      </c>
      <c r="S56" s="2"/>
      <c r="T56" s="2">
        <v>12.33</v>
      </c>
      <c r="U56" s="2"/>
      <c r="V56" s="19">
        <f t="shared" si="14"/>
        <v>4.2856317757580613E-6</v>
      </c>
      <c r="W56" s="2"/>
      <c r="X56" s="2">
        <f t="shared" si="15"/>
        <v>14.13</v>
      </c>
      <c r="Y56" s="2"/>
      <c r="Z56" s="19">
        <f t="shared" si="16"/>
        <v>1.1459854014598541</v>
      </c>
    </row>
    <row r="57" spans="1:26" s="24" customFormat="1" hidden="1" outlineLevel="1" x14ac:dyDescent="0.25">
      <c r="A57" s="44"/>
      <c r="B57" s="11" t="str">
        <f>CONCATENATE("          ", "5518", " - ", "FREIGHT-IN-STUDY GUIDES")</f>
        <v xml:space="preserve">          5518 - FREIGHT-IN-STUDY GUIDES</v>
      </c>
      <c r="C57" s="11"/>
      <c r="D57" s="2"/>
      <c r="E57" s="2"/>
      <c r="F57" s="19">
        <f t="shared" si="9"/>
        <v>0</v>
      </c>
      <c r="G57" s="2"/>
      <c r="H57" s="2">
        <v>12.26</v>
      </c>
      <c r="I57" s="2"/>
      <c r="J57" s="19">
        <f t="shared" si="10"/>
        <v>8.3629207466601196E-4</v>
      </c>
      <c r="K57" s="2"/>
      <c r="L57" s="2">
        <f t="shared" si="11"/>
        <v>-12.26</v>
      </c>
      <c r="M57" s="2"/>
      <c r="N57" s="19">
        <f t="shared" si="12"/>
        <v>-1</v>
      </c>
      <c r="O57" s="11"/>
      <c r="P57" s="2"/>
      <c r="Q57" s="2"/>
      <c r="R57" s="19">
        <f t="shared" si="13"/>
        <v>0</v>
      </c>
      <c r="S57" s="2"/>
      <c r="T57" s="2">
        <v>12.26</v>
      </c>
      <c r="U57" s="2"/>
      <c r="V57" s="19">
        <f t="shared" si="14"/>
        <v>4.2613013439411058E-6</v>
      </c>
      <c r="W57" s="2"/>
      <c r="X57" s="2">
        <f t="shared" si="15"/>
        <v>-12.26</v>
      </c>
      <c r="Y57" s="2"/>
      <c r="Z57" s="19">
        <f t="shared" si="16"/>
        <v>-1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10"/>
      <c r="B59" s="28" t="s">
        <v>6</v>
      </c>
      <c r="C59" s="28"/>
      <c r="D59" s="20">
        <f>D12-D42</f>
        <v>2001.6599999999689</v>
      </c>
      <c r="E59" s="14"/>
      <c r="F59" s="22">
        <f>IF(D$12=0,0,D59/D$12)</f>
        <v>0.2348222403406755</v>
      </c>
      <c r="G59" s="14"/>
      <c r="H59" s="20">
        <f>H12-H42</f>
        <v>-6285.9300000000112</v>
      </c>
      <c r="I59" s="14"/>
      <c r="J59" s="22">
        <f>IF(H$12=0,0,H59/H$12)</f>
        <v>-0.42878249925818385</v>
      </c>
      <c r="K59" s="15"/>
      <c r="L59" s="20">
        <f>+D59-H59</f>
        <v>8287.5899999999801</v>
      </c>
      <c r="M59" s="15"/>
      <c r="N59" s="22">
        <f>IF(H59=0,0,L59/H59)</f>
        <v>-1.3184349809813289</v>
      </c>
      <c r="O59" s="29"/>
      <c r="P59" s="20">
        <f>P12-P42</f>
        <v>440990.34999999963</v>
      </c>
      <c r="Q59" s="14"/>
      <c r="R59" s="22">
        <f>IF(P$12=0,0,P59/P$12)</f>
        <v>0.28373554681585178</v>
      </c>
      <c r="S59" s="14"/>
      <c r="T59" s="20">
        <f>T12-T42</f>
        <v>754953.41999999946</v>
      </c>
      <c r="U59" s="14"/>
      <c r="V59" s="22">
        <f>IF(T$12=0,0,T59/T$12)</f>
        <v>0.26240489586125054</v>
      </c>
      <c r="W59" s="15"/>
      <c r="X59" s="20">
        <f>+P59-T59</f>
        <v>-313963.06999999983</v>
      </c>
      <c r="Y59" s="15"/>
      <c r="Z59" s="22">
        <f>IF(T59=0,0,X59/T59)</f>
        <v>-0.41587078312725578</v>
      </c>
    </row>
    <row r="60" spans="1:26" x14ac:dyDescent="0.25">
      <c r="A60" s="9"/>
      <c r="B60" s="10"/>
      <c r="C60" s="9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7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9" t="s">
        <v>9</v>
      </c>
      <c r="C61" s="10"/>
      <c r="D61" s="21">
        <f>SUM(OSRRefD22x_0)</f>
        <v>43215.05000000001</v>
      </c>
      <c r="E61" s="21"/>
      <c r="F61" s="35">
        <f t="shared" ref="F61:F71" si="17">IF(D$12=0,0,D61/D$12)</f>
        <v>5.0697195614812047</v>
      </c>
      <c r="G61" s="21"/>
      <c r="H61" s="21">
        <f>SUM(OSRRefH22x_0)</f>
        <v>48723.32</v>
      </c>
      <c r="I61" s="21"/>
      <c r="J61" s="35">
        <f t="shared" ref="J61:J71" si="18">IF(H$12=0,0,H61/H$12)</f>
        <v>3.3235665878805869</v>
      </c>
      <c r="K61" s="4"/>
      <c r="L61" s="21">
        <f t="shared" ref="L61:L71" si="19">+D61-H61</f>
        <v>-5508.2699999999895</v>
      </c>
      <c r="M61" s="4"/>
      <c r="N61" s="35">
        <f t="shared" ref="N61:N71" si="20">IF(H61=0,0,L61/H61)</f>
        <v>-0.11305202519040143</v>
      </c>
      <c r="O61" s="10"/>
      <c r="P61" s="21">
        <f>SUM(OSRRefP22x_0)</f>
        <v>212932.37000000002</v>
      </c>
      <c r="Q61" s="21"/>
      <c r="R61" s="35">
        <f t="shared" ref="R61:R71" si="21">IF(P$12=0,0,P61/P$12)</f>
        <v>0.1370018242729015</v>
      </c>
      <c r="S61" s="21"/>
      <c r="T61" s="21">
        <f>SUM(OSRRefT22x_0)</f>
        <v>209249.05</v>
      </c>
      <c r="U61" s="21"/>
      <c r="V61" s="35">
        <f t="shared" ref="V61:V71" si="22">IF(T$12=0,0,T61/T$12)</f>
        <v>7.273028205411089E-2</v>
      </c>
      <c r="W61" s="4"/>
      <c r="X61" s="21">
        <f t="shared" ref="X61:X71" si="23">+P61-T61</f>
        <v>3683.3200000000361</v>
      </c>
      <c r="Y61" s="4"/>
      <c r="Z61" s="35">
        <f t="shared" ref="Z61:Z71" si="24">IF(T61=0,0,X61/T61)</f>
        <v>1.7602564981776675E-2</v>
      </c>
    </row>
    <row r="62" spans="1:26" s="26" customFormat="1" outlineLevel="1" collapsed="1" x14ac:dyDescent="0.25">
      <c r="A62" s="27"/>
      <c r="B62" s="13" t="str">
        <f>CONCATENATE("     ","*Benefits                                         ")</f>
        <v xml:space="preserve">     *Benefits                                         </v>
      </c>
      <c r="C62" s="13"/>
      <c r="D62" s="1">
        <f>SUM(OSRRefD22_0x_0)</f>
        <v>11425.13</v>
      </c>
      <c r="E62" s="1"/>
      <c r="F62" s="5">
        <f t="shared" si="17"/>
        <v>1.34032484177308</v>
      </c>
      <c r="G62" s="1"/>
      <c r="H62" s="1">
        <f>SUM(OSRRefH22_0x_0)</f>
        <v>8764.2699999999986</v>
      </c>
      <c r="I62" s="1"/>
      <c r="J62" s="5">
        <f t="shared" si="18"/>
        <v>0.59783764610384071</v>
      </c>
      <c r="K62" s="1"/>
      <c r="L62" s="1">
        <f t="shared" si="19"/>
        <v>2660.8600000000006</v>
      </c>
      <c r="M62" s="1"/>
      <c r="N62" s="5">
        <f t="shared" si="20"/>
        <v>0.30360315234469054</v>
      </c>
      <c r="O62" s="13"/>
      <c r="P62" s="1">
        <f>SUM(OSRRefP22_0x_0)</f>
        <v>57037.840000000004</v>
      </c>
      <c r="Q62" s="1"/>
      <c r="R62" s="5">
        <f t="shared" si="21"/>
        <v>3.6698450933438966E-2</v>
      </c>
      <c r="S62" s="1"/>
      <c r="T62" s="1">
        <f>SUM(OSRRefT22_0x_0)</f>
        <v>51347.56</v>
      </c>
      <c r="U62" s="1"/>
      <c r="V62" s="5">
        <f t="shared" si="22"/>
        <v>1.7847261536386341E-2</v>
      </c>
      <c r="W62" s="1"/>
      <c r="X62" s="1">
        <f t="shared" si="23"/>
        <v>5690.2800000000061</v>
      </c>
      <c r="Y62" s="1"/>
      <c r="Z62" s="5">
        <f t="shared" si="24"/>
        <v>0.11081889772366996</v>
      </c>
    </row>
    <row r="63" spans="1:26" s="24" customFormat="1" hidden="1" outlineLevel="2" x14ac:dyDescent="0.25">
      <c r="A63" s="25"/>
      <c r="B63" s="11" t="str">
        <f>CONCATENATE("          ", "6111", " - ", "F.I.C.A.")</f>
        <v xml:space="preserve">          6111 - F.I.C.A.</v>
      </c>
      <c r="C63" s="11"/>
      <c r="D63" s="6">
        <v>1724.83</v>
      </c>
      <c r="E63" s="2"/>
      <c r="F63" s="7">
        <f t="shared" si="17"/>
        <v>0.20234627499516081</v>
      </c>
      <c r="G63" s="2"/>
      <c r="H63" s="6">
        <v>1472.33</v>
      </c>
      <c r="I63" s="2"/>
      <c r="J63" s="7">
        <f t="shared" si="18"/>
        <v>0.10043212971394856</v>
      </c>
      <c r="K63" s="2"/>
      <c r="L63" s="6">
        <f t="shared" si="19"/>
        <v>252.5</v>
      </c>
      <c r="M63" s="2"/>
      <c r="N63" s="7">
        <f t="shared" si="20"/>
        <v>0.17149687909639824</v>
      </c>
      <c r="O63" s="11"/>
      <c r="P63" s="6">
        <v>10947.47</v>
      </c>
      <c r="Q63" s="2"/>
      <c r="R63" s="7">
        <f t="shared" si="21"/>
        <v>7.0436606757951397E-3</v>
      </c>
      <c r="S63" s="2"/>
      <c r="T63" s="6">
        <v>9075.3799999999992</v>
      </c>
      <c r="U63" s="2"/>
      <c r="V63" s="7">
        <f t="shared" si="22"/>
        <v>3.1543987757566253E-3</v>
      </c>
      <c r="W63" s="2"/>
      <c r="X63" s="6">
        <f t="shared" si="23"/>
        <v>1872.0900000000001</v>
      </c>
      <c r="Y63" s="2"/>
      <c r="Z63" s="7">
        <f t="shared" si="24"/>
        <v>0.20628227137596444</v>
      </c>
    </row>
    <row r="64" spans="1:26" s="24" customFormat="1" hidden="1" outlineLevel="2" x14ac:dyDescent="0.25">
      <c r="A64" s="25"/>
      <c r="B64" s="11" t="str">
        <f>CONCATENATE("          ", "6112", " - ", "COMPENSATION INSURANCE")</f>
        <v xml:space="preserve">          6112 - COMPENSATION INSURANCE</v>
      </c>
      <c r="C64" s="11"/>
      <c r="D64" s="6">
        <v>144.18</v>
      </c>
      <c r="E64" s="2"/>
      <c r="F64" s="7">
        <f t="shared" si="17"/>
        <v>1.6914296440114267E-2</v>
      </c>
      <c r="G64" s="2"/>
      <c r="H64" s="6">
        <v>74.48</v>
      </c>
      <c r="I64" s="2"/>
      <c r="J64" s="7">
        <f t="shared" si="18"/>
        <v>5.0805084601243536E-3</v>
      </c>
      <c r="K64" s="2"/>
      <c r="L64" s="6">
        <f t="shared" si="19"/>
        <v>69.7</v>
      </c>
      <c r="M64" s="2"/>
      <c r="N64" s="7">
        <f t="shared" si="20"/>
        <v>0.9358216970998926</v>
      </c>
      <c r="O64" s="11"/>
      <c r="P64" s="6">
        <v>667.35</v>
      </c>
      <c r="Q64" s="2"/>
      <c r="R64" s="7">
        <f t="shared" si="21"/>
        <v>4.2937655476488055E-4</v>
      </c>
      <c r="S64" s="2"/>
      <c r="T64" s="6">
        <v>268.06</v>
      </c>
      <c r="U64" s="2"/>
      <c r="V64" s="7">
        <f t="shared" si="22"/>
        <v>9.3171650755045085E-5</v>
      </c>
      <c r="W64" s="2"/>
      <c r="X64" s="6">
        <f t="shared" si="23"/>
        <v>399.29</v>
      </c>
      <c r="Y64" s="2"/>
      <c r="Z64" s="7">
        <f t="shared" si="24"/>
        <v>1.4895545773334329</v>
      </c>
    </row>
    <row r="65" spans="1:26" s="24" customFormat="1" hidden="1" outlineLevel="2" x14ac:dyDescent="0.25">
      <c r="A65" s="25"/>
      <c r="B65" s="11" t="str">
        <f>CONCATENATE("          ", "6113", " - ", "GROUP INSURANCE")</f>
        <v xml:space="preserve">          6113 - GROUP INSURANCE</v>
      </c>
      <c r="C65" s="11"/>
      <c r="D65" s="6">
        <v>4248.21</v>
      </c>
      <c r="E65" s="2"/>
      <c r="F65" s="7">
        <f t="shared" si="17"/>
        <v>0.49837344485960478</v>
      </c>
      <c r="G65" s="2"/>
      <c r="H65" s="6">
        <v>4168.57</v>
      </c>
      <c r="I65" s="2"/>
      <c r="J65" s="7">
        <f t="shared" si="18"/>
        <v>0.28435090160607646</v>
      </c>
      <c r="K65" s="2"/>
      <c r="L65" s="6">
        <f t="shared" si="19"/>
        <v>79.640000000000327</v>
      </c>
      <c r="M65" s="2"/>
      <c r="N65" s="7">
        <f t="shared" si="20"/>
        <v>1.9104872894062073E-2</v>
      </c>
      <c r="O65" s="11"/>
      <c r="P65" s="6">
        <v>21106.84</v>
      </c>
      <c r="Q65" s="2"/>
      <c r="R65" s="7">
        <f t="shared" si="21"/>
        <v>1.3580253601818493E-2</v>
      </c>
      <c r="S65" s="2"/>
      <c r="T65" s="6">
        <v>20842.849999999999</v>
      </c>
      <c r="U65" s="2"/>
      <c r="V65" s="7">
        <f t="shared" si="22"/>
        <v>7.2445077256576562E-3</v>
      </c>
      <c r="W65" s="2"/>
      <c r="X65" s="6">
        <f t="shared" si="23"/>
        <v>263.9900000000016</v>
      </c>
      <c r="Y65" s="2"/>
      <c r="Z65" s="7">
        <f t="shared" si="24"/>
        <v>1.2665734292575229E-2</v>
      </c>
    </row>
    <row r="66" spans="1:26" s="24" customFormat="1" hidden="1" outlineLevel="2" x14ac:dyDescent="0.25">
      <c r="A66" s="25"/>
      <c r="B66" s="11" t="str">
        <f>CONCATENATE("          ", "6114", " - ", "STATE UNEMPLOYMENT INSURANCE")</f>
        <v xml:space="preserve">          6114 - STATE UNEMPLOYMENT INSURANCE</v>
      </c>
      <c r="C66" s="11"/>
      <c r="D66" s="6">
        <v>113.59</v>
      </c>
      <c r="E66" s="2"/>
      <c r="F66" s="7">
        <f t="shared" si="17"/>
        <v>1.3325668835015809E-2</v>
      </c>
      <c r="G66" s="2"/>
      <c r="H66" s="6">
        <v>56.95</v>
      </c>
      <c r="I66" s="2"/>
      <c r="J66" s="7">
        <f t="shared" si="18"/>
        <v>3.8847335768539466E-3</v>
      </c>
      <c r="K66" s="2"/>
      <c r="L66" s="6">
        <f t="shared" si="19"/>
        <v>56.64</v>
      </c>
      <c r="M66" s="2"/>
      <c r="N66" s="7">
        <f t="shared" si="20"/>
        <v>0.99455662862159788</v>
      </c>
      <c r="O66" s="11"/>
      <c r="P66" s="6">
        <v>382.75</v>
      </c>
      <c r="Q66" s="2"/>
      <c r="R66" s="7">
        <f t="shared" si="21"/>
        <v>2.4626339452499892E-4</v>
      </c>
      <c r="S66" s="2"/>
      <c r="T66" s="6">
        <v>303.44</v>
      </c>
      <c r="U66" s="2"/>
      <c r="V66" s="7">
        <f t="shared" si="22"/>
        <v>1.0546894615052929E-4</v>
      </c>
      <c r="W66" s="2"/>
      <c r="X66" s="6">
        <f t="shared" si="23"/>
        <v>79.31</v>
      </c>
      <c r="Y66" s="2"/>
      <c r="Z66" s="7">
        <f t="shared" si="24"/>
        <v>0.26136962826258897</v>
      </c>
    </row>
    <row r="67" spans="1:26" s="24" customFormat="1" hidden="1" outlineLevel="2" x14ac:dyDescent="0.25">
      <c r="A67" s="25"/>
      <c r="B67" s="11" t="str">
        <f>CONCATENATE("          ", "6115", " - ", "P.E.R.S.")</f>
        <v xml:space="preserve">          6115 - P.E.R.S.</v>
      </c>
      <c r="C67" s="11"/>
      <c r="D67" s="6">
        <v>2042.1</v>
      </c>
      <c r="E67" s="2"/>
      <c r="F67" s="7">
        <f t="shared" si="17"/>
        <v>0.23956640838089427</v>
      </c>
      <c r="G67" s="2"/>
      <c r="H67" s="6">
        <v>1325.86</v>
      </c>
      <c r="I67" s="2"/>
      <c r="J67" s="7">
        <f t="shared" si="18"/>
        <v>9.0440963304786182E-2</v>
      </c>
      <c r="K67" s="2"/>
      <c r="L67" s="6">
        <f t="shared" si="19"/>
        <v>716.24</v>
      </c>
      <c r="M67" s="2"/>
      <c r="N67" s="7">
        <f t="shared" si="20"/>
        <v>0.5402078650837947</v>
      </c>
      <c r="O67" s="11"/>
      <c r="P67" s="6">
        <v>8703.02</v>
      </c>
      <c r="Q67" s="2"/>
      <c r="R67" s="7">
        <f t="shared" si="21"/>
        <v>5.5995695566791797E-3</v>
      </c>
      <c r="S67" s="2"/>
      <c r="T67" s="6">
        <v>7106.54</v>
      </c>
      <c r="U67" s="2"/>
      <c r="V67" s="7">
        <f t="shared" si="22"/>
        <v>2.4700740989209808E-3</v>
      </c>
      <c r="W67" s="2"/>
      <c r="X67" s="6">
        <f t="shared" si="23"/>
        <v>1596.4800000000005</v>
      </c>
      <c r="Y67" s="2"/>
      <c r="Z67" s="7">
        <f t="shared" si="24"/>
        <v>0.22464940744722472</v>
      </c>
    </row>
    <row r="68" spans="1:26" s="24" customFormat="1" hidden="1" outlineLevel="2" x14ac:dyDescent="0.25">
      <c r="A68" s="25"/>
      <c r="B68" s="11" t="str">
        <f>CONCATENATE("          ", "6117", " - ", "RETIREMENT STAFF HOURLY")</f>
        <v xml:space="preserve">          6117 - RETIREMENT STAFF HOURLY</v>
      </c>
      <c r="C68" s="11"/>
      <c r="D68" s="6">
        <v>232.91</v>
      </c>
      <c r="E68" s="2"/>
      <c r="F68" s="7">
        <f t="shared" si="17"/>
        <v>2.7323545456145189E-2</v>
      </c>
      <c r="G68" s="2"/>
      <c r="H68" s="6">
        <v>93.57</v>
      </c>
      <c r="I68" s="2"/>
      <c r="J68" s="7">
        <f t="shared" si="18"/>
        <v>6.3826957117861941E-3</v>
      </c>
      <c r="K68" s="2"/>
      <c r="L68" s="6">
        <f t="shared" si="19"/>
        <v>139.34</v>
      </c>
      <c r="M68" s="2"/>
      <c r="N68" s="7">
        <f t="shared" si="20"/>
        <v>1.4891525061451321</v>
      </c>
      <c r="O68" s="11"/>
      <c r="P68" s="6">
        <v>1293.6500000000001</v>
      </c>
      <c r="Q68" s="2"/>
      <c r="R68" s="7">
        <f t="shared" si="21"/>
        <v>8.3234132025412119E-4</v>
      </c>
      <c r="S68" s="2"/>
      <c r="T68" s="6">
        <v>646.20000000000005</v>
      </c>
      <c r="U68" s="2"/>
      <c r="V68" s="7">
        <f t="shared" si="22"/>
        <v>2.2460464343024002E-4</v>
      </c>
      <c r="W68" s="2"/>
      <c r="X68" s="6">
        <f t="shared" si="23"/>
        <v>647.45000000000005</v>
      </c>
      <c r="Y68" s="2"/>
      <c r="Z68" s="7">
        <f t="shared" si="24"/>
        <v>1.001934385639121</v>
      </c>
    </row>
    <row r="69" spans="1:26" s="24" customFormat="1" hidden="1" outlineLevel="2" x14ac:dyDescent="0.25">
      <c r="A69" s="25"/>
      <c r="B69" s="11" t="str">
        <f>CONCATENATE("          ", "6118", " - ", "VACATION")</f>
        <v xml:space="preserve">          6118 - VACATION</v>
      </c>
      <c r="C69" s="11"/>
      <c r="D69" s="6">
        <v>1278.1500000000001</v>
      </c>
      <c r="E69" s="2"/>
      <c r="F69" s="7">
        <f t="shared" si="17"/>
        <v>0.14994456925323935</v>
      </c>
      <c r="G69" s="2"/>
      <c r="H69" s="6">
        <v>204.7</v>
      </c>
      <c r="I69" s="2"/>
      <c r="J69" s="7">
        <f t="shared" si="18"/>
        <v>1.3963212698542631E-2</v>
      </c>
      <c r="K69" s="2"/>
      <c r="L69" s="6">
        <f t="shared" si="19"/>
        <v>1073.45</v>
      </c>
      <c r="M69" s="2"/>
      <c r="N69" s="7">
        <f t="shared" si="20"/>
        <v>5.244015632633122</v>
      </c>
      <c r="O69" s="11"/>
      <c r="P69" s="6">
        <v>6162.85</v>
      </c>
      <c r="Q69" s="2"/>
      <c r="R69" s="7">
        <f t="shared" si="21"/>
        <v>3.9652106099239441E-3</v>
      </c>
      <c r="S69" s="2"/>
      <c r="T69" s="6">
        <v>4841.92</v>
      </c>
      <c r="U69" s="2"/>
      <c r="V69" s="7">
        <f t="shared" si="22"/>
        <v>1.6829429203307764E-3</v>
      </c>
      <c r="W69" s="2"/>
      <c r="X69" s="6">
        <f t="shared" si="23"/>
        <v>1320.9300000000003</v>
      </c>
      <c r="Y69" s="2"/>
      <c r="Z69" s="7">
        <f t="shared" si="24"/>
        <v>0.27281119886326088</v>
      </c>
    </row>
    <row r="70" spans="1:26" s="24" customFormat="1" hidden="1" outlineLevel="2" x14ac:dyDescent="0.25">
      <c r="A70" s="25"/>
      <c r="B70" s="11" t="str">
        <f>CONCATENATE("          ", "6119", " - ", "SICK LEAVE")</f>
        <v xml:space="preserve">          6119 - SICK LEAVE</v>
      </c>
      <c r="C70" s="11"/>
      <c r="D70" s="6">
        <v>1046.08</v>
      </c>
      <c r="E70" s="2"/>
      <c r="F70" s="7">
        <f t="shared" si="17"/>
        <v>0.12271956734689089</v>
      </c>
      <c r="G70" s="2"/>
      <c r="H70" s="6">
        <v>801.74</v>
      </c>
      <c r="I70" s="2"/>
      <c r="J70" s="7">
        <f t="shared" si="18"/>
        <v>5.4689136047530867E-2</v>
      </c>
      <c r="K70" s="2"/>
      <c r="L70" s="6">
        <f t="shared" si="19"/>
        <v>244.33999999999992</v>
      </c>
      <c r="M70" s="2"/>
      <c r="N70" s="7">
        <f t="shared" si="20"/>
        <v>0.30476214234040949</v>
      </c>
      <c r="O70" s="11"/>
      <c r="P70" s="6">
        <v>5296.78</v>
      </c>
      <c r="Q70" s="2"/>
      <c r="R70" s="7">
        <f t="shared" si="21"/>
        <v>3.4079765456619822E-3</v>
      </c>
      <c r="S70" s="2"/>
      <c r="T70" s="6">
        <v>5318.37</v>
      </c>
      <c r="U70" s="2"/>
      <c r="V70" s="7">
        <f t="shared" si="22"/>
        <v>1.8485462666048987E-3</v>
      </c>
      <c r="W70" s="2"/>
      <c r="X70" s="6">
        <f t="shared" si="23"/>
        <v>-21.590000000000146</v>
      </c>
      <c r="Y70" s="2"/>
      <c r="Z70" s="7">
        <f t="shared" si="24"/>
        <v>-4.0595144752997902E-3</v>
      </c>
    </row>
    <row r="71" spans="1:26" s="24" customFormat="1" hidden="1" outlineLevel="2" x14ac:dyDescent="0.25">
      <c r="A71" s="25"/>
      <c r="B71" s="11" t="str">
        <f>CONCATENATE("          ", "6156", " - ", "EMPLOYEE MEALS")</f>
        <v xml:space="preserve">          6156 - EMPLOYEE MEALS</v>
      </c>
      <c r="C71" s="11"/>
      <c r="D71" s="6">
        <v>595.08000000000004</v>
      </c>
      <c r="E71" s="2"/>
      <c r="F71" s="7">
        <f t="shared" si="17"/>
        <v>6.9811066206014682E-2</v>
      </c>
      <c r="G71" s="2"/>
      <c r="H71" s="6">
        <v>566.07000000000005</v>
      </c>
      <c r="I71" s="2"/>
      <c r="J71" s="7">
        <f t="shared" si="18"/>
        <v>3.8613364984191635E-2</v>
      </c>
      <c r="K71" s="2"/>
      <c r="L71" s="6">
        <f t="shared" si="19"/>
        <v>29.009999999999991</v>
      </c>
      <c r="M71" s="2"/>
      <c r="N71" s="7">
        <f t="shared" si="20"/>
        <v>5.124807885950499E-2</v>
      </c>
      <c r="O71" s="11"/>
      <c r="P71" s="6">
        <v>2477.13</v>
      </c>
      <c r="Q71" s="2"/>
      <c r="R71" s="7">
        <f t="shared" si="21"/>
        <v>1.5937986740162263E-3</v>
      </c>
      <c r="S71" s="2"/>
      <c r="T71" s="6">
        <v>2944.8</v>
      </c>
      <c r="U71" s="2"/>
      <c r="V71" s="7">
        <f t="shared" si="22"/>
        <v>1.0235465087795896E-3</v>
      </c>
      <c r="W71" s="2"/>
      <c r="X71" s="6">
        <f t="shared" si="23"/>
        <v>-467.67000000000007</v>
      </c>
      <c r="Y71" s="2"/>
      <c r="Z71" s="7">
        <f t="shared" si="24"/>
        <v>-0.15881214343928282</v>
      </c>
    </row>
    <row r="72" spans="1:26" s="26" customFormat="1" outlineLevel="1" collapsed="1" x14ac:dyDescent="0.25">
      <c r="A72" s="27"/>
      <c r="B72" s="13" t="str">
        <f>CONCATENATE("     ","*Payroll                                          ")</f>
        <v xml:space="preserve">     *Payroll                                          </v>
      </c>
      <c r="C72" s="13"/>
      <c r="D72" s="1">
        <f>SUM(OSRRefD22_1x_0)</f>
        <v>20893.93</v>
      </c>
      <c r="E72" s="1"/>
      <c r="F72" s="5">
        <f t="shared" ref="F72:F78" si="25">IF(D$12=0,0,D72/D$12)</f>
        <v>2.4511452754820131</v>
      </c>
      <c r="G72" s="1"/>
      <c r="H72" s="1">
        <f>SUM(OSRRefH22_1x_0)</f>
        <v>22494.690000000002</v>
      </c>
      <c r="I72" s="1"/>
      <c r="J72" s="5">
        <f t="shared" ref="J72:J78" si="26">IF(H$12=0,0,H72/H$12)</f>
        <v>1.5344315635455787</v>
      </c>
      <c r="K72" s="1"/>
      <c r="L72" s="1">
        <f t="shared" ref="L72:L78" si="27">+D72-H72</f>
        <v>-1600.760000000002</v>
      </c>
      <c r="M72" s="1"/>
      <c r="N72" s="5">
        <f t="shared" ref="N72:N78" si="28">IF(H72=0,0,L72/H72)</f>
        <v>-7.1161683046087845E-2</v>
      </c>
      <c r="O72" s="13"/>
      <c r="P72" s="1">
        <f>SUM(OSRRefP22_1x_0)</f>
        <v>137338.75999999998</v>
      </c>
      <c r="Q72" s="1"/>
      <c r="R72" s="5">
        <f t="shared" ref="R72:R78" si="29">IF(P$12=0,0,P72/P$12)</f>
        <v>8.8364491802623471E-2</v>
      </c>
      <c r="S72" s="1"/>
      <c r="T72" s="1">
        <f>SUM(OSRRefT22_1x_0)</f>
        <v>118955.95999999999</v>
      </c>
      <c r="U72" s="1"/>
      <c r="V72" s="5">
        <f t="shared" ref="V72:V78" si="30">IF(T$12=0,0,T72/T$12)</f>
        <v>4.1346426771435921E-2</v>
      </c>
      <c r="W72" s="1"/>
      <c r="X72" s="1">
        <f t="shared" ref="X72:X78" si="31">+P72-T72</f>
        <v>18382.799999999988</v>
      </c>
      <c r="Y72" s="1"/>
      <c r="Z72" s="5">
        <f t="shared" ref="Z72:Z78" si="32">IF(T72=0,0,X72/T72)</f>
        <v>0.15453450167608238</v>
      </c>
    </row>
    <row r="73" spans="1:26" s="24" customFormat="1" hidden="1" outlineLevel="2" x14ac:dyDescent="0.25">
      <c r="A73" s="25"/>
      <c r="B73" s="11" t="str">
        <f>CONCATENATE("          ", "6001", " - ", "ADMINISTRATIVE SALARIES")</f>
        <v xml:space="preserve">          6001 - ADMINISTRATIVE SALARIES</v>
      </c>
      <c r="C73" s="11"/>
      <c r="D73" s="6"/>
      <c r="E73" s="2"/>
      <c r="F73" s="7">
        <f t="shared" si="25"/>
        <v>0</v>
      </c>
      <c r="G73" s="2"/>
      <c r="H73" s="6"/>
      <c r="I73" s="2"/>
      <c r="J73" s="7">
        <f t="shared" si="26"/>
        <v>0</v>
      </c>
      <c r="K73" s="2"/>
      <c r="L73" s="6">
        <f t="shared" si="27"/>
        <v>0</v>
      </c>
      <c r="M73" s="2"/>
      <c r="N73" s="7">
        <f t="shared" si="28"/>
        <v>0</v>
      </c>
      <c r="O73" s="11"/>
      <c r="P73" s="6">
        <v>-311.32</v>
      </c>
      <c r="Q73" s="2"/>
      <c r="R73" s="7">
        <f t="shared" si="29"/>
        <v>-2.003049509693603E-4</v>
      </c>
      <c r="S73" s="2"/>
      <c r="T73" s="6"/>
      <c r="U73" s="2"/>
      <c r="V73" s="7">
        <f t="shared" si="30"/>
        <v>0</v>
      </c>
      <c r="W73" s="2"/>
      <c r="X73" s="6">
        <f t="shared" si="31"/>
        <v>-311.32</v>
      </c>
      <c r="Y73" s="2"/>
      <c r="Z73" s="7">
        <f t="shared" si="32"/>
        <v>0</v>
      </c>
    </row>
    <row r="74" spans="1:26" s="24" customFormat="1" hidden="1" outlineLevel="2" x14ac:dyDescent="0.25">
      <c r="A74" s="25"/>
      <c r="B74" s="11" t="str">
        <f>CONCATENATE("          ", "6002", " - ", "STAFF SALARIES")</f>
        <v xml:space="preserve">          6002 - STAFF SALARIES</v>
      </c>
      <c r="C74" s="11"/>
      <c r="D74" s="6">
        <v>14271.35</v>
      </c>
      <c r="E74" s="2"/>
      <c r="F74" s="7">
        <f t="shared" si="25"/>
        <v>1.6742255826094099</v>
      </c>
      <c r="G74" s="2"/>
      <c r="H74" s="6">
        <v>13756.3</v>
      </c>
      <c r="I74" s="2"/>
      <c r="J74" s="7">
        <f t="shared" si="26"/>
        <v>0.93835927134812891</v>
      </c>
      <c r="K74" s="2"/>
      <c r="L74" s="6">
        <f t="shared" si="27"/>
        <v>515.05000000000109</v>
      </c>
      <c r="M74" s="2"/>
      <c r="N74" s="7">
        <f t="shared" si="28"/>
        <v>3.7441027020347122E-2</v>
      </c>
      <c r="O74" s="11"/>
      <c r="P74" s="6">
        <v>78415.5</v>
      </c>
      <c r="Q74" s="2"/>
      <c r="R74" s="7">
        <f t="shared" si="29"/>
        <v>5.0452951569889097E-2</v>
      </c>
      <c r="S74" s="2"/>
      <c r="T74" s="6">
        <v>74645.83</v>
      </c>
      <c r="U74" s="2"/>
      <c r="V74" s="7">
        <f t="shared" si="30"/>
        <v>2.5945218246215276E-2</v>
      </c>
      <c r="W74" s="2"/>
      <c r="X74" s="6">
        <f t="shared" si="31"/>
        <v>3769.6699999999983</v>
      </c>
      <c r="Y74" s="2"/>
      <c r="Z74" s="7">
        <f t="shared" si="32"/>
        <v>5.0500744649768087E-2</v>
      </c>
    </row>
    <row r="75" spans="1:26" s="24" customFormat="1" hidden="1" outlineLevel="2" x14ac:dyDescent="0.25">
      <c r="A75" s="25"/>
      <c r="B75" s="11" t="str">
        <f>CONCATENATE("          ", "6004", " - ", "STAFF HOURLY")</f>
        <v xml:space="preserve">          6004 - STAFF HOURLY</v>
      </c>
      <c r="C75" s="11"/>
      <c r="D75" s="6">
        <v>5370.49</v>
      </c>
      <c r="E75" s="2"/>
      <c r="F75" s="7">
        <f t="shared" si="25"/>
        <v>0.63003231993805831</v>
      </c>
      <c r="G75" s="2"/>
      <c r="H75" s="6">
        <v>3123.86</v>
      </c>
      <c r="I75" s="2"/>
      <c r="J75" s="7">
        <f t="shared" si="26"/>
        <v>0.21308803918157979</v>
      </c>
      <c r="K75" s="2"/>
      <c r="L75" s="6">
        <f t="shared" si="27"/>
        <v>2246.6299999999997</v>
      </c>
      <c r="M75" s="2"/>
      <c r="N75" s="7">
        <f t="shared" si="28"/>
        <v>0.71918395830799065</v>
      </c>
      <c r="O75" s="11"/>
      <c r="P75" s="6">
        <v>32682.01</v>
      </c>
      <c r="Q75" s="2"/>
      <c r="R75" s="7">
        <f t="shared" si="29"/>
        <v>2.1027779810581213E-2</v>
      </c>
      <c r="S75" s="2"/>
      <c r="T75" s="6">
        <v>15313.030000000002</v>
      </c>
      <c r="U75" s="2"/>
      <c r="V75" s="7">
        <f t="shared" si="30"/>
        <v>5.322466176085683E-3</v>
      </c>
      <c r="W75" s="2"/>
      <c r="X75" s="6">
        <f t="shared" si="31"/>
        <v>17368.979999999996</v>
      </c>
      <c r="Y75" s="2"/>
      <c r="Z75" s="7">
        <f t="shared" si="32"/>
        <v>1.1342614753579137</v>
      </c>
    </row>
    <row r="76" spans="1:26" s="24" customFormat="1" hidden="1" outlineLevel="2" x14ac:dyDescent="0.25">
      <c r="A76" s="25"/>
      <c r="B76" s="11" t="str">
        <f>CONCATENATE("          ", "6005", " - ", "TEMPORARY WAGES-HOURLY")</f>
        <v xml:space="preserve">          6005 - TEMPORARY WAGES-HOURLY</v>
      </c>
      <c r="C76" s="11"/>
      <c r="D76" s="6"/>
      <c r="E76" s="2"/>
      <c r="F76" s="7">
        <f t="shared" si="25"/>
        <v>0</v>
      </c>
      <c r="G76" s="2"/>
      <c r="H76" s="6">
        <v>2577.02</v>
      </c>
      <c r="I76" s="2"/>
      <c r="J76" s="7">
        <f t="shared" si="26"/>
        <v>0.17578641127698255</v>
      </c>
      <c r="K76" s="2"/>
      <c r="L76" s="6">
        <f t="shared" si="27"/>
        <v>-2577.02</v>
      </c>
      <c r="M76" s="2"/>
      <c r="N76" s="7">
        <f t="shared" si="28"/>
        <v>-1</v>
      </c>
      <c r="O76" s="11"/>
      <c r="P76" s="6">
        <v>12838</v>
      </c>
      <c r="Q76" s="2"/>
      <c r="R76" s="7">
        <f t="shared" si="29"/>
        <v>8.2600377763865085E-3</v>
      </c>
      <c r="S76" s="2"/>
      <c r="T76" s="6">
        <v>10271.120000000001</v>
      </c>
      <c r="U76" s="2"/>
      <c r="V76" s="7">
        <f t="shared" si="30"/>
        <v>3.5700112120538637E-3</v>
      </c>
      <c r="W76" s="2"/>
      <c r="X76" s="6">
        <f t="shared" si="31"/>
        <v>2566.8799999999992</v>
      </c>
      <c r="Y76" s="2"/>
      <c r="Z76" s="7">
        <f t="shared" si="32"/>
        <v>0.24991237567081281</v>
      </c>
    </row>
    <row r="77" spans="1:26" s="24" customFormat="1" hidden="1" outlineLevel="2" x14ac:dyDescent="0.25">
      <c r="A77" s="25"/>
      <c r="B77" s="11" t="str">
        <f>CONCATENATE("          ", "6006", " - ", "TEMPORARY PART TIME")</f>
        <v xml:space="preserve">          6006 - TEMPORARY PART TIME</v>
      </c>
      <c r="C77" s="11"/>
      <c r="D77" s="6"/>
      <c r="E77" s="2"/>
      <c r="F77" s="7">
        <f t="shared" si="25"/>
        <v>0</v>
      </c>
      <c r="G77" s="2"/>
      <c r="H77" s="6"/>
      <c r="I77" s="2"/>
      <c r="J77" s="7">
        <f t="shared" si="26"/>
        <v>0</v>
      </c>
      <c r="K77" s="2"/>
      <c r="L77" s="6">
        <f t="shared" si="27"/>
        <v>0</v>
      </c>
      <c r="M77" s="2"/>
      <c r="N77" s="7">
        <f t="shared" si="28"/>
        <v>0</v>
      </c>
      <c r="O77" s="11"/>
      <c r="P77" s="6">
        <v>502.29</v>
      </c>
      <c r="Q77" s="2"/>
      <c r="R77" s="7">
        <f t="shared" si="29"/>
        <v>3.2317606906848259E-4</v>
      </c>
      <c r="S77" s="2"/>
      <c r="T77" s="6"/>
      <c r="U77" s="2"/>
      <c r="V77" s="7">
        <f t="shared" si="30"/>
        <v>0</v>
      </c>
      <c r="W77" s="2"/>
      <c r="X77" s="6">
        <f t="shared" si="31"/>
        <v>502.29</v>
      </c>
      <c r="Y77" s="2"/>
      <c r="Z77" s="7">
        <f t="shared" si="32"/>
        <v>0</v>
      </c>
    </row>
    <row r="78" spans="1:26" s="24" customFormat="1" hidden="1" outlineLevel="2" x14ac:dyDescent="0.25">
      <c r="A78" s="25"/>
      <c r="B78" s="11" t="str">
        <f>CONCATENATE("          ", "6007", " - ", "STUDENT HOURLY")</f>
        <v xml:space="preserve">          6007 - STUDENT HOURLY</v>
      </c>
      <c r="C78" s="11"/>
      <c r="D78" s="6">
        <v>1252.0899999999999</v>
      </c>
      <c r="E78" s="2"/>
      <c r="F78" s="7">
        <f t="shared" si="25"/>
        <v>0.14688737293454479</v>
      </c>
      <c r="G78" s="2"/>
      <c r="H78" s="6">
        <v>3037.51</v>
      </c>
      <c r="I78" s="2"/>
      <c r="J78" s="7">
        <f t="shared" si="26"/>
        <v>0.20719784173888731</v>
      </c>
      <c r="K78" s="2"/>
      <c r="L78" s="6">
        <f t="shared" si="27"/>
        <v>-1785.4200000000003</v>
      </c>
      <c r="M78" s="2"/>
      <c r="N78" s="7">
        <f t="shared" si="28"/>
        <v>-0.58779065747931702</v>
      </c>
      <c r="O78" s="11"/>
      <c r="P78" s="6">
        <v>13212.28</v>
      </c>
      <c r="Q78" s="2"/>
      <c r="R78" s="7">
        <f t="shared" si="29"/>
        <v>8.5008515276675453E-3</v>
      </c>
      <c r="S78" s="2"/>
      <c r="T78" s="6">
        <v>18725.98</v>
      </c>
      <c r="U78" s="2"/>
      <c r="V78" s="7">
        <f t="shared" si="30"/>
        <v>6.5087311370810976E-3</v>
      </c>
      <c r="W78" s="2"/>
      <c r="X78" s="6">
        <f t="shared" si="31"/>
        <v>-5513.6999999999989</v>
      </c>
      <c r="Y78" s="2"/>
      <c r="Z78" s="7">
        <f t="shared" si="32"/>
        <v>-0.29444119880508252</v>
      </c>
    </row>
    <row r="79" spans="1:26" s="26" customFormat="1" outlineLevel="1" collapsed="1" x14ac:dyDescent="0.25">
      <c r="A79" s="27"/>
      <c r="B79" s="13" t="str">
        <f>CONCATENATE("     ","Advertising/Promo                                 ")</f>
        <v xml:space="preserve">     Advertising/Promo                                 </v>
      </c>
      <c r="C79" s="13"/>
      <c r="D79" s="1">
        <f>SUM(OSRRefD22_2x_0)</f>
        <v>0</v>
      </c>
      <c r="E79" s="1"/>
      <c r="F79" s="5">
        <f t="shared" ref="F79:F83" si="33">IF(D$12=0,0,D79/D$12)</f>
        <v>0</v>
      </c>
      <c r="G79" s="1"/>
      <c r="H79" s="1">
        <f>SUM(OSRRefH22_2x_0)</f>
        <v>72.069999999999993</v>
      </c>
      <c r="I79" s="1"/>
      <c r="J79" s="5">
        <f t="shared" ref="J79:J83" si="34">IF(H$12=0,0,H79/H$12)</f>
        <v>4.9161149935709201E-3</v>
      </c>
      <c r="K79" s="1"/>
      <c r="L79" s="1">
        <f t="shared" ref="L79:L83" si="35">+D79-H79</f>
        <v>-72.069999999999993</v>
      </c>
      <c r="M79" s="1"/>
      <c r="N79" s="5">
        <f t="shared" ref="N79:N83" si="36">IF(H79=0,0,L79/H79)</f>
        <v>-1</v>
      </c>
      <c r="O79" s="13"/>
      <c r="P79" s="1">
        <f>SUM(OSRRefP22_2x_0)</f>
        <v>1359.88</v>
      </c>
      <c r="Q79" s="1"/>
      <c r="R79" s="5">
        <f t="shared" ref="R79:R83" si="37">IF(P$12=0,0,P79/P$12)</f>
        <v>8.7495405603306474E-4</v>
      </c>
      <c r="S79" s="1"/>
      <c r="T79" s="1">
        <f>SUM(OSRRefT22_2x_0)</f>
        <v>3208.09</v>
      </c>
      <c r="U79" s="1"/>
      <c r="V79" s="5">
        <f t="shared" ref="V79:V83" si="38">IF(T$12=0,0,T79/T$12)</f>
        <v>1.1150602143951078E-3</v>
      </c>
      <c r="W79" s="1"/>
      <c r="X79" s="1">
        <f t="shared" ref="X79:X83" si="39">+P79-T79</f>
        <v>-1848.21</v>
      </c>
      <c r="Y79" s="1"/>
      <c r="Z79" s="5">
        <f t="shared" ref="Z79:Z83" si="40">IF(T79=0,0,X79/T79)</f>
        <v>-0.57610914905753885</v>
      </c>
    </row>
    <row r="80" spans="1:26" s="24" customFormat="1" hidden="1" outlineLevel="2" x14ac:dyDescent="0.25">
      <c r="A80" s="25"/>
      <c r="B80" s="11" t="str">
        <f>CONCATENATE("          ", "6362", " - ", "ADVERTISING EXPENSE")</f>
        <v xml:space="preserve">          6362 - ADVERTISING EXPENSE</v>
      </c>
      <c r="C80" s="11"/>
      <c r="D80" s="6"/>
      <c r="E80" s="2"/>
      <c r="F80" s="7">
        <f t="shared" si="33"/>
        <v>0</v>
      </c>
      <c r="G80" s="2"/>
      <c r="H80" s="6">
        <v>72.069999999999993</v>
      </c>
      <c r="I80" s="2"/>
      <c r="J80" s="7">
        <f t="shared" si="34"/>
        <v>4.9161149935709201E-3</v>
      </c>
      <c r="K80" s="2"/>
      <c r="L80" s="6">
        <f t="shared" si="35"/>
        <v>-72.069999999999993</v>
      </c>
      <c r="M80" s="2"/>
      <c r="N80" s="7">
        <f t="shared" si="36"/>
        <v>-1</v>
      </c>
      <c r="O80" s="11"/>
      <c r="P80" s="6">
        <v>1359.88</v>
      </c>
      <c r="Q80" s="2"/>
      <c r="R80" s="7">
        <f t="shared" si="37"/>
        <v>8.7495405603306474E-4</v>
      </c>
      <c r="S80" s="2"/>
      <c r="T80" s="6">
        <v>3208.09</v>
      </c>
      <c r="U80" s="2"/>
      <c r="V80" s="7">
        <f t="shared" si="38"/>
        <v>1.1150602143951078E-3</v>
      </c>
      <c r="W80" s="2"/>
      <c r="X80" s="6">
        <f t="shared" si="39"/>
        <v>-1848.21</v>
      </c>
      <c r="Y80" s="2"/>
      <c r="Z80" s="7">
        <f t="shared" si="40"/>
        <v>-0.57610914905753885</v>
      </c>
    </row>
    <row r="81" spans="1:26" s="26" customFormat="1" outlineLevel="1" collapsed="1" x14ac:dyDescent="0.25">
      <c r="A81" s="27"/>
      <c r="B81" s="13" t="str">
        <f>CONCATENATE("     ","Discounts and Markdowns                           ")</f>
        <v xml:space="preserve">     Discounts and Markdowns                           </v>
      </c>
      <c r="C81" s="13"/>
      <c r="D81" s="1">
        <f>SUM(OSRRefD22_3x_0)</f>
        <v>0</v>
      </c>
      <c r="E81" s="1"/>
      <c r="F81" s="5">
        <f t="shared" si="33"/>
        <v>0</v>
      </c>
      <c r="G81" s="1"/>
      <c r="H81" s="1">
        <f>SUM(OSRRefH22_3x_0)</f>
        <v>242.82</v>
      </c>
      <c r="I81" s="1"/>
      <c r="J81" s="5">
        <f t="shared" si="34"/>
        <v>1.6563494418466641E-2</v>
      </c>
      <c r="K81" s="1"/>
      <c r="L81" s="1">
        <f t="shared" si="35"/>
        <v>-242.82</v>
      </c>
      <c r="M81" s="1"/>
      <c r="N81" s="5">
        <f t="shared" si="36"/>
        <v>-1</v>
      </c>
      <c r="O81" s="13"/>
      <c r="P81" s="1">
        <f>SUM(OSRRefP22_3x_0)</f>
        <v>0</v>
      </c>
      <c r="Q81" s="1"/>
      <c r="R81" s="5">
        <f t="shared" si="37"/>
        <v>0</v>
      </c>
      <c r="S81" s="1"/>
      <c r="T81" s="1">
        <f>SUM(OSRRefT22_3x_0)</f>
        <v>-2513.23</v>
      </c>
      <c r="U81" s="1"/>
      <c r="V81" s="5">
        <f t="shared" si="38"/>
        <v>-8.7354244507610969E-4</v>
      </c>
      <c r="W81" s="1"/>
      <c r="X81" s="1">
        <f t="shared" si="39"/>
        <v>2513.23</v>
      </c>
      <c r="Y81" s="1"/>
      <c r="Z81" s="5">
        <f t="shared" si="40"/>
        <v>-1</v>
      </c>
    </row>
    <row r="82" spans="1:26" s="24" customFormat="1" hidden="1" outlineLevel="2" x14ac:dyDescent="0.25">
      <c r="A82" s="25"/>
      <c r="B82" s="11" t="str">
        <f>CONCATENATE("          ", "6382", " - ", "DISCOUNTS/MARK DOWNS")</f>
        <v xml:space="preserve">          6382 - DISCOUNTS/MARK DOWNS</v>
      </c>
      <c r="C82" s="11"/>
      <c r="D82" s="6"/>
      <c r="E82" s="2"/>
      <c r="F82" s="7">
        <f t="shared" si="33"/>
        <v>0</v>
      </c>
      <c r="G82" s="2"/>
      <c r="H82" s="6">
        <v>242.82</v>
      </c>
      <c r="I82" s="2"/>
      <c r="J82" s="7">
        <f t="shared" si="34"/>
        <v>1.6563494418466641E-2</v>
      </c>
      <c r="K82" s="2"/>
      <c r="L82" s="6">
        <f t="shared" si="35"/>
        <v>-242.82</v>
      </c>
      <c r="M82" s="2"/>
      <c r="N82" s="7">
        <f t="shared" si="36"/>
        <v>-1</v>
      </c>
      <c r="O82" s="11"/>
      <c r="P82" s="6"/>
      <c r="Q82" s="2"/>
      <c r="R82" s="7">
        <f t="shared" si="37"/>
        <v>0</v>
      </c>
      <c r="S82" s="2"/>
      <c r="T82" s="6">
        <v>-2079.6</v>
      </c>
      <c r="U82" s="2"/>
      <c r="V82" s="7">
        <f t="shared" si="38"/>
        <v>-7.2282237152201652E-4</v>
      </c>
      <c r="W82" s="2"/>
      <c r="X82" s="6">
        <f t="shared" si="39"/>
        <v>2079.6</v>
      </c>
      <c r="Y82" s="2"/>
      <c r="Z82" s="7">
        <f t="shared" si="40"/>
        <v>-1</v>
      </c>
    </row>
    <row r="83" spans="1:26" s="24" customFormat="1" hidden="1" outlineLevel="2" x14ac:dyDescent="0.25">
      <c r="A83" s="25"/>
      <c r="B83" s="11" t="str">
        <f>CONCATENATE("          ", "9175", " - ", "EARNED DISCOUNTS")</f>
        <v xml:space="preserve">          9175 - EARNED DISCOUNTS</v>
      </c>
      <c r="C83" s="11"/>
      <c r="D83" s="6"/>
      <c r="E83" s="2"/>
      <c r="F83" s="7">
        <f t="shared" si="33"/>
        <v>0</v>
      </c>
      <c r="G83" s="2"/>
      <c r="H83" s="6"/>
      <c r="I83" s="2"/>
      <c r="J83" s="7">
        <f t="shared" si="34"/>
        <v>0</v>
      </c>
      <c r="K83" s="2"/>
      <c r="L83" s="6">
        <f t="shared" si="35"/>
        <v>0</v>
      </c>
      <c r="M83" s="2"/>
      <c r="N83" s="7">
        <f t="shared" si="36"/>
        <v>0</v>
      </c>
      <c r="O83" s="11"/>
      <c r="P83" s="6"/>
      <c r="Q83" s="2"/>
      <c r="R83" s="7">
        <f t="shared" si="37"/>
        <v>0</v>
      </c>
      <c r="S83" s="2"/>
      <c r="T83" s="6">
        <v>-433.63</v>
      </c>
      <c r="U83" s="2"/>
      <c r="V83" s="7">
        <f t="shared" si="38"/>
        <v>-1.5072007355409312E-4</v>
      </c>
      <c r="W83" s="2"/>
      <c r="X83" s="6">
        <f t="shared" si="39"/>
        <v>433.63</v>
      </c>
      <c r="Y83" s="2"/>
      <c r="Z83" s="7">
        <f t="shared" si="40"/>
        <v>-1</v>
      </c>
    </row>
    <row r="84" spans="1:26" s="26" customFormat="1" outlineLevel="1" collapsed="1" x14ac:dyDescent="0.25">
      <c r="A84" s="27"/>
      <c r="B84" s="13" t="str">
        <f>CONCATENATE("     ","Employees' Appreciation                           ")</f>
        <v xml:space="preserve">     Employees' Appreciation                           </v>
      </c>
      <c r="C84" s="13"/>
      <c r="D84" s="1">
        <f>SUM(OSRRefD22_4x_0)</f>
        <v>0</v>
      </c>
      <c r="E84" s="1"/>
      <c r="F84" s="5">
        <f t="shared" ref="F84:F90" si="41">IF(D$12=0,0,D84/D$12)</f>
        <v>0</v>
      </c>
      <c r="G84" s="1"/>
      <c r="H84" s="1">
        <f>SUM(OSRRefH22_4x_0)</f>
        <v>37.880000000000003</v>
      </c>
      <c r="I84" s="1"/>
      <c r="J84" s="5">
        <f t="shared" ref="J84:J90" si="42">IF(H$12=0,0,H84/H$12)</f>
        <v>2.583910586325329E-3</v>
      </c>
      <c r="K84" s="1"/>
      <c r="L84" s="1">
        <f t="shared" ref="L84:L90" si="43">+D84-H84</f>
        <v>-37.880000000000003</v>
      </c>
      <c r="M84" s="1"/>
      <c r="N84" s="5">
        <f t="shared" ref="N84:N90" si="44">IF(H84=0,0,L84/H84)</f>
        <v>-1</v>
      </c>
      <c r="O84" s="13"/>
      <c r="P84" s="1">
        <f>SUM(OSRRefP22_4x_0)</f>
        <v>107.7</v>
      </c>
      <c r="Q84" s="1"/>
      <c r="R84" s="5">
        <f t="shared" ref="R84:R90" si="45">IF(P$12=0,0,P84/P$12)</f>
        <v>6.929475529808592E-5</v>
      </c>
      <c r="S84" s="1"/>
      <c r="T84" s="1">
        <f>SUM(OSRRefT22_4x_0)</f>
        <v>37.880000000000003</v>
      </c>
      <c r="U84" s="1"/>
      <c r="V84" s="5">
        <f t="shared" ref="V84:V90" si="46">IF(T$12=0,0,T84/T$12)</f>
        <v>1.3166239388946907E-5</v>
      </c>
      <c r="W84" s="1"/>
      <c r="X84" s="1">
        <f t="shared" ref="X84:X90" si="47">+P84-T84</f>
        <v>69.819999999999993</v>
      </c>
      <c r="Y84" s="1"/>
      <c r="Z84" s="5">
        <f t="shared" ref="Z84:Z90" si="48">IF(T84=0,0,X84/T84)</f>
        <v>1.8431890179514252</v>
      </c>
    </row>
    <row r="85" spans="1:26" s="24" customFormat="1" hidden="1" outlineLevel="2" x14ac:dyDescent="0.25">
      <c r="A85" s="25"/>
      <c r="B85" s="11" t="str">
        <f>CONCATENATE("          ", "6277", " - ", "EMPLOYEE APPRECIATION")</f>
        <v xml:space="preserve">          6277 - EMPLOYEE APPRECIATION</v>
      </c>
      <c r="C85" s="11"/>
      <c r="D85" s="6"/>
      <c r="E85" s="2"/>
      <c r="F85" s="7">
        <f t="shared" si="41"/>
        <v>0</v>
      </c>
      <c r="G85" s="2"/>
      <c r="H85" s="6">
        <v>37.880000000000003</v>
      </c>
      <c r="I85" s="2"/>
      <c r="J85" s="7">
        <f t="shared" si="42"/>
        <v>2.583910586325329E-3</v>
      </c>
      <c r="K85" s="2"/>
      <c r="L85" s="6">
        <f t="shared" si="43"/>
        <v>-37.880000000000003</v>
      </c>
      <c r="M85" s="2"/>
      <c r="N85" s="7">
        <f t="shared" si="44"/>
        <v>-1</v>
      </c>
      <c r="O85" s="11"/>
      <c r="P85" s="6">
        <v>107.7</v>
      </c>
      <c r="Q85" s="2"/>
      <c r="R85" s="7">
        <f t="shared" si="45"/>
        <v>6.929475529808592E-5</v>
      </c>
      <c r="S85" s="2"/>
      <c r="T85" s="6">
        <v>37.880000000000003</v>
      </c>
      <c r="U85" s="2"/>
      <c r="V85" s="7">
        <f t="shared" si="46"/>
        <v>1.3166239388946907E-5</v>
      </c>
      <c r="W85" s="2"/>
      <c r="X85" s="6">
        <f t="shared" si="47"/>
        <v>69.819999999999993</v>
      </c>
      <c r="Y85" s="2"/>
      <c r="Z85" s="7">
        <f t="shared" si="48"/>
        <v>1.8431890179514252</v>
      </c>
    </row>
    <row r="86" spans="1:26" s="26" customFormat="1" outlineLevel="1" collapsed="1" x14ac:dyDescent="0.25">
      <c r="A86" s="27"/>
      <c r="B86" s="13" t="str">
        <f>CONCATENATE("     ","Equipment Rental                                  ")</f>
        <v xml:space="preserve">     Equipment Rental                                  </v>
      </c>
      <c r="C86" s="13"/>
      <c r="D86" s="1">
        <f>SUM(OSRRefD22_5x_0)</f>
        <v>91.26</v>
      </c>
      <c r="E86" s="1"/>
      <c r="F86" s="5">
        <f t="shared" si="41"/>
        <v>1.0706052802918767E-2</v>
      </c>
      <c r="G86" s="1"/>
      <c r="H86" s="1">
        <f>SUM(OSRRefH22_5x_0)</f>
        <v>91.26</v>
      </c>
      <c r="I86" s="1"/>
      <c r="J86" s="5">
        <f t="shared" si="42"/>
        <v>6.2251235508988794E-3</v>
      </c>
      <c r="K86" s="1"/>
      <c r="L86" s="1">
        <f t="shared" si="43"/>
        <v>0</v>
      </c>
      <c r="M86" s="1"/>
      <c r="N86" s="5">
        <f t="shared" si="44"/>
        <v>0</v>
      </c>
      <c r="O86" s="13"/>
      <c r="P86" s="1">
        <f>SUM(OSRRefP22_5x_0)</f>
        <v>547.55999999999995</v>
      </c>
      <c r="Q86" s="1"/>
      <c r="R86" s="5">
        <f t="shared" si="45"/>
        <v>3.5230302888597883E-4</v>
      </c>
      <c r="S86" s="1"/>
      <c r="T86" s="1">
        <f>SUM(OSRRefT22_5x_0)</f>
        <v>547.55999999999995</v>
      </c>
      <c r="U86" s="1"/>
      <c r="V86" s="5">
        <f t="shared" si="46"/>
        <v>1.9031958922417549E-4</v>
      </c>
      <c r="W86" s="1"/>
      <c r="X86" s="1">
        <f t="shared" si="47"/>
        <v>0</v>
      </c>
      <c r="Y86" s="1"/>
      <c r="Z86" s="5">
        <f t="shared" si="48"/>
        <v>0</v>
      </c>
    </row>
    <row r="87" spans="1:26" s="24" customFormat="1" hidden="1" outlineLevel="2" x14ac:dyDescent="0.25">
      <c r="A87" s="25"/>
      <c r="B87" s="11" t="str">
        <f>CONCATENATE("          ", "6351", " - ", "EQUIPMENT RENTAL")</f>
        <v xml:space="preserve">          6351 - EQUIPMENT RENTAL</v>
      </c>
      <c r="C87" s="11"/>
      <c r="D87" s="6">
        <v>91.26</v>
      </c>
      <c r="E87" s="2"/>
      <c r="F87" s="7">
        <f t="shared" si="41"/>
        <v>1.0706052802918767E-2</v>
      </c>
      <c r="G87" s="2"/>
      <c r="H87" s="6">
        <v>91.26</v>
      </c>
      <c r="I87" s="2"/>
      <c r="J87" s="7">
        <f t="shared" si="42"/>
        <v>6.2251235508988794E-3</v>
      </c>
      <c r="K87" s="2"/>
      <c r="L87" s="6">
        <f t="shared" si="43"/>
        <v>0</v>
      </c>
      <c r="M87" s="2"/>
      <c r="N87" s="7">
        <f t="shared" si="44"/>
        <v>0</v>
      </c>
      <c r="O87" s="11"/>
      <c r="P87" s="6">
        <v>547.55999999999995</v>
      </c>
      <c r="Q87" s="2"/>
      <c r="R87" s="7">
        <f t="shared" si="45"/>
        <v>3.5230302888597883E-4</v>
      </c>
      <c r="S87" s="2"/>
      <c r="T87" s="6">
        <v>547.55999999999995</v>
      </c>
      <c r="U87" s="2"/>
      <c r="V87" s="7">
        <f t="shared" si="46"/>
        <v>1.9031958922417549E-4</v>
      </c>
      <c r="W87" s="2"/>
      <c r="X87" s="6">
        <f t="shared" si="47"/>
        <v>0</v>
      </c>
      <c r="Y87" s="2"/>
      <c r="Z87" s="7">
        <f t="shared" si="48"/>
        <v>0</v>
      </c>
    </row>
    <row r="88" spans="1:26" s="26" customFormat="1" outlineLevel="1" collapsed="1" x14ac:dyDescent="0.25">
      <c r="A88" s="27"/>
      <c r="B88" s="13" t="str">
        <f>CONCATENATE("     ","Freight out/Postage                               ")</f>
        <v xml:space="preserve">     Freight out/Postage                               </v>
      </c>
      <c r="C88" s="13"/>
      <c r="D88" s="1">
        <f>SUM(OSRRefD22_6x_0)</f>
        <v>4164.83</v>
      </c>
      <c r="E88" s="1"/>
      <c r="F88" s="5">
        <f t="shared" si="41"/>
        <v>0.48859182440477938</v>
      </c>
      <c r="G88" s="1"/>
      <c r="H88" s="1">
        <f>SUM(OSRRefH22_6x_0)</f>
        <v>5255.62</v>
      </c>
      <c r="I88" s="1"/>
      <c r="J88" s="5">
        <f t="shared" si="42"/>
        <v>0.35850190484960731</v>
      </c>
      <c r="K88" s="1"/>
      <c r="L88" s="1">
        <f t="shared" si="43"/>
        <v>-1090.79</v>
      </c>
      <c r="M88" s="1"/>
      <c r="N88" s="5">
        <f t="shared" si="44"/>
        <v>-0.20754734931368707</v>
      </c>
      <c r="O88" s="13"/>
      <c r="P88" s="1">
        <f>SUM(OSRRefP22_6x_0)</f>
        <v>4730.83</v>
      </c>
      <c r="Q88" s="1"/>
      <c r="R88" s="5">
        <f t="shared" si="45"/>
        <v>3.0438412925426536E-3</v>
      </c>
      <c r="S88" s="1"/>
      <c r="T88" s="1">
        <f>SUM(OSRRefT22_6x_0)</f>
        <v>9370.7900000000009</v>
      </c>
      <c r="U88" s="1"/>
      <c r="V88" s="5">
        <f t="shared" si="46"/>
        <v>3.2570766738001531E-3</v>
      </c>
      <c r="W88" s="1"/>
      <c r="X88" s="1">
        <f t="shared" si="47"/>
        <v>-4639.9600000000009</v>
      </c>
      <c r="Y88" s="1"/>
      <c r="Z88" s="5">
        <f t="shared" si="48"/>
        <v>-0.49515142266553841</v>
      </c>
    </row>
    <row r="89" spans="1:26" s="24" customFormat="1" hidden="1" outlineLevel="2" x14ac:dyDescent="0.25">
      <c r="A89" s="25"/>
      <c r="B89" s="11" t="str">
        <f>CONCATENATE("          ", "6305", " - ", "FREIGHT OUT")</f>
        <v xml:space="preserve">          6305 - FREIGHT OUT</v>
      </c>
      <c r="C89" s="11"/>
      <c r="D89" s="6">
        <v>4164.83</v>
      </c>
      <c r="E89" s="2"/>
      <c r="F89" s="7">
        <f t="shared" si="41"/>
        <v>0.48859182440477938</v>
      </c>
      <c r="G89" s="2"/>
      <c r="H89" s="6">
        <v>5255.62</v>
      </c>
      <c r="I89" s="2"/>
      <c r="J89" s="7">
        <f t="shared" si="42"/>
        <v>0.35850190484960731</v>
      </c>
      <c r="K89" s="2"/>
      <c r="L89" s="6">
        <f t="shared" si="43"/>
        <v>-1090.79</v>
      </c>
      <c r="M89" s="2"/>
      <c r="N89" s="7">
        <f t="shared" si="44"/>
        <v>-0.20754734931368707</v>
      </c>
      <c r="O89" s="11"/>
      <c r="P89" s="6">
        <v>4730.83</v>
      </c>
      <c r="Q89" s="2"/>
      <c r="R89" s="7">
        <f t="shared" si="45"/>
        <v>3.0438412925426536E-3</v>
      </c>
      <c r="S89" s="2"/>
      <c r="T89" s="6">
        <v>9370.2900000000009</v>
      </c>
      <c r="U89" s="2"/>
      <c r="V89" s="7">
        <f t="shared" si="46"/>
        <v>3.2569028850014605E-3</v>
      </c>
      <c r="W89" s="2"/>
      <c r="X89" s="6">
        <f t="shared" si="47"/>
        <v>-4639.4600000000009</v>
      </c>
      <c r="Y89" s="2"/>
      <c r="Z89" s="7">
        <f t="shared" si="48"/>
        <v>-0.49512448387403168</v>
      </c>
    </row>
    <row r="90" spans="1:26" s="24" customFormat="1" hidden="1" outlineLevel="2" x14ac:dyDescent="0.25">
      <c r="A90" s="25"/>
      <c r="B90" s="11" t="str">
        <f>CONCATENATE("          ", "6307", " - ", "POSTAGE")</f>
        <v xml:space="preserve">          6307 - POSTAGE</v>
      </c>
      <c r="C90" s="11"/>
      <c r="D90" s="6"/>
      <c r="E90" s="2"/>
      <c r="F90" s="7">
        <f t="shared" si="41"/>
        <v>0</v>
      </c>
      <c r="G90" s="2"/>
      <c r="H90" s="6"/>
      <c r="I90" s="2"/>
      <c r="J90" s="7">
        <f t="shared" si="42"/>
        <v>0</v>
      </c>
      <c r="K90" s="2"/>
      <c r="L90" s="6">
        <f t="shared" si="43"/>
        <v>0</v>
      </c>
      <c r="M90" s="2"/>
      <c r="N90" s="7">
        <f t="shared" si="44"/>
        <v>0</v>
      </c>
      <c r="O90" s="11"/>
      <c r="P90" s="6"/>
      <c r="Q90" s="2"/>
      <c r="R90" s="7">
        <f t="shared" si="45"/>
        <v>0</v>
      </c>
      <c r="S90" s="2"/>
      <c r="T90" s="6">
        <v>0.5</v>
      </c>
      <c r="U90" s="2"/>
      <c r="V90" s="7">
        <f t="shared" si="46"/>
        <v>1.73788798692541E-7</v>
      </c>
      <c r="W90" s="2"/>
      <c r="X90" s="6">
        <f t="shared" si="47"/>
        <v>-0.5</v>
      </c>
      <c r="Y90" s="2"/>
      <c r="Z90" s="7">
        <f t="shared" si="48"/>
        <v>-1</v>
      </c>
    </row>
    <row r="91" spans="1:26" s="26" customFormat="1" outlineLevel="1" collapsed="1" x14ac:dyDescent="0.25">
      <c r="A91" s="27"/>
      <c r="B91" s="13" t="str">
        <f>CONCATENATE("     ","General                                           ")</f>
        <v xml:space="preserve">     General                                           </v>
      </c>
      <c r="C91" s="13"/>
      <c r="D91" s="1">
        <f>SUM(OSRRefD22_7x_0)</f>
        <v>3792.73</v>
      </c>
      <c r="E91" s="1"/>
      <c r="F91" s="5">
        <f t="shared" ref="F91:F97" si="49">IF(D$12=0,0,D91/D$12)</f>
        <v>0.44493937811981255</v>
      </c>
      <c r="G91" s="1"/>
      <c r="H91" s="1">
        <f>SUM(OSRRefH22_7x_0)</f>
        <v>9645.06</v>
      </c>
      <c r="I91" s="1"/>
      <c r="J91" s="5">
        <f t="shared" ref="J91:J97" si="50">IF(H$12=0,0,H91/H$12)</f>
        <v>0.65791902428043758</v>
      </c>
      <c r="K91" s="1"/>
      <c r="L91" s="1">
        <f t="shared" ref="L91:L97" si="51">+D91-H91</f>
        <v>-5852.33</v>
      </c>
      <c r="M91" s="1"/>
      <c r="N91" s="5">
        <f t="shared" ref="N91:N97" si="52">IF(H91=0,0,L91/H91)</f>
        <v>-0.60676968313312729</v>
      </c>
      <c r="O91" s="13"/>
      <c r="P91" s="1">
        <f>SUM(OSRRefP22_7x_0)</f>
        <v>-1041.46</v>
      </c>
      <c r="Q91" s="1"/>
      <c r="R91" s="5">
        <f t="shared" ref="R91:R97" si="53">IF(P$12=0,0,P91/P$12)</f>
        <v>-6.7008092713783242E-4</v>
      </c>
      <c r="S91" s="1"/>
      <c r="T91" s="1">
        <f>SUM(OSRRefT22_7x_0)</f>
        <v>8152.9</v>
      </c>
      <c r="U91" s="1"/>
      <c r="V91" s="5">
        <f t="shared" ref="V91:V97" si="54">IF(T$12=0,0,T91/T$12)</f>
        <v>2.8337653937208348E-3</v>
      </c>
      <c r="W91" s="1"/>
      <c r="X91" s="1">
        <f t="shared" ref="X91:X97" si="55">+P91-T91</f>
        <v>-9194.36</v>
      </c>
      <c r="Y91" s="1"/>
      <c r="Z91" s="5">
        <f t="shared" ref="Z91:Z97" si="56">IF(T91=0,0,X91/T91)</f>
        <v>-1.1277410491972182</v>
      </c>
    </row>
    <row r="92" spans="1:26" s="24" customFormat="1" hidden="1" outlineLevel="2" x14ac:dyDescent="0.25">
      <c r="A92" s="25"/>
      <c r="B92" s="11" t="str">
        <f>CONCATENATE("          ", "6279", " - ", "GENERAL EXPENSE")</f>
        <v xml:space="preserve">          6279 - GENERAL EXPENSE</v>
      </c>
      <c r="C92" s="11"/>
      <c r="D92" s="6">
        <v>3792.73</v>
      </c>
      <c r="E92" s="2"/>
      <c r="F92" s="7">
        <f t="shared" si="49"/>
        <v>0.44493937811981255</v>
      </c>
      <c r="G92" s="2"/>
      <c r="H92" s="6">
        <v>9645.06</v>
      </c>
      <c r="I92" s="2"/>
      <c r="J92" s="7">
        <f t="shared" si="50"/>
        <v>0.65791902428043758</v>
      </c>
      <c r="K92" s="2"/>
      <c r="L92" s="6">
        <f t="shared" si="51"/>
        <v>-5852.33</v>
      </c>
      <c r="M92" s="2"/>
      <c r="N92" s="7">
        <f t="shared" si="52"/>
        <v>-0.60676968313312729</v>
      </c>
      <c r="O92" s="11"/>
      <c r="P92" s="6">
        <v>-1041.46</v>
      </c>
      <c r="Q92" s="2"/>
      <c r="R92" s="7">
        <f t="shared" si="53"/>
        <v>-6.7008092713783242E-4</v>
      </c>
      <c r="S92" s="2"/>
      <c r="T92" s="6">
        <v>8152.9</v>
      </c>
      <c r="U92" s="2"/>
      <c r="V92" s="7">
        <f t="shared" si="54"/>
        <v>2.8337653937208348E-3</v>
      </c>
      <c r="W92" s="2"/>
      <c r="X92" s="6">
        <f t="shared" si="55"/>
        <v>-9194.36</v>
      </c>
      <c r="Y92" s="2"/>
      <c r="Z92" s="7">
        <f t="shared" si="56"/>
        <v>-1.1277410491972182</v>
      </c>
    </row>
    <row r="93" spans="1:26" s="26" customFormat="1" outlineLevel="1" collapsed="1" x14ac:dyDescent="0.25">
      <c r="A93" s="27"/>
      <c r="B93" s="13" t="str">
        <f>CONCATENATE("     ","Inventory Adjustment                              ")</f>
        <v xml:space="preserve">     Inventory Adjustment                              </v>
      </c>
      <c r="C93" s="13"/>
      <c r="D93" s="1">
        <f>SUM(OSRRefD22_8x_0)</f>
        <v>1000</v>
      </c>
      <c r="E93" s="1"/>
      <c r="F93" s="5">
        <f t="shared" si="49"/>
        <v>0.11731374975804039</v>
      </c>
      <c r="G93" s="1"/>
      <c r="H93" s="1">
        <f>SUM(OSRRefH22_8x_0)</f>
        <v>1000</v>
      </c>
      <c r="I93" s="1"/>
      <c r="J93" s="5">
        <f t="shared" si="50"/>
        <v>6.8213056661175525E-2</v>
      </c>
      <c r="K93" s="1"/>
      <c r="L93" s="1">
        <f t="shared" si="51"/>
        <v>0</v>
      </c>
      <c r="M93" s="1"/>
      <c r="N93" s="5">
        <f t="shared" si="52"/>
        <v>0</v>
      </c>
      <c r="O93" s="13"/>
      <c r="P93" s="1">
        <f>SUM(OSRRefP22_8x_0)</f>
        <v>5000</v>
      </c>
      <c r="Q93" s="1"/>
      <c r="R93" s="5">
        <f t="shared" si="53"/>
        <v>3.2170267083605343E-3</v>
      </c>
      <c r="S93" s="1"/>
      <c r="T93" s="1">
        <f>SUM(OSRRefT22_8x_0)</f>
        <v>5000</v>
      </c>
      <c r="U93" s="1"/>
      <c r="V93" s="5">
        <f t="shared" si="54"/>
        <v>1.7378879869254101E-3</v>
      </c>
      <c r="W93" s="1"/>
      <c r="X93" s="1">
        <f t="shared" si="55"/>
        <v>0</v>
      </c>
      <c r="Y93" s="1"/>
      <c r="Z93" s="5">
        <f t="shared" si="56"/>
        <v>0</v>
      </c>
    </row>
    <row r="94" spans="1:26" s="24" customFormat="1" hidden="1" outlineLevel="2" x14ac:dyDescent="0.25">
      <c r="A94" s="25"/>
      <c r="B94" s="11" t="str">
        <f>CONCATENATE("          ", "6408", " - ", "INVENTORY ADJUSTMENT")</f>
        <v xml:space="preserve">          6408 - INVENTORY ADJUSTMENT</v>
      </c>
      <c r="C94" s="11"/>
      <c r="D94" s="6">
        <v>1000</v>
      </c>
      <c r="E94" s="2"/>
      <c r="F94" s="7">
        <f t="shared" si="49"/>
        <v>0.11731374975804039</v>
      </c>
      <c r="G94" s="2"/>
      <c r="H94" s="6">
        <v>1000</v>
      </c>
      <c r="I94" s="2"/>
      <c r="J94" s="7">
        <f t="shared" si="50"/>
        <v>6.8213056661175525E-2</v>
      </c>
      <c r="K94" s="2"/>
      <c r="L94" s="6">
        <f t="shared" si="51"/>
        <v>0</v>
      </c>
      <c r="M94" s="2"/>
      <c r="N94" s="7">
        <f t="shared" si="52"/>
        <v>0</v>
      </c>
      <c r="O94" s="11"/>
      <c r="P94" s="6">
        <v>5000</v>
      </c>
      <c r="Q94" s="2"/>
      <c r="R94" s="7">
        <f t="shared" si="53"/>
        <v>3.2170267083605343E-3</v>
      </c>
      <c r="S94" s="2"/>
      <c r="T94" s="6">
        <v>5000</v>
      </c>
      <c r="U94" s="2"/>
      <c r="V94" s="7">
        <f t="shared" si="54"/>
        <v>1.7378879869254101E-3</v>
      </c>
      <c r="W94" s="2"/>
      <c r="X94" s="6">
        <f t="shared" si="55"/>
        <v>0</v>
      </c>
      <c r="Y94" s="2"/>
      <c r="Z94" s="7">
        <f t="shared" si="56"/>
        <v>0</v>
      </c>
    </row>
    <row r="95" spans="1:26" s="26" customFormat="1" outlineLevel="1" collapsed="1" x14ac:dyDescent="0.25">
      <c r="A95" s="27"/>
      <c r="B95" s="13" t="str">
        <f>CONCATENATE("     ","Repair and Maintenance                            ")</f>
        <v xml:space="preserve">     Repair and Maintenance                            </v>
      </c>
      <c r="C95" s="13"/>
      <c r="D95" s="1">
        <f>SUM(OSRRefD22_9x_0)</f>
        <v>22.16</v>
      </c>
      <c r="E95" s="1"/>
      <c r="F95" s="5">
        <f t="shared" si="49"/>
        <v>2.599672694638175E-3</v>
      </c>
      <c r="G95" s="1"/>
      <c r="H95" s="1">
        <f>SUM(OSRRefH22_9x_0)</f>
        <v>21.62</v>
      </c>
      <c r="I95" s="1"/>
      <c r="J95" s="5">
        <f t="shared" si="50"/>
        <v>1.474766285014615E-3</v>
      </c>
      <c r="K95" s="1"/>
      <c r="L95" s="1">
        <f t="shared" si="51"/>
        <v>0.53999999999999915</v>
      </c>
      <c r="M95" s="1"/>
      <c r="N95" s="5">
        <f t="shared" si="52"/>
        <v>2.4976873265494873E-2</v>
      </c>
      <c r="O95" s="13"/>
      <c r="P95" s="1">
        <f>SUM(OSRRefP22_9x_0)</f>
        <v>133.63</v>
      </c>
      <c r="Q95" s="1"/>
      <c r="R95" s="5">
        <f t="shared" si="53"/>
        <v>8.5978255807643645E-5</v>
      </c>
      <c r="S95" s="1"/>
      <c r="T95" s="1">
        <f>SUM(OSRRefT22_9x_0)</f>
        <v>119.56</v>
      </c>
      <c r="U95" s="1"/>
      <c r="V95" s="5">
        <f t="shared" si="54"/>
        <v>4.1556377543360405E-5</v>
      </c>
      <c r="W95" s="1"/>
      <c r="X95" s="1">
        <f t="shared" si="55"/>
        <v>14.069999999999993</v>
      </c>
      <c r="Y95" s="1"/>
      <c r="Z95" s="5">
        <f t="shared" si="56"/>
        <v>0.11768149882903975</v>
      </c>
    </row>
    <row r="96" spans="1:26" s="24" customFormat="1" hidden="1" outlineLevel="2" x14ac:dyDescent="0.25">
      <c r="A96" s="25"/>
      <c r="B96" s="11" t="str">
        <f>CONCATENATE("          ", "6373", " - ", "MAINTENANCE CONTRACTS")</f>
        <v xml:space="preserve">          6373 - MAINTENANCE CONTRACTS</v>
      </c>
      <c r="C96" s="11"/>
      <c r="D96" s="6">
        <v>22.16</v>
      </c>
      <c r="E96" s="2"/>
      <c r="F96" s="7">
        <f t="shared" si="49"/>
        <v>2.599672694638175E-3</v>
      </c>
      <c r="G96" s="2"/>
      <c r="H96" s="6">
        <v>21.62</v>
      </c>
      <c r="I96" s="2"/>
      <c r="J96" s="7">
        <f t="shared" si="50"/>
        <v>1.474766285014615E-3</v>
      </c>
      <c r="K96" s="2"/>
      <c r="L96" s="6">
        <f t="shared" si="51"/>
        <v>0.53999999999999915</v>
      </c>
      <c r="M96" s="2"/>
      <c r="N96" s="7">
        <f t="shared" si="52"/>
        <v>2.4976873265494873E-2</v>
      </c>
      <c r="O96" s="11"/>
      <c r="P96" s="6">
        <v>108.52</v>
      </c>
      <c r="Q96" s="2"/>
      <c r="R96" s="7">
        <f t="shared" si="53"/>
        <v>6.9822347678257031E-5</v>
      </c>
      <c r="S96" s="2"/>
      <c r="T96" s="6">
        <v>119.56</v>
      </c>
      <c r="U96" s="2"/>
      <c r="V96" s="7">
        <f t="shared" si="54"/>
        <v>4.1556377543360405E-5</v>
      </c>
      <c r="W96" s="2"/>
      <c r="X96" s="6">
        <f t="shared" si="55"/>
        <v>-11.040000000000006</v>
      </c>
      <c r="Y96" s="2"/>
      <c r="Z96" s="7">
        <f t="shared" si="56"/>
        <v>-9.2338574774172011E-2</v>
      </c>
    </row>
    <row r="97" spans="1:26" s="24" customFormat="1" hidden="1" outlineLevel="2" x14ac:dyDescent="0.25">
      <c r="A97" s="25"/>
      <c r="B97" s="11" t="str">
        <f>CONCATENATE("          ", "6375", " - ", "OUTSIDE REPAIRS &amp; MAINTENANCE")</f>
        <v xml:space="preserve">          6375 - OUTSIDE REPAIRS &amp; MAINTENANCE</v>
      </c>
      <c r="C97" s="11"/>
      <c r="D97" s="6"/>
      <c r="E97" s="2"/>
      <c r="F97" s="7">
        <f t="shared" si="49"/>
        <v>0</v>
      </c>
      <c r="G97" s="2"/>
      <c r="H97" s="6"/>
      <c r="I97" s="2"/>
      <c r="J97" s="7">
        <f t="shared" si="50"/>
        <v>0</v>
      </c>
      <c r="K97" s="2"/>
      <c r="L97" s="6">
        <f t="shared" si="51"/>
        <v>0</v>
      </c>
      <c r="M97" s="2"/>
      <c r="N97" s="7">
        <f t="shared" si="52"/>
        <v>0</v>
      </c>
      <c r="O97" s="11"/>
      <c r="P97" s="6">
        <v>25.11</v>
      </c>
      <c r="Q97" s="2"/>
      <c r="R97" s="7">
        <f t="shared" si="53"/>
        <v>1.6155908129386604E-5</v>
      </c>
      <c r="S97" s="2"/>
      <c r="T97" s="6"/>
      <c r="U97" s="2"/>
      <c r="V97" s="7">
        <f t="shared" si="54"/>
        <v>0</v>
      </c>
      <c r="W97" s="2"/>
      <c r="X97" s="6">
        <f t="shared" si="55"/>
        <v>25.11</v>
      </c>
      <c r="Y97" s="2"/>
      <c r="Z97" s="7">
        <f t="shared" si="56"/>
        <v>0</v>
      </c>
    </row>
    <row r="98" spans="1:26" s="26" customFormat="1" outlineLevel="1" collapsed="1" x14ac:dyDescent="0.25">
      <c r="A98" s="27"/>
      <c r="B98" s="13" t="str">
        <f>CONCATENATE("     ","Subscriptions &amp; Dues                              ")</f>
        <v xml:space="preserve">     Subscriptions &amp; Dues                              </v>
      </c>
      <c r="C98" s="13"/>
      <c r="D98" s="1">
        <f>SUM(OSRRefD22_10x_0)</f>
        <v>166.92</v>
      </c>
      <c r="E98" s="1"/>
      <c r="F98" s="5">
        <f t="shared" ref="F98:F103" si="57">IF(D$12=0,0,D98/D$12)</f>
        <v>1.9582011109612101E-2</v>
      </c>
      <c r="G98" s="1"/>
      <c r="H98" s="1">
        <f>SUM(OSRRefH22_10x_0)</f>
        <v>250</v>
      </c>
      <c r="I98" s="1"/>
      <c r="J98" s="5">
        <f t="shared" ref="J98:J103" si="58">IF(H$12=0,0,H98/H$12)</f>
        <v>1.7053264165293881E-2</v>
      </c>
      <c r="K98" s="1"/>
      <c r="L98" s="1">
        <f t="shared" ref="L98:L103" si="59">+D98-H98</f>
        <v>-83.080000000000013</v>
      </c>
      <c r="M98" s="1"/>
      <c r="N98" s="5">
        <f t="shared" ref="N98:N103" si="60">IF(H98=0,0,L98/H98)</f>
        <v>-0.33232000000000006</v>
      </c>
      <c r="O98" s="13"/>
      <c r="P98" s="1">
        <f>SUM(OSRRefP22_10x_0)</f>
        <v>1590.28</v>
      </c>
      <c r="Q98" s="1"/>
      <c r="R98" s="5">
        <f t="shared" ref="R98:R103" si="61">IF(P$12=0,0,P98/P$12)</f>
        <v>1.0231946467543181E-3</v>
      </c>
      <c r="S98" s="1"/>
      <c r="T98" s="1">
        <f>SUM(OSRRefT22_10x_0)</f>
        <v>1307.4000000000001</v>
      </c>
      <c r="U98" s="1"/>
      <c r="V98" s="5">
        <f t="shared" ref="V98:V103" si="62">IF(T$12=0,0,T98/T$12)</f>
        <v>4.5442295082125626E-4</v>
      </c>
      <c r="W98" s="1"/>
      <c r="X98" s="1">
        <f t="shared" ref="X98:X103" si="63">+P98-T98</f>
        <v>282.87999999999988</v>
      </c>
      <c r="Y98" s="1"/>
      <c r="Z98" s="5">
        <f t="shared" ref="Z98:Z103" si="64">IF(T98=0,0,X98/T98)</f>
        <v>0.21636836469328427</v>
      </c>
    </row>
    <row r="99" spans="1:26" s="24" customFormat="1" hidden="1" outlineLevel="2" x14ac:dyDescent="0.25">
      <c r="A99" s="25"/>
      <c r="B99" s="11" t="str">
        <f>CONCATENATE("          ", "6258", " - ", "MEMBERSHIP DUES")</f>
        <v xml:space="preserve">          6258 - MEMBERSHIP DUES</v>
      </c>
      <c r="C99" s="11"/>
      <c r="D99" s="6">
        <v>166.92</v>
      </c>
      <c r="E99" s="2"/>
      <c r="F99" s="7">
        <f t="shared" si="57"/>
        <v>1.9582011109612101E-2</v>
      </c>
      <c r="G99" s="2"/>
      <c r="H99" s="6">
        <v>250</v>
      </c>
      <c r="I99" s="2"/>
      <c r="J99" s="7">
        <f t="shared" si="58"/>
        <v>1.7053264165293881E-2</v>
      </c>
      <c r="K99" s="2"/>
      <c r="L99" s="6">
        <f t="shared" si="59"/>
        <v>-83.080000000000013</v>
      </c>
      <c r="M99" s="2"/>
      <c r="N99" s="7">
        <f t="shared" si="60"/>
        <v>-0.33232000000000006</v>
      </c>
      <c r="O99" s="11"/>
      <c r="P99" s="6">
        <v>1590.28</v>
      </c>
      <c r="Q99" s="2"/>
      <c r="R99" s="7">
        <f t="shared" si="61"/>
        <v>1.0231946467543181E-3</v>
      </c>
      <c r="S99" s="2"/>
      <c r="T99" s="6">
        <v>1307.4000000000001</v>
      </c>
      <c r="U99" s="2"/>
      <c r="V99" s="7">
        <f t="shared" si="62"/>
        <v>4.5442295082125626E-4</v>
      </c>
      <c r="W99" s="2"/>
      <c r="X99" s="6">
        <f t="shared" si="63"/>
        <v>282.87999999999988</v>
      </c>
      <c r="Y99" s="2"/>
      <c r="Z99" s="7">
        <f t="shared" si="64"/>
        <v>0.21636836469328427</v>
      </c>
    </row>
    <row r="100" spans="1:26" s="26" customFormat="1" outlineLevel="1" collapsed="1" x14ac:dyDescent="0.25">
      <c r="A100" s="27"/>
      <c r="B100" s="13" t="str">
        <f>CONCATENATE("     ","Supplies                                          ")</f>
        <v xml:space="preserve">     Supplies                                          </v>
      </c>
      <c r="C100" s="13"/>
      <c r="D100" s="1">
        <f>SUM(OSRRefD22_11x_0)</f>
        <v>311.44</v>
      </c>
      <c r="E100" s="1"/>
      <c r="F100" s="5">
        <f t="shared" si="57"/>
        <v>3.6536194224644103E-2</v>
      </c>
      <c r="G100" s="1"/>
      <c r="H100" s="1">
        <f>SUM(OSRRefH22_11x_0)</f>
        <v>78.040000000000006</v>
      </c>
      <c r="I100" s="1"/>
      <c r="J100" s="5">
        <f t="shared" si="58"/>
        <v>5.3233469418381384E-3</v>
      </c>
      <c r="K100" s="1"/>
      <c r="L100" s="1">
        <f t="shared" si="59"/>
        <v>233.39999999999998</v>
      </c>
      <c r="M100" s="1"/>
      <c r="N100" s="5">
        <f t="shared" si="60"/>
        <v>2.9907739620707323</v>
      </c>
      <c r="O100" s="13"/>
      <c r="P100" s="1">
        <f>SUM(OSRRefP22_11x_0)</f>
        <v>1546.69</v>
      </c>
      <c r="Q100" s="1"/>
      <c r="R100" s="5">
        <f t="shared" si="61"/>
        <v>9.95148607910831E-4</v>
      </c>
      <c r="S100" s="1"/>
      <c r="T100" s="1">
        <f>SUM(OSRRefT22_11x_0)</f>
        <v>9214.59</v>
      </c>
      <c r="U100" s="1"/>
      <c r="V100" s="5">
        <f t="shared" si="62"/>
        <v>3.2027850530886031E-3</v>
      </c>
      <c r="W100" s="1"/>
      <c r="X100" s="1">
        <f t="shared" si="63"/>
        <v>-7667.9</v>
      </c>
      <c r="Y100" s="1"/>
      <c r="Z100" s="5">
        <f t="shared" si="64"/>
        <v>-0.83214771357162931</v>
      </c>
    </row>
    <row r="101" spans="1:26" s="24" customFormat="1" hidden="1" outlineLevel="2" x14ac:dyDescent="0.25">
      <c r="A101" s="25"/>
      <c r="B101" s="11" t="str">
        <f>CONCATENATE("          ", "6241", " - ", "OFFICE EXPENSE")</f>
        <v xml:space="preserve">          6241 - OFFICE EXPENSE</v>
      </c>
      <c r="C101" s="11"/>
      <c r="D101" s="6">
        <v>311.44</v>
      </c>
      <c r="E101" s="2"/>
      <c r="F101" s="7">
        <f t="shared" si="57"/>
        <v>3.6536194224644103E-2</v>
      </c>
      <c r="G101" s="2"/>
      <c r="H101" s="6">
        <v>78.040000000000006</v>
      </c>
      <c r="I101" s="2"/>
      <c r="J101" s="7">
        <f t="shared" si="58"/>
        <v>5.3233469418381384E-3</v>
      </c>
      <c r="K101" s="2"/>
      <c r="L101" s="6">
        <f t="shared" si="59"/>
        <v>233.39999999999998</v>
      </c>
      <c r="M101" s="2"/>
      <c r="N101" s="7">
        <f t="shared" si="60"/>
        <v>2.9907739620707323</v>
      </c>
      <c r="O101" s="11"/>
      <c r="P101" s="6">
        <v>913.59</v>
      </c>
      <c r="Q101" s="2"/>
      <c r="R101" s="7">
        <f t="shared" si="61"/>
        <v>5.8780868609822011E-4</v>
      </c>
      <c r="S101" s="2"/>
      <c r="T101" s="6">
        <v>3375.47</v>
      </c>
      <c r="U101" s="2"/>
      <c r="V101" s="7">
        <f t="shared" si="62"/>
        <v>1.1732377526454227E-3</v>
      </c>
      <c r="W101" s="2"/>
      <c r="X101" s="6">
        <f t="shared" si="63"/>
        <v>-2461.8799999999997</v>
      </c>
      <c r="Y101" s="2"/>
      <c r="Z101" s="7">
        <f t="shared" si="64"/>
        <v>-0.72934435797088992</v>
      </c>
    </row>
    <row r="102" spans="1:26" s="24" customFormat="1" hidden="1" outlineLevel="2" x14ac:dyDescent="0.25">
      <c r="A102" s="25"/>
      <c r="B102" s="11" t="str">
        <f>CONCATENATE("          ", "6245", " - ", "PRINTING")</f>
        <v xml:space="preserve">          6245 - PRINTING</v>
      </c>
      <c r="C102" s="11"/>
      <c r="D102" s="6"/>
      <c r="E102" s="2"/>
      <c r="F102" s="7">
        <f t="shared" si="57"/>
        <v>0</v>
      </c>
      <c r="G102" s="2"/>
      <c r="H102" s="6"/>
      <c r="I102" s="2"/>
      <c r="J102" s="7">
        <f t="shared" si="58"/>
        <v>0</v>
      </c>
      <c r="K102" s="2"/>
      <c r="L102" s="6">
        <f t="shared" si="59"/>
        <v>0</v>
      </c>
      <c r="M102" s="2"/>
      <c r="N102" s="7">
        <f t="shared" si="60"/>
        <v>0</v>
      </c>
      <c r="O102" s="11"/>
      <c r="P102" s="6"/>
      <c r="Q102" s="2"/>
      <c r="R102" s="7">
        <f t="shared" si="61"/>
        <v>0</v>
      </c>
      <c r="S102" s="2"/>
      <c r="T102" s="6">
        <v>4978.08</v>
      </c>
      <c r="U102" s="2"/>
      <c r="V102" s="7">
        <f t="shared" si="62"/>
        <v>1.7302690859907291E-3</v>
      </c>
      <c r="W102" s="2"/>
      <c r="X102" s="6">
        <f t="shared" si="63"/>
        <v>-4978.08</v>
      </c>
      <c r="Y102" s="2"/>
      <c r="Z102" s="7">
        <f t="shared" si="64"/>
        <v>-1</v>
      </c>
    </row>
    <row r="103" spans="1:26" s="24" customFormat="1" hidden="1" outlineLevel="2" x14ac:dyDescent="0.25">
      <c r="A103" s="25"/>
      <c r="B103" s="11" t="str">
        <f>CONCATENATE("          ", "6247", " - ", "STORE SUPPLIES")</f>
        <v xml:space="preserve">          6247 - STORE SUPPLIES</v>
      </c>
      <c r="C103" s="11"/>
      <c r="D103" s="6"/>
      <c r="E103" s="2"/>
      <c r="F103" s="7">
        <f t="shared" si="57"/>
        <v>0</v>
      </c>
      <c r="G103" s="2"/>
      <c r="H103" s="6"/>
      <c r="I103" s="2"/>
      <c r="J103" s="7">
        <f t="shared" si="58"/>
        <v>0</v>
      </c>
      <c r="K103" s="2"/>
      <c r="L103" s="6">
        <f t="shared" si="59"/>
        <v>0</v>
      </c>
      <c r="M103" s="2"/>
      <c r="N103" s="7">
        <f t="shared" si="60"/>
        <v>0</v>
      </c>
      <c r="O103" s="11"/>
      <c r="P103" s="6">
        <v>633.1</v>
      </c>
      <c r="Q103" s="2"/>
      <c r="R103" s="7">
        <f t="shared" si="61"/>
        <v>4.0733992181261089E-4</v>
      </c>
      <c r="S103" s="2"/>
      <c r="T103" s="6">
        <v>861.04</v>
      </c>
      <c r="U103" s="2"/>
      <c r="V103" s="7">
        <f t="shared" si="62"/>
        <v>2.9927821445245101E-4</v>
      </c>
      <c r="W103" s="2"/>
      <c r="X103" s="6">
        <f t="shared" si="63"/>
        <v>-227.93999999999994</v>
      </c>
      <c r="Y103" s="2"/>
      <c r="Z103" s="7">
        <f t="shared" si="64"/>
        <v>-0.26472637740406946</v>
      </c>
    </row>
    <row r="104" spans="1:26" s="26" customFormat="1" outlineLevel="1" collapsed="1" x14ac:dyDescent="0.25">
      <c r="A104" s="27"/>
      <c r="B104" s="13" t="str">
        <f>CONCATENATE("     ","Telephone/Data Lines                              ")</f>
        <v xml:space="preserve">     Telephone/Data Lines                              </v>
      </c>
      <c r="C104" s="13"/>
      <c r="D104" s="1">
        <f>SUM(OSRRefD22_12x_0)</f>
        <v>1346.65</v>
      </c>
      <c r="E104" s="1"/>
      <c r="F104" s="5">
        <f t="shared" ref="F104:F106" si="65">IF(D$12=0,0,D104/D$12)</f>
        <v>0.15798056111166511</v>
      </c>
      <c r="G104" s="1"/>
      <c r="H104" s="1">
        <f>SUM(OSRRefH22_12x_0)</f>
        <v>769.99</v>
      </c>
      <c r="I104" s="1"/>
      <c r="J104" s="5">
        <f t="shared" ref="J104:J106" si="66">IF(H$12=0,0,H104/H$12)</f>
        <v>5.2523371498538543E-2</v>
      </c>
      <c r="K104" s="1"/>
      <c r="L104" s="1">
        <f t="shared" ref="L104:L106" si="67">+D104-H104</f>
        <v>576.66000000000008</v>
      </c>
      <c r="M104" s="1"/>
      <c r="N104" s="5">
        <f t="shared" ref="N104:N106" si="68">IF(H104=0,0,L104/H104)</f>
        <v>0.74891881712749531</v>
      </c>
      <c r="O104" s="13"/>
      <c r="P104" s="1">
        <f>SUM(OSRRefP22_12x_0)</f>
        <v>4580.5</v>
      </c>
      <c r="Q104" s="1"/>
      <c r="R104" s="5">
        <f t="shared" ref="R104:R106" si="69">IF(P$12=0,0,P104/P$12)</f>
        <v>2.9471181675290855E-3</v>
      </c>
      <c r="S104" s="1"/>
      <c r="T104" s="1">
        <f>SUM(OSRRefT22_12x_0)</f>
        <v>3868.59</v>
      </c>
      <c r="U104" s="1"/>
      <c r="V104" s="5">
        <f t="shared" ref="V104:V106" si="70">IF(T$12=0,0,T104/T$12)</f>
        <v>1.3446352174679545E-3</v>
      </c>
      <c r="W104" s="1"/>
      <c r="X104" s="1">
        <f t="shared" ref="X104:X106" si="71">+P104-T104</f>
        <v>711.90999999999985</v>
      </c>
      <c r="Y104" s="1"/>
      <c r="Z104" s="5">
        <f t="shared" ref="Z104:Z106" si="72">IF(T104=0,0,X104/T104)</f>
        <v>0.18402311953450737</v>
      </c>
    </row>
    <row r="105" spans="1:26" s="24" customFormat="1" hidden="1" outlineLevel="2" x14ac:dyDescent="0.25">
      <c r="A105" s="25"/>
      <c r="B105" s="11" t="str">
        <f>CONCATENATE("          ", "6303", " - ", "DATA PHONE LINES")</f>
        <v xml:space="preserve">          6303 - DATA PHONE LINES</v>
      </c>
      <c r="C105" s="11"/>
      <c r="D105" s="6">
        <v>885</v>
      </c>
      <c r="E105" s="2"/>
      <c r="F105" s="7">
        <f t="shared" si="65"/>
        <v>0.10382266853586575</v>
      </c>
      <c r="G105" s="2"/>
      <c r="H105" s="6">
        <v>295</v>
      </c>
      <c r="I105" s="2"/>
      <c r="J105" s="7">
        <f t="shared" si="66"/>
        <v>2.0122851715046783E-2</v>
      </c>
      <c r="K105" s="2"/>
      <c r="L105" s="6">
        <f t="shared" si="67"/>
        <v>590</v>
      </c>
      <c r="M105" s="2"/>
      <c r="N105" s="7">
        <f t="shared" si="68"/>
        <v>2</v>
      </c>
      <c r="O105" s="11"/>
      <c r="P105" s="6">
        <v>2065</v>
      </c>
      <c r="Q105" s="2"/>
      <c r="R105" s="7">
        <f t="shared" si="69"/>
        <v>1.3286320305529007E-3</v>
      </c>
      <c r="S105" s="2"/>
      <c r="T105" s="6">
        <v>1475</v>
      </c>
      <c r="U105" s="2"/>
      <c r="V105" s="7">
        <f t="shared" si="70"/>
        <v>5.1267695614299594E-4</v>
      </c>
      <c r="W105" s="2"/>
      <c r="X105" s="6">
        <f t="shared" si="71"/>
        <v>590</v>
      </c>
      <c r="Y105" s="2"/>
      <c r="Z105" s="7">
        <f t="shared" si="72"/>
        <v>0.4</v>
      </c>
    </row>
    <row r="106" spans="1:26" s="24" customFormat="1" hidden="1" outlineLevel="2" x14ac:dyDescent="0.25">
      <c r="A106" s="25"/>
      <c r="B106" s="11" t="str">
        <f>CONCATENATE("          ", "6309", " - ", "TELEPHONE")</f>
        <v xml:space="preserve">          6309 - TELEPHONE</v>
      </c>
      <c r="C106" s="11"/>
      <c r="D106" s="6">
        <v>461.65</v>
      </c>
      <c r="E106" s="2"/>
      <c r="F106" s="7">
        <f t="shared" si="65"/>
        <v>5.4157892575799345E-2</v>
      </c>
      <c r="G106" s="2"/>
      <c r="H106" s="6">
        <v>474.99</v>
      </c>
      <c r="I106" s="2"/>
      <c r="J106" s="7">
        <f t="shared" si="66"/>
        <v>3.2400519783491767E-2</v>
      </c>
      <c r="K106" s="2"/>
      <c r="L106" s="6">
        <f t="shared" si="67"/>
        <v>-13.340000000000032</v>
      </c>
      <c r="M106" s="2"/>
      <c r="N106" s="7">
        <f t="shared" si="68"/>
        <v>-2.808480178530081E-2</v>
      </c>
      <c r="O106" s="11"/>
      <c r="P106" s="6">
        <v>2515.5</v>
      </c>
      <c r="Q106" s="2"/>
      <c r="R106" s="7">
        <f t="shared" si="69"/>
        <v>1.6184861369761849E-3</v>
      </c>
      <c r="S106" s="2"/>
      <c r="T106" s="6">
        <v>2393.59</v>
      </c>
      <c r="U106" s="2"/>
      <c r="V106" s="7">
        <f t="shared" si="70"/>
        <v>8.3195826132495846E-4</v>
      </c>
      <c r="W106" s="2"/>
      <c r="X106" s="6">
        <f t="shared" si="71"/>
        <v>121.90999999999985</v>
      </c>
      <c r="Y106" s="2"/>
      <c r="Z106" s="7">
        <f t="shared" si="72"/>
        <v>5.0931863853040764E-2</v>
      </c>
    </row>
    <row r="107" spans="1:26" s="26" customFormat="1" outlineLevel="1" collapsed="1" x14ac:dyDescent="0.25">
      <c r="A107" s="27"/>
      <c r="B107" s="13" t="str">
        <f>CONCATENATE("     ","Training                                          ")</f>
        <v xml:space="preserve">     Training                                          </v>
      </c>
      <c r="C107" s="13"/>
      <c r="D107" s="1">
        <f>SUM(OSRRefD22_13x_0)</f>
        <v>0</v>
      </c>
      <c r="E107" s="1"/>
      <c r="F107" s="5">
        <f t="shared" ref="F107:F110" si="73">IF(D$12=0,0,D107/D$12)</f>
        <v>0</v>
      </c>
      <c r="G107" s="1"/>
      <c r="H107" s="1">
        <f>SUM(OSRRefH22_13x_0)</f>
        <v>0</v>
      </c>
      <c r="I107" s="1"/>
      <c r="J107" s="5">
        <f t="shared" ref="J107:J110" si="74">IF(H$12=0,0,H107/H$12)</f>
        <v>0</v>
      </c>
      <c r="K107" s="1"/>
      <c r="L107" s="1">
        <f t="shared" ref="L107:L110" si="75">+D107-H107</f>
        <v>0</v>
      </c>
      <c r="M107" s="1"/>
      <c r="N107" s="5">
        <f t="shared" ref="N107:N110" si="76">IF(H107=0,0,L107/H107)</f>
        <v>0</v>
      </c>
      <c r="O107" s="13"/>
      <c r="P107" s="1">
        <f>SUM(OSRRefP22_13x_0)</f>
        <v>0</v>
      </c>
      <c r="Q107" s="1"/>
      <c r="R107" s="5">
        <f t="shared" ref="R107:R110" si="77">IF(P$12=0,0,P107/P$12)</f>
        <v>0</v>
      </c>
      <c r="S107" s="1"/>
      <c r="T107" s="1">
        <f>SUM(OSRRefT22_13x_0)</f>
        <v>547.47</v>
      </c>
      <c r="U107" s="1"/>
      <c r="V107" s="5">
        <f t="shared" ref="V107:V110" si="78">IF(T$12=0,0,T107/T$12)</f>
        <v>1.9028830724041087E-4</v>
      </c>
      <c r="W107" s="1"/>
      <c r="X107" s="1">
        <f t="shared" ref="X107:X110" si="79">+P107-T107</f>
        <v>-547.47</v>
      </c>
      <c r="Y107" s="1"/>
      <c r="Z107" s="5">
        <f t="shared" ref="Z107:Z110" si="80">IF(T107=0,0,X107/T107)</f>
        <v>-1</v>
      </c>
    </row>
    <row r="108" spans="1:26" s="24" customFormat="1" hidden="1" outlineLevel="2" x14ac:dyDescent="0.25">
      <c r="A108" s="25"/>
      <c r="B108" s="11" t="str">
        <f>CONCATENATE("          ", "6376", " - ", "TRAINING")</f>
        <v xml:space="preserve">          6376 - TRAINING</v>
      </c>
      <c r="C108" s="11"/>
      <c r="D108" s="6"/>
      <c r="E108" s="2"/>
      <c r="F108" s="7">
        <f t="shared" si="73"/>
        <v>0</v>
      </c>
      <c r="G108" s="2"/>
      <c r="H108" s="6"/>
      <c r="I108" s="2"/>
      <c r="J108" s="7">
        <f t="shared" si="74"/>
        <v>0</v>
      </c>
      <c r="K108" s="2"/>
      <c r="L108" s="6">
        <f t="shared" si="75"/>
        <v>0</v>
      </c>
      <c r="M108" s="2"/>
      <c r="N108" s="7">
        <f t="shared" si="76"/>
        <v>0</v>
      </c>
      <c r="O108" s="11"/>
      <c r="P108" s="6"/>
      <c r="Q108" s="2"/>
      <c r="R108" s="7">
        <f t="shared" si="77"/>
        <v>0</v>
      </c>
      <c r="S108" s="2"/>
      <c r="T108" s="6">
        <v>547.47</v>
      </c>
      <c r="U108" s="2"/>
      <c r="V108" s="7">
        <f t="shared" si="78"/>
        <v>1.9028830724041087E-4</v>
      </c>
      <c r="W108" s="2"/>
      <c r="X108" s="6">
        <f t="shared" si="79"/>
        <v>-547.47</v>
      </c>
      <c r="Y108" s="2"/>
      <c r="Z108" s="7">
        <f t="shared" si="80"/>
        <v>-1</v>
      </c>
    </row>
    <row r="109" spans="1:26" s="26" customFormat="1" outlineLevel="1" collapsed="1" x14ac:dyDescent="0.25">
      <c r="A109" s="27"/>
      <c r="B109" s="13" t="str">
        <f>CONCATENATE("     ","Travel                                            ")</f>
        <v xml:space="preserve">     Travel                                            </v>
      </c>
      <c r="C109" s="13"/>
      <c r="D109" s="1">
        <f>SUM(OSRRefD22_14x_0)</f>
        <v>0</v>
      </c>
      <c r="E109" s="1"/>
      <c r="F109" s="5">
        <f t="shared" si="73"/>
        <v>0</v>
      </c>
      <c r="G109" s="1"/>
      <c r="H109" s="1">
        <f>SUM(OSRRefH22_14x_0)</f>
        <v>0</v>
      </c>
      <c r="I109" s="1"/>
      <c r="J109" s="5">
        <f t="shared" si="74"/>
        <v>0</v>
      </c>
      <c r="K109" s="1"/>
      <c r="L109" s="1">
        <f t="shared" si="75"/>
        <v>0</v>
      </c>
      <c r="M109" s="1"/>
      <c r="N109" s="5">
        <f t="shared" si="76"/>
        <v>0</v>
      </c>
      <c r="O109" s="13"/>
      <c r="P109" s="1">
        <f>SUM(OSRRefP22_14x_0)</f>
        <v>0.16</v>
      </c>
      <c r="Q109" s="1"/>
      <c r="R109" s="5">
        <f t="shared" si="77"/>
        <v>1.0294485466753711E-7</v>
      </c>
      <c r="S109" s="1"/>
      <c r="T109" s="1">
        <f>SUM(OSRRefT22_14x_0)</f>
        <v>83.93</v>
      </c>
      <c r="U109" s="1"/>
      <c r="V109" s="5">
        <f t="shared" si="78"/>
        <v>2.9172187748529937E-5</v>
      </c>
      <c r="W109" s="1"/>
      <c r="X109" s="1">
        <f t="shared" si="79"/>
        <v>-83.77000000000001</v>
      </c>
      <c r="Y109" s="1"/>
      <c r="Z109" s="5">
        <f t="shared" si="80"/>
        <v>-0.99809364946979628</v>
      </c>
    </row>
    <row r="110" spans="1:26" s="24" customFormat="1" hidden="1" outlineLevel="2" x14ac:dyDescent="0.25">
      <c r="A110" s="25"/>
      <c r="B110" s="11" t="str">
        <f>CONCATENATE("          ", "6292", " - ", "TRAVEL/CONFERENCE")</f>
        <v xml:space="preserve">          6292 - TRAVEL/CONFERENCE</v>
      </c>
      <c r="C110" s="11"/>
      <c r="D110" s="6"/>
      <c r="E110" s="2"/>
      <c r="F110" s="7">
        <f t="shared" si="73"/>
        <v>0</v>
      </c>
      <c r="G110" s="2"/>
      <c r="H110" s="6"/>
      <c r="I110" s="2"/>
      <c r="J110" s="7">
        <f t="shared" si="74"/>
        <v>0</v>
      </c>
      <c r="K110" s="2"/>
      <c r="L110" s="6">
        <f t="shared" si="75"/>
        <v>0</v>
      </c>
      <c r="M110" s="2"/>
      <c r="N110" s="7">
        <f t="shared" si="76"/>
        <v>0</v>
      </c>
      <c r="O110" s="11"/>
      <c r="P110" s="6">
        <v>0.16</v>
      </c>
      <c r="Q110" s="2"/>
      <c r="R110" s="7">
        <f t="shared" si="77"/>
        <v>1.0294485466753711E-7</v>
      </c>
      <c r="S110" s="2"/>
      <c r="T110" s="6">
        <v>83.93</v>
      </c>
      <c r="U110" s="2"/>
      <c r="V110" s="7">
        <f t="shared" si="78"/>
        <v>2.9172187748529937E-5</v>
      </c>
      <c r="W110" s="2"/>
      <c r="X110" s="6">
        <f t="shared" si="79"/>
        <v>-83.77000000000001</v>
      </c>
      <c r="Y110" s="2"/>
      <c r="Z110" s="7">
        <f t="shared" si="80"/>
        <v>-0.99809364946979628</v>
      </c>
    </row>
    <row r="111" spans="1:26" s="53" customFormat="1" x14ac:dyDescent="0.25">
      <c r="A111" s="37"/>
      <c r="B111" s="37"/>
      <c r="C111" s="37"/>
      <c r="D111" s="1"/>
      <c r="E111" s="1"/>
      <c r="F111" s="5"/>
      <c r="G111" s="1"/>
      <c r="H111" s="1"/>
      <c r="I111" s="1"/>
      <c r="J111" s="5"/>
      <c r="K111" s="1"/>
      <c r="L111" s="1"/>
      <c r="M111" s="1"/>
      <c r="N111" s="5"/>
      <c r="O111" s="37"/>
      <c r="P111" s="1"/>
      <c r="Q111" s="1"/>
      <c r="R111" s="5"/>
      <c r="S111" s="1"/>
      <c r="T111" s="1"/>
      <c r="U111" s="1"/>
      <c r="V111" s="5"/>
      <c r="W111" s="1"/>
      <c r="X111" s="1"/>
      <c r="Y111" s="1"/>
      <c r="Z111" s="5"/>
    </row>
    <row r="112" spans="1:26" s="23" customFormat="1" collapsed="1" x14ac:dyDescent="0.25">
      <c r="A112" s="10"/>
      <c r="B112" s="29" t="s">
        <v>0</v>
      </c>
      <c r="C112" s="10"/>
      <c r="D112" s="4">
        <f>SUM(OSRRefD25x_0)</f>
        <v>917.38</v>
      </c>
      <c r="E112" s="4"/>
      <c r="F112" s="12">
        <f t="shared" ref="F112:F115" si="81">IF(D$12=0,0,D112/D$12)</f>
        <v>0.10762128775303109</v>
      </c>
      <c r="G112" s="4"/>
      <c r="H112" s="4">
        <f>SUM(OSRRefH25x_0)</f>
        <v>197.54</v>
      </c>
      <c r="I112" s="4"/>
      <c r="J112" s="12">
        <f t="shared" ref="J112:J115" si="82">IF(H$12=0,0,H112/H$12)</f>
        <v>1.3474807212848614E-2</v>
      </c>
      <c r="K112" s="4"/>
      <c r="L112" s="4">
        <f t="shared" ref="L112:L115" si="83">+D112-H112</f>
        <v>719.84</v>
      </c>
      <c r="M112" s="4"/>
      <c r="N112" s="12">
        <f t="shared" ref="N112:N115" si="84">IF(H112=0,0,L112/H112)</f>
        <v>3.6440214640072899</v>
      </c>
      <c r="O112" s="10"/>
      <c r="P112" s="4">
        <f>SUM(OSRRefP25x_0)</f>
        <v>162085.57000000004</v>
      </c>
      <c r="Q112" s="4"/>
      <c r="R112" s="12">
        <f t="shared" ref="R112:R115" si="85">IF(P$12=0,0,P112/P$12)</f>
        <v>0.10428672154596823</v>
      </c>
      <c r="S112" s="4"/>
      <c r="T112" s="4">
        <f>SUM(OSRRefT25x_0)</f>
        <v>142441.94</v>
      </c>
      <c r="U112" s="4"/>
      <c r="V112" s="12">
        <f t="shared" ref="V112:V115" si="86">IF(T$12=0,0,T112/T$12)</f>
        <v>4.9509627272070013E-2</v>
      </c>
      <c r="W112" s="4"/>
      <c r="X112" s="4">
        <f t="shared" ref="X112:X115" si="87">+P112-T112</f>
        <v>19643.630000000034</v>
      </c>
      <c r="Y112" s="4"/>
      <c r="Z112" s="12">
        <f t="shared" ref="Z112:Z115" si="88">IF(T112=0,0,X112/T112)</f>
        <v>0.13790622340583142</v>
      </c>
    </row>
    <row r="113" spans="1:26" s="24" customFormat="1" hidden="1" outlineLevel="1" x14ac:dyDescent="0.25">
      <c r="A113" s="44"/>
      <c r="B113" s="11" t="str">
        <f>CONCATENATE("          ", "9150", " - ", "MISC. INCOME")</f>
        <v xml:space="preserve">          9150 - MISC. INCOME</v>
      </c>
      <c r="C113" s="11"/>
      <c r="D113" s="2">
        <f>--662.17</f>
        <v>662.17</v>
      </c>
      <c r="E113" s="2"/>
      <c r="F113" s="19">
        <f t="shared" si="81"/>
        <v>7.7681645677281599E-2</v>
      </c>
      <c r="G113" s="2"/>
      <c r="H113" s="2">
        <f>--43.32</f>
        <v>43.32</v>
      </c>
      <c r="I113" s="2"/>
      <c r="J113" s="19">
        <f t="shared" si="82"/>
        <v>2.9549896145621237E-3</v>
      </c>
      <c r="K113" s="2"/>
      <c r="L113" s="2">
        <f t="shared" si="83"/>
        <v>618.84999999999991</v>
      </c>
      <c r="M113" s="2"/>
      <c r="N113" s="19">
        <f t="shared" si="84"/>
        <v>14.285549399815325</v>
      </c>
      <c r="O113" s="11"/>
      <c r="P113" s="2">
        <f>--12193.95</f>
        <v>12193.95</v>
      </c>
      <c r="Q113" s="2"/>
      <c r="R113" s="19">
        <f t="shared" si="85"/>
        <v>7.8456525660825886E-3</v>
      </c>
      <c r="S113" s="2"/>
      <c r="T113" s="2">
        <f>--53917.42</f>
        <v>53917.42</v>
      </c>
      <c r="U113" s="2"/>
      <c r="V113" s="19">
        <f t="shared" si="86"/>
        <v>1.8740487300802369E-2</v>
      </c>
      <c r="W113" s="2"/>
      <c r="X113" s="2">
        <f t="shared" si="87"/>
        <v>-41723.47</v>
      </c>
      <c r="Y113" s="2"/>
      <c r="Z113" s="19">
        <f t="shared" si="88"/>
        <v>-0.77384025422581426</v>
      </c>
    </row>
    <row r="114" spans="1:26" s="24" customFormat="1" hidden="1" outlineLevel="1" x14ac:dyDescent="0.25">
      <c r="A114" s="44"/>
      <c r="B114" s="11" t="str">
        <f>CONCATENATE("          ", "9151", " - ", "MISC. INCOME")</f>
        <v xml:space="preserve">          9151 - MISC. INCOME</v>
      </c>
      <c r="C114" s="11"/>
      <c r="D114" s="2">
        <f>0</f>
        <v>0</v>
      </c>
      <c r="E114" s="2"/>
      <c r="F114" s="19">
        <f t="shared" si="81"/>
        <v>0</v>
      </c>
      <c r="G114" s="2"/>
      <c r="H114" s="2">
        <f>0</f>
        <v>0</v>
      </c>
      <c r="I114" s="2"/>
      <c r="J114" s="19">
        <f t="shared" si="82"/>
        <v>0</v>
      </c>
      <c r="K114" s="2"/>
      <c r="L114" s="2">
        <f t="shared" si="83"/>
        <v>0</v>
      </c>
      <c r="M114" s="2"/>
      <c r="N114" s="19">
        <f t="shared" si="84"/>
        <v>0</v>
      </c>
      <c r="O114" s="11"/>
      <c r="P114" s="2">
        <f>--147285.39</f>
        <v>147285.39000000001</v>
      </c>
      <c r="Q114" s="2"/>
      <c r="R114" s="19">
        <f t="shared" si="85"/>
        <v>9.4764206676259524E-2</v>
      </c>
      <c r="S114" s="2"/>
      <c r="T114" s="2">
        <f>--87676.2</f>
        <v>87676.2</v>
      </c>
      <c r="U114" s="2"/>
      <c r="V114" s="19">
        <f t="shared" si="86"/>
        <v>3.0474282943853927E-2</v>
      </c>
      <c r="W114" s="2"/>
      <c r="X114" s="2">
        <f t="shared" si="87"/>
        <v>59609.190000000017</v>
      </c>
      <c r="Y114" s="2"/>
      <c r="Z114" s="19">
        <f t="shared" si="88"/>
        <v>0.67987880405400802</v>
      </c>
    </row>
    <row r="115" spans="1:26" s="24" customFormat="1" hidden="1" outlineLevel="1" x14ac:dyDescent="0.25">
      <c r="A115" s="44"/>
      <c r="B115" s="11" t="str">
        <f>CONCATENATE("          ", "9152", " - ", "MISC. INCOME")</f>
        <v xml:space="preserve">          9152 - MISC. INCOME</v>
      </c>
      <c r="C115" s="11"/>
      <c r="D115" s="2">
        <f>--255.21</f>
        <v>255.21</v>
      </c>
      <c r="E115" s="2"/>
      <c r="F115" s="19">
        <f t="shared" si="81"/>
        <v>2.9939642075749489E-2</v>
      </c>
      <c r="G115" s="2"/>
      <c r="H115" s="2">
        <f>--154.22</f>
        <v>154.22</v>
      </c>
      <c r="I115" s="2"/>
      <c r="J115" s="19">
        <f t="shared" si="82"/>
        <v>1.0519817598286491E-2</v>
      </c>
      <c r="K115" s="2"/>
      <c r="L115" s="2">
        <f t="shared" si="83"/>
        <v>100.99000000000001</v>
      </c>
      <c r="M115" s="2"/>
      <c r="N115" s="19">
        <f t="shared" si="84"/>
        <v>0.65484372973673977</v>
      </c>
      <c r="O115" s="11"/>
      <c r="P115" s="2">
        <f>--2606.23</f>
        <v>2606.23</v>
      </c>
      <c r="Q115" s="2"/>
      <c r="R115" s="19">
        <f t="shared" si="85"/>
        <v>1.6768623036260951E-3</v>
      </c>
      <c r="S115" s="2"/>
      <c r="T115" s="2">
        <f>--848.32</f>
        <v>848.32</v>
      </c>
      <c r="U115" s="2"/>
      <c r="V115" s="19">
        <f t="shared" si="86"/>
        <v>2.9485702741371278E-4</v>
      </c>
      <c r="W115" s="2"/>
      <c r="X115" s="2">
        <f t="shared" si="87"/>
        <v>1757.9099999999999</v>
      </c>
      <c r="Y115" s="2"/>
      <c r="Z115" s="19">
        <f t="shared" si="88"/>
        <v>2.0722251037344397</v>
      </c>
    </row>
    <row r="116" spans="1:26" x14ac:dyDescent="0.25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10"/>
      <c r="B117" s="28" t="s">
        <v>3</v>
      </c>
      <c r="C117" s="28"/>
      <c r="D117" s="20">
        <f>+D59-D61+D112</f>
        <v>-40296.010000000046</v>
      </c>
      <c r="E117" s="14"/>
      <c r="F117" s="22">
        <f>IF(D$12=0,0,D117/D$12)</f>
        <v>-4.7272760333874988</v>
      </c>
      <c r="G117" s="14"/>
      <c r="H117" s="20">
        <f>+H59-H61+H112</f>
        <v>-54811.710000000014</v>
      </c>
      <c r="I117" s="14"/>
      <c r="J117" s="22">
        <f>IF(H$12=0,0,H117/H$12)</f>
        <v>-3.7388742799259225</v>
      </c>
      <c r="K117" s="15"/>
      <c r="L117" s="20">
        <f>+D117-H117</f>
        <v>14515.699999999968</v>
      </c>
      <c r="M117" s="15"/>
      <c r="N117" s="22">
        <f>IF(H117=0,0,L117/H117)</f>
        <v>-0.26482844633017222</v>
      </c>
      <c r="O117" s="29"/>
      <c r="P117" s="20">
        <f>+P59-P61+P112</f>
        <v>390143.54999999964</v>
      </c>
      <c r="Q117" s="14"/>
      <c r="R117" s="22">
        <f>IF(P$12=0,0,P117/P$12)</f>
        <v>0.25102044408891849</v>
      </c>
      <c r="S117" s="14"/>
      <c r="T117" s="20">
        <f>+T59-T61+T112</f>
        <v>688146.30999999936</v>
      </c>
      <c r="U117" s="14"/>
      <c r="V117" s="22">
        <f>IF(T$12=0,0,T117/T$12)</f>
        <v>0.2391842410792096</v>
      </c>
      <c r="W117" s="15"/>
      <c r="X117" s="20">
        <f>+P117-T117</f>
        <v>-298002.75999999972</v>
      </c>
      <c r="Y117" s="15"/>
      <c r="Z117" s="22">
        <f>IF(T117=0,0,X117/T117)</f>
        <v>-0.43305145383980914</v>
      </c>
    </row>
    <row r="118" spans="1:26" x14ac:dyDescent="0.25">
      <c r="A118" s="9"/>
      <c r="B118" s="10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51"/>
      <c r="B119" s="10" t="s">
        <v>13</v>
      </c>
      <c r="C119" s="10"/>
      <c r="D119" s="4">
        <v>-87872.349999999991</v>
      </c>
      <c r="E119" s="4"/>
      <c r="F119" s="12">
        <f>IF(D$12=0,0,D119/D$12)</f>
        <v>-10.30863487855094</v>
      </c>
      <c r="G119" s="4"/>
      <c r="H119" s="4">
        <v>16524.670000000002</v>
      </c>
      <c r="I119" s="4"/>
      <c r="J119" s="12">
        <f>IF(H$12=0,0,H119/H$12)</f>
        <v>1.1271982510172276</v>
      </c>
      <c r="K119" s="4"/>
      <c r="L119" s="4">
        <f>+D119-H119</f>
        <v>-104397.01999999999</v>
      </c>
      <c r="M119" s="4"/>
      <c r="N119" s="12">
        <f>IF(H119=0,0,L119/H119)</f>
        <v>-6.3176462828002</v>
      </c>
      <c r="O119" s="10"/>
      <c r="P119" s="4">
        <v>246960.86</v>
      </c>
      <c r="Q119" s="4"/>
      <c r="R119" s="12">
        <f>IF(P$12=0,0,P119/P$12)</f>
        <v>0.15889593650793735</v>
      </c>
      <c r="S119" s="4"/>
      <c r="T119" s="4">
        <v>304660.7</v>
      </c>
      <c r="U119" s="4"/>
      <c r="V119" s="12">
        <f>IF(T$12=0,0,T119/T$12)</f>
        <v>0.10589323412365725</v>
      </c>
      <c r="W119" s="4"/>
      <c r="X119" s="4">
        <f>+P119-T119</f>
        <v>-57699.840000000026</v>
      </c>
      <c r="Y119" s="4"/>
      <c r="Z119" s="12">
        <f>IF(T119=0,0,X119/T119)</f>
        <v>-0.18939049243962225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8" t="s">
        <v>4</v>
      </c>
      <c r="C121" s="28"/>
      <c r="D121" s="31">
        <f>+D117-D119</f>
        <v>47576.339999999946</v>
      </c>
      <c r="E121" s="14"/>
      <c r="F121" s="34">
        <f>IF(D$12=0,0,D121/D$12)</f>
        <v>5.5813588451634413</v>
      </c>
      <c r="G121" s="14"/>
      <c r="H121" s="31">
        <f>+H117-H119</f>
        <v>-71336.380000000019</v>
      </c>
      <c r="I121" s="14"/>
      <c r="J121" s="34">
        <f>IF(H$12=0,0,H121/H$12)</f>
        <v>-4.8660725309431498</v>
      </c>
      <c r="K121" s="15"/>
      <c r="L121" s="31">
        <f>D121-H121</f>
        <v>118912.71999999997</v>
      </c>
      <c r="M121" s="15"/>
      <c r="N121" s="34">
        <f>IF(H121=0,0,L121/H121)</f>
        <v>-1.6669295526349941</v>
      </c>
      <c r="O121" s="29"/>
      <c r="P121" s="31">
        <f>+P117-P119</f>
        <v>143182.68999999965</v>
      </c>
      <c r="Q121" s="14"/>
      <c r="R121" s="34">
        <f>IF(P$12=0,0,P121/P$12)</f>
        <v>9.2124507580981133E-2</v>
      </c>
      <c r="S121" s="14"/>
      <c r="T121" s="31">
        <f>+T117-T119</f>
        <v>383485.60999999935</v>
      </c>
      <c r="U121" s="14"/>
      <c r="V121" s="34">
        <f>IF(T$12=0,0,T121/T$12)</f>
        <v>0.13329100695555235</v>
      </c>
      <c r="W121" s="15"/>
      <c r="X121" s="31">
        <f>P121-T121</f>
        <v>-240302.91999999969</v>
      </c>
      <c r="Y121" s="15"/>
      <c r="Z121" s="34">
        <f>IF(T121=0,0,X121/T121)</f>
        <v>-0.62662825861966531</v>
      </c>
    </row>
    <row r="122" spans="1:26" ht="15.75" thickTop="1" x14ac:dyDescent="0.25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8" t="s">
        <v>5</v>
      </c>
      <c r="C124" s="28"/>
      <c r="D124" s="32">
        <f>SUM(D121:D123)</f>
        <v>47576.339999999946</v>
      </c>
      <c r="E124" s="14"/>
      <c r="F124" s="30">
        <f>IF(D$12=0,0,D124/D$12)</f>
        <v>5.5813588451634413</v>
      </c>
      <c r="G124" s="14"/>
      <c r="H124" s="32">
        <f>SUM(H121:H123)</f>
        <v>-71336.380000000019</v>
      </c>
      <c r="I124" s="14"/>
      <c r="J124" s="30">
        <f>IF(H$12=0,0,H124/H$12)</f>
        <v>-4.8660725309431498</v>
      </c>
      <c r="K124" s="15"/>
      <c r="L124" s="32">
        <f>+D124-H124</f>
        <v>118912.71999999997</v>
      </c>
      <c r="M124" s="15"/>
      <c r="N124" s="30">
        <f>IF(H124=0,0,L124/H124)</f>
        <v>-1.6669295526349941</v>
      </c>
      <c r="O124" s="29"/>
      <c r="P124" s="32">
        <f>SUM(P121:P123)</f>
        <v>143182.68999999965</v>
      </c>
      <c r="Q124" s="14"/>
      <c r="R124" s="30">
        <f>IF(P$12=0,0,P124/P$12)</f>
        <v>9.2124507580981133E-2</v>
      </c>
      <c r="S124" s="14"/>
      <c r="T124" s="32">
        <f>SUM(T121:T123)</f>
        <v>383485.60999999935</v>
      </c>
      <c r="U124" s="14"/>
      <c r="V124" s="30">
        <f>IF(T$12=0,0,T124/T$12)</f>
        <v>0.13329100695555235</v>
      </c>
      <c r="W124" s="15"/>
      <c r="X124" s="32">
        <f>+P124-T124</f>
        <v>-240302.91999999969</v>
      </c>
      <c r="Y124" s="15"/>
      <c r="Z124" s="30">
        <f>IF(T124=0,0,X124/T124)</f>
        <v>-0.62662825861966531</v>
      </c>
    </row>
    <row r="125" spans="1:26" ht="15.75" thickTop="1" x14ac:dyDescent="0.25">
      <c r="A125" s="9"/>
      <c r="C125" s="9"/>
      <c r="D125" s="17"/>
      <c r="E125" s="17"/>
      <c r="G125" s="17"/>
      <c r="H125" s="17"/>
      <c r="I125" s="17"/>
      <c r="J125" s="43"/>
      <c r="K125" s="17"/>
      <c r="L125" s="17"/>
      <c r="M125" s="17"/>
      <c r="P125" s="17"/>
      <c r="Q125" s="17"/>
      <c r="R125" s="43"/>
      <c r="S125" s="17"/>
      <c r="T125" s="17"/>
      <c r="U125" s="17"/>
      <c r="V125" s="43"/>
      <c r="W125" s="17"/>
      <c r="X125" s="17"/>
    </row>
    <row r="126" spans="1:26" x14ac:dyDescent="0.25">
      <c r="A126" s="9"/>
      <c r="B126" s="54">
        <v>44174.685139270834</v>
      </c>
      <c r="D126" s="17"/>
      <c r="E126" s="17"/>
      <c r="G126" s="17"/>
      <c r="H126" s="17"/>
      <c r="I126" s="17"/>
      <c r="J126" s="43"/>
      <c r="K126" s="17"/>
      <c r="L126" s="17"/>
      <c r="M126" s="17"/>
      <c r="P126" s="17"/>
      <c r="Q126" s="17"/>
      <c r="R126" s="43"/>
      <c r="S126" s="17"/>
      <c r="T126" s="17"/>
      <c r="U126" s="17"/>
      <c r="V126" s="43"/>
      <c r="W126" s="17"/>
      <c r="X126" s="17"/>
    </row>
    <row r="127" spans="1:26" x14ac:dyDescent="0.25">
      <c r="A127" s="9"/>
      <c r="B127" s="56" t="s">
        <v>313</v>
      </c>
      <c r="D127" s="17"/>
      <c r="E127" s="17"/>
      <c r="G127" s="17"/>
      <c r="H127" s="17"/>
      <c r="I127" s="17"/>
      <c r="J127" s="43"/>
      <c r="K127" s="17"/>
      <c r="L127" s="17"/>
      <c r="M127" s="17"/>
      <c r="P127" s="17"/>
      <c r="Q127" s="17"/>
      <c r="R127" s="43"/>
      <c r="S127" s="17"/>
      <c r="T127" s="17"/>
      <c r="U127" s="17"/>
      <c r="V127" s="43"/>
      <c r="W127" s="17"/>
      <c r="X127" s="17"/>
    </row>
    <row r="128" spans="1:26" x14ac:dyDescent="0.25">
      <c r="A128" s="9"/>
      <c r="B128" s="61"/>
      <c r="D128" s="17"/>
      <c r="E128" s="17"/>
      <c r="G128" s="17"/>
      <c r="H128" s="17"/>
      <c r="I128" s="17"/>
      <c r="J128" s="43"/>
      <c r="K128" s="17"/>
      <c r="L128" s="17"/>
      <c r="M128" s="17"/>
      <c r="P128" s="17"/>
      <c r="Q128" s="17"/>
      <c r="R128" s="43"/>
      <c r="S128" s="17"/>
      <c r="T128" s="17"/>
      <c r="U128" s="17"/>
      <c r="V128" s="43"/>
      <c r="W128" s="17"/>
      <c r="X128" s="17"/>
    </row>
    <row r="129" spans="4:24" x14ac:dyDescent="0.25">
      <c r="D129" s="17"/>
      <c r="E129" s="17"/>
      <c r="G129" s="17"/>
      <c r="H129" s="17"/>
      <c r="I129" s="17"/>
      <c r="J129" s="43"/>
      <c r="K129" s="17"/>
      <c r="L129" s="17"/>
      <c r="M129" s="17"/>
      <c r="P129" s="17"/>
      <c r="Q129" s="17"/>
      <c r="R129" s="43"/>
      <c r="S129" s="17"/>
      <c r="T129" s="17"/>
      <c r="U129" s="17"/>
      <c r="V129" s="43"/>
      <c r="W129" s="17"/>
      <c r="X129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","311", " - ", "Textbooks")</f>
        <v>Department 311 - Textbooks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6442.6599999999971</v>
      </c>
      <c r="E12" s="4"/>
      <c r="F12" s="12"/>
      <c r="G12" s="4"/>
      <c r="H12" s="4">
        <f>SUM(OSRRefH13x_0)</f>
        <v>13126.559999999998</v>
      </c>
      <c r="I12" s="4"/>
      <c r="J12" s="12"/>
      <c r="K12" s="4"/>
      <c r="L12" s="4">
        <f t="shared" ref="L12:L39" si="0">+D12-H12</f>
        <v>-6683.9000000000005</v>
      </c>
      <c r="M12" s="4"/>
      <c r="N12" s="12">
        <f t="shared" ref="N12:N39" si="1">IF(H12=0,0,L12/H12)</f>
        <v>-0.50918900305944603</v>
      </c>
      <c r="O12" s="10"/>
      <c r="P12" s="4">
        <f>SUM(OSRRefP13x_0)</f>
        <v>1082108.2399999998</v>
      </c>
      <c r="Q12" s="4"/>
      <c r="R12" s="12"/>
      <c r="S12" s="4"/>
      <c r="T12" s="4">
        <f>SUM(OSRRefT13x_0)</f>
        <v>1974236.3099999998</v>
      </c>
      <c r="U12" s="4"/>
      <c r="V12" s="12"/>
      <c r="W12" s="4"/>
      <c r="X12" s="4">
        <f t="shared" ref="X12:X39" si="2">+P12-T12</f>
        <v>-892128.07000000007</v>
      </c>
      <c r="Y12" s="4"/>
      <c r="Z12" s="12">
        <f t="shared" ref="Z12:Z39" si="3">IF(T12=0,0,X12/T12)</f>
        <v>-0.45188514945305619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-229.05</f>
        <v>-229.05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-229.05</v>
      </c>
      <c r="M13" s="2"/>
      <c r="N13" s="19">
        <f t="shared" si="1"/>
        <v>0</v>
      </c>
      <c r="O13" s="11"/>
      <c r="P13" s="2">
        <f>-6599.87</f>
        <v>-6599.87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-6599.87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--6335.4</f>
        <v>6335.4</v>
      </c>
      <c r="E14" s="2"/>
      <c r="F14" s="19"/>
      <c r="G14" s="2"/>
      <c r="H14" s="2">
        <f>--7536.29</f>
        <v>7536.29</v>
      </c>
      <c r="I14" s="2"/>
      <c r="J14" s="19"/>
      <c r="K14" s="2"/>
      <c r="L14" s="2">
        <f t="shared" si="0"/>
        <v>-1200.8900000000003</v>
      </c>
      <c r="M14" s="2"/>
      <c r="N14" s="19">
        <f t="shared" si="1"/>
        <v>-0.15934763656918727</v>
      </c>
      <c r="O14" s="11"/>
      <c r="P14" s="2">
        <f>--546434.01</f>
        <v>546434.01</v>
      </c>
      <c r="Q14" s="2"/>
      <c r="R14" s="19"/>
      <c r="S14" s="2"/>
      <c r="T14" s="2">
        <f>--1246325.72</f>
        <v>1246325.72</v>
      </c>
      <c r="U14" s="2"/>
      <c r="V14" s="19"/>
      <c r="W14" s="2"/>
      <c r="X14" s="2">
        <f t="shared" si="2"/>
        <v>-699891.71</v>
      </c>
      <c r="Y14" s="2"/>
      <c r="Z14" s="19">
        <f t="shared" si="3"/>
        <v>-0.56156404282501682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--1225.27</f>
        <v>1225.27</v>
      </c>
      <c r="E15" s="2"/>
      <c r="F15" s="19"/>
      <c r="G15" s="2"/>
      <c r="H15" s="2">
        <f>--3756.83</f>
        <v>3756.83</v>
      </c>
      <c r="I15" s="2"/>
      <c r="J15" s="19"/>
      <c r="K15" s="2"/>
      <c r="L15" s="2">
        <f t="shared" si="0"/>
        <v>-2531.56</v>
      </c>
      <c r="M15" s="2"/>
      <c r="N15" s="19">
        <f t="shared" si="1"/>
        <v>-0.67385535145321984</v>
      </c>
      <c r="O15" s="11"/>
      <c r="P15" s="2">
        <f>--187033.11</f>
        <v>187033.11</v>
      </c>
      <c r="Q15" s="2"/>
      <c r="R15" s="19"/>
      <c r="S15" s="2"/>
      <c r="T15" s="2">
        <f>--360519.48</f>
        <v>360519.48</v>
      </c>
      <c r="U15" s="2"/>
      <c r="V15" s="19"/>
      <c r="W15" s="2"/>
      <c r="X15" s="2">
        <f t="shared" si="2"/>
        <v>-173486.37</v>
      </c>
      <c r="Y15" s="2"/>
      <c r="Z15" s="19">
        <f t="shared" si="3"/>
        <v>-0.48121219413719335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8" si="4"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--10665.63</f>
        <v>10665.63</v>
      </c>
      <c r="Q16" s="2"/>
      <c r="R16" s="19"/>
      <c r="S16" s="2"/>
      <c r="T16" s="2">
        <f>--15844.66</f>
        <v>15844.66</v>
      </c>
      <c r="U16" s="2"/>
      <c r="V16" s="19"/>
      <c r="W16" s="2"/>
      <c r="X16" s="2">
        <f t="shared" si="2"/>
        <v>-5179.0300000000007</v>
      </c>
      <c r="Y16" s="2"/>
      <c r="Z16" s="19">
        <f t="shared" si="3"/>
        <v>-0.32686280425076969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--119.4</f>
        <v>119.4</v>
      </c>
      <c r="I17" s="2"/>
      <c r="J17" s="19"/>
      <c r="K17" s="2"/>
      <c r="L17" s="2">
        <f t="shared" si="0"/>
        <v>-119.4</v>
      </c>
      <c r="M17" s="2"/>
      <c r="N17" s="19">
        <f t="shared" si="1"/>
        <v>-1</v>
      </c>
      <c r="O17" s="11"/>
      <c r="P17" s="2">
        <f>--2459.56</f>
        <v>2459.56</v>
      </c>
      <c r="Q17" s="2"/>
      <c r="R17" s="19"/>
      <c r="S17" s="2"/>
      <c r="T17" s="2">
        <f>--30279.88</f>
        <v>30279.88</v>
      </c>
      <c r="U17" s="2"/>
      <c r="V17" s="19"/>
      <c r="W17" s="2"/>
      <c r="X17" s="2">
        <f t="shared" si="2"/>
        <v>-27820.32</v>
      </c>
      <c r="Y17" s="2"/>
      <c r="Z17" s="19">
        <f t="shared" si="3"/>
        <v>-0.91877246541267665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--9.6</f>
        <v>9.6</v>
      </c>
      <c r="U18" s="2"/>
      <c r="V18" s="19"/>
      <c r="W18" s="2"/>
      <c r="X18" s="2">
        <f t="shared" si="2"/>
        <v>-9.6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--307.75</f>
        <v>307.75</v>
      </c>
      <c r="E19" s="2"/>
      <c r="F19" s="19"/>
      <c r="G19" s="2"/>
      <c r="H19" s="2">
        <f>--285.33</f>
        <v>285.33</v>
      </c>
      <c r="I19" s="2"/>
      <c r="J19" s="19"/>
      <c r="K19" s="2"/>
      <c r="L19" s="2">
        <f t="shared" si="0"/>
        <v>22.420000000000016</v>
      </c>
      <c r="M19" s="2"/>
      <c r="N19" s="19">
        <f t="shared" si="1"/>
        <v>7.857568429537734E-2</v>
      </c>
      <c r="O19" s="11"/>
      <c r="P19" s="2">
        <f>--505.12</f>
        <v>505.12</v>
      </c>
      <c r="Q19" s="2"/>
      <c r="R19" s="19"/>
      <c r="S19" s="2"/>
      <c r="T19" s="2">
        <f>--1112.72</f>
        <v>1112.72</v>
      </c>
      <c r="U19" s="2"/>
      <c r="V19" s="19"/>
      <c r="W19" s="2"/>
      <c r="X19" s="2">
        <f t="shared" si="2"/>
        <v>-607.6</v>
      </c>
      <c r="Y19" s="2"/>
      <c r="Z19" s="19">
        <f t="shared" si="3"/>
        <v>-0.54604932058379463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 t="shared" ref="D20:D21" si="5">0</f>
        <v>0</v>
      </c>
      <c r="E20" s="2"/>
      <c r="F20" s="19"/>
      <c r="G20" s="2"/>
      <c r="H20" s="2">
        <f>--189.13</f>
        <v>189.13</v>
      </c>
      <c r="I20" s="2"/>
      <c r="J20" s="19"/>
      <c r="K20" s="2"/>
      <c r="L20" s="2">
        <f t="shared" si="0"/>
        <v>-189.13</v>
      </c>
      <c r="M20" s="2"/>
      <c r="N20" s="19">
        <f t="shared" si="1"/>
        <v>-1</v>
      </c>
      <c r="O20" s="11"/>
      <c r="P20" s="2">
        <f>--340.24</f>
        <v>340.24</v>
      </c>
      <c r="Q20" s="2"/>
      <c r="R20" s="19"/>
      <c r="S20" s="2"/>
      <c r="T20" s="2">
        <f>--883.35</f>
        <v>883.35</v>
      </c>
      <c r="U20" s="2"/>
      <c r="V20" s="19"/>
      <c r="W20" s="2"/>
      <c r="X20" s="2">
        <f t="shared" si="2"/>
        <v>-543.11</v>
      </c>
      <c r="Y20" s="2"/>
      <c r="Z20" s="19">
        <f t="shared" si="3"/>
        <v>-0.61482990886964395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 t="shared" si="5"/>
        <v>0</v>
      </c>
      <c r="E21" s="2"/>
      <c r="F21" s="19"/>
      <c r="G21" s="2"/>
      <c r="H21" s="2">
        <f>--277.82</f>
        <v>277.82</v>
      </c>
      <c r="I21" s="2"/>
      <c r="J21" s="19"/>
      <c r="K21" s="2"/>
      <c r="L21" s="2">
        <f t="shared" si="0"/>
        <v>-277.82</v>
      </c>
      <c r="M21" s="2"/>
      <c r="N21" s="19">
        <f t="shared" si="1"/>
        <v>-1</v>
      </c>
      <c r="O21" s="11"/>
      <c r="P21" s="2">
        <f>--183.89</f>
        <v>183.89</v>
      </c>
      <c r="Q21" s="2"/>
      <c r="R21" s="19"/>
      <c r="S21" s="2"/>
      <c r="T21" s="2">
        <f>--2732.65</f>
        <v>2732.65</v>
      </c>
      <c r="U21" s="2"/>
      <c r="V21" s="19"/>
      <c r="W21" s="2"/>
      <c r="X21" s="2">
        <f t="shared" si="2"/>
        <v>-2548.7600000000002</v>
      </c>
      <c r="Y21" s="2"/>
      <c r="Z21" s="19">
        <f t="shared" si="3"/>
        <v>-0.93270634731853697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--1270.83</f>
        <v>1270.83</v>
      </c>
      <c r="E22" s="2"/>
      <c r="F22" s="19"/>
      <c r="G22" s="2"/>
      <c r="H22" s="2">
        <f>--349.66</f>
        <v>349.66</v>
      </c>
      <c r="I22" s="2"/>
      <c r="J22" s="19"/>
      <c r="K22" s="2"/>
      <c r="L22" s="2">
        <f t="shared" si="0"/>
        <v>921.16999999999985</v>
      </c>
      <c r="M22" s="2"/>
      <c r="N22" s="19">
        <f t="shared" si="1"/>
        <v>2.6344734885317158</v>
      </c>
      <c r="O22" s="11"/>
      <c r="P22" s="2">
        <f>--78935.72</f>
        <v>78935.72</v>
      </c>
      <c r="Q22" s="2"/>
      <c r="R22" s="19"/>
      <c r="S22" s="2"/>
      <c r="T22" s="2">
        <f>--92680.75</f>
        <v>92680.75</v>
      </c>
      <c r="U22" s="2"/>
      <c r="V22" s="19"/>
      <c r="W22" s="2"/>
      <c r="X22" s="2">
        <f t="shared" si="2"/>
        <v>-13745.029999999999</v>
      </c>
      <c r="Y22" s="2"/>
      <c r="Z22" s="19">
        <f t="shared" si="3"/>
        <v>-0.14830512269268428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--320.72</f>
        <v>320.72000000000003</v>
      </c>
      <c r="E23" s="2"/>
      <c r="F23" s="19"/>
      <c r="G23" s="2"/>
      <c r="H23" s="2">
        <f>--584.52</f>
        <v>584.52</v>
      </c>
      <c r="I23" s="2"/>
      <c r="J23" s="19"/>
      <c r="K23" s="2"/>
      <c r="L23" s="2">
        <f t="shared" si="0"/>
        <v>-263.79999999999995</v>
      </c>
      <c r="M23" s="2"/>
      <c r="N23" s="19">
        <f t="shared" si="1"/>
        <v>-0.45131047697255861</v>
      </c>
      <c r="O23" s="11"/>
      <c r="P23" s="2">
        <f>--33033.19</f>
        <v>33033.19</v>
      </c>
      <c r="Q23" s="2"/>
      <c r="R23" s="19"/>
      <c r="S23" s="2"/>
      <c r="T23" s="2">
        <f>--37606.84</f>
        <v>37606.839999999997</v>
      </c>
      <c r="U23" s="2"/>
      <c r="V23" s="19"/>
      <c r="W23" s="2"/>
      <c r="X23" s="2">
        <f t="shared" si="2"/>
        <v>-4573.6499999999942</v>
      </c>
      <c r="Y23" s="2"/>
      <c r="Z23" s="19">
        <f t="shared" si="3"/>
        <v>-0.12161750362434054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--284.97</f>
        <v>284.97000000000003</v>
      </c>
      <c r="Q24" s="2"/>
      <c r="R24" s="19"/>
      <c r="S24" s="2"/>
      <c r="T24" s="2">
        <f>--329.98</f>
        <v>329.98</v>
      </c>
      <c r="U24" s="2"/>
      <c r="V24" s="19"/>
      <c r="W24" s="2"/>
      <c r="X24" s="2">
        <f t="shared" si="2"/>
        <v>-45.009999999999991</v>
      </c>
      <c r="Y24" s="2"/>
      <c r="Z24" s="19">
        <f t="shared" si="3"/>
        <v>-0.13640220619431478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--1414.19</f>
        <v>1414.19</v>
      </c>
      <c r="E25" s="2"/>
      <c r="F25" s="19"/>
      <c r="G25" s="2"/>
      <c r="H25" s="2">
        <f>--206.24</f>
        <v>206.24</v>
      </c>
      <c r="I25" s="2"/>
      <c r="J25" s="19"/>
      <c r="K25" s="2"/>
      <c r="L25" s="2">
        <f t="shared" si="0"/>
        <v>1207.95</v>
      </c>
      <c r="M25" s="2"/>
      <c r="N25" s="19">
        <f t="shared" si="1"/>
        <v>5.8570112490302559</v>
      </c>
      <c r="O25" s="11"/>
      <c r="P25" s="2">
        <f>--294889.71</f>
        <v>294889.71000000002</v>
      </c>
      <c r="Q25" s="2"/>
      <c r="R25" s="19"/>
      <c r="S25" s="2"/>
      <c r="T25" s="2">
        <f>--320699.09</f>
        <v>320699.09000000003</v>
      </c>
      <c r="U25" s="2"/>
      <c r="V25" s="19"/>
      <c r="W25" s="2"/>
      <c r="X25" s="2">
        <f t="shared" si="2"/>
        <v>-25809.380000000005</v>
      </c>
      <c r="Y25" s="2"/>
      <c r="Z25" s="19">
        <f t="shared" si="3"/>
        <v>-8.0478494653664287E-2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0</f>
        <v>0</v>
      </c>
      <c r="E26" s="2"/>
      <c r="F26" s="19"/>
      <c r="G26" s="2"/>
      <c r="H26" s="2">
        <f>--492.72</f>
        <v>492.72</v>
      </c>
      <c r="I26" s="2"/>
      <c r="J26" s="19"/>
      <c r="K26" s="2"/>
      <c r="L26" s="2">
        <f t="shared" si="0"/>
        <v>-492.72</v>
      </c>
      <c r="M26" s="2"/>
      <c r="N26" s="19">
        <f t="shared" si="1"/>
        <v>-1</v>
      </c>
      <c r="O26" s="11"/>
      <c r="P26" s="2">
        <f>0</f>
        <v>0</v>
      </c>
      <c r="Q26" s="2"/>
      <c r="R26" s="19"/>
      <c r="S26" s="2"/>
      <c r="T26" s="2">
        <f>--7592.19</f>
        <v>7592.19</v>
      </c>
      <c r="U26" s="2"/>
      <c r="V26" s="19"/>
      <c r="W26" s="2"/>
      <c r="X26" s="2">
        <f t="shared" si="2"/>
        <v>-7592.19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--630</f>
        <v>630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630</v>
      </c>
      <c r="M27" s="2"/>
      <c r="N27" s="19">
        <f t="shared" si="1"/>
        <v>0</v>
      </c>
      <c r="O27" s="11"/>
      <c r="P27" s="2">
        <f>--2285.95</f>
        <v>2285.9499999999998</v>
      </c>
      <c r="Q27" s="2"/>
      <c r="R27" s="19"/>
      <c r="S27" s="2"/>
      <c r="T27" s="2">
        <f>--1146.72</f>
        <v>1146.72</v>
      </c>
      <c r="U27" s="2"/>
      <c r="V27" s="19"/>
      <c r="W27" s="2"/>
      <c r="X27" s="2">
        <f t="shared" si="2"/>
        <v>1139.2299999999998</v>
      </c>
      <c r="Y27" s="2"/>
      <c r="Z27" s="19">
        <f t="shared" si="3"/>
        <v>0.99346832705455534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--27.8</f>
        <v>27.8</v>
      </c>
      <c r="E28" s="2"/>
      <c r="F28" s="19"/>
      <c r="G28" s="2"/>
      <c r="H28" s="2">
        <f>--14.04</f>
        <v>14.04</v>
      </c>
      <c r="I28" s="2"/>
      <c r="J28" s="19"/>
      <c r="K28" s="2"/>
      <c r="L28" s="2">
        <f t="shared" si="0"/>
        <v>13.760000000000002</v>
      </c>
      <c r="M28" s="2"/>
      <c r="N28" s="19">
        <f t="shared" si="1"/>
        <v>0.98005698005698028</v>
      </c>
      <c r="O28" s="11"/>
      <c r="P28" s="2">
        <f>--233.43</f>
        <v>233.43</v>
      </c>
      <c r="Q28" s="2"/>
      <c r="R28" s="19"/>
      <c r="S28" s="2"/>
      <c r="T28" s="2">
        <f>--34.96</f>
        <v>34.96</v>
      </c>
      <c r="U28" s="2"/>
      <c r="V28" s="19"/>
      <c r="W28" s="2"/>
      <c r="X28" s="2">
        <f t="shared" si="2"/>
        <v>198.47</v>
      </c>
      <c r="Y28" s="2"/>
      <c r="Z28" s="19">
        <f t="shared" si="3"/>
        <v>5.6770594965675052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-1333.42</f>
        <v>-1333.42</v>
      </c>
      <c r="E29" s="2"/>
      <c r="F29" s="19"/>
      <c r="G29" s="2"/>
      <c r="H29" s="2">
        <f>-314.9</f>
        <v>-314.89999999999998</v>
      </c>
      <c r="I29" s="2"/>
      <c r="J29" s="19"/>
      <c r="K29" s="2"/>
      <c r="L29" s="2">
        <f t="shared" si="0"/>
        <v>-1018.5200000000001</v>
      </c>
      <c r="M29" s="2"/>
      <c r="N29" s="19">
        <f t="shared" si="1"/>
        <v>3.2344236265481112</v>
      </c>
      <c r="O29" s="11"/>
      <c r="P29" s="2">
        <f>-35094.66</f>
        <v>-35094.660000000003</v>
      </c>
      <c r="Q29" s="2"/>
      <c r="R29" s="19"/>
      <c r="S29" s="2"/>
      <c r="T29" s="2">
        <f>-78098.57</f>
        <v>-78098.570000000007</v>
      </c>
      <c r="U29" s="2"/>
      <c r="V29" s="19"/>
      <c r="W29" s="2"/>
      <c r="X29" s="2">
        <f t="shared" si="2"/>
        <v>43003.91</v>
      </c>
      <c r="Y29" s="2"/>
      <c r="Z29" s="19">
        <f t="shared" si="3"/>
        <v>-0.55063633047314442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-3274.35</f>
        <v>-3274.35</v>
      </c>
      <c r="E30" s="2"/>
      <c r="F30" s="19"/>
      <c r="G30" s="2"/>
      <c r="H30" s="2">
        <f>-113.2</f>
        <v>-113.2</v>
      </c>
      <c r="I30" s="2"/>
      <c r="J30" s="19"/>
      <c r="K30" s="2"/>
      <c r="L30" s="2">
        <f t="shared" si="0"/>
        <v>-3161.15</v>
      </c>
      <c r="M30" s="2"/>
      <c r="N30" s="19">
        <f t="shared" si="1"/>
        <v>27.925353356890458</v>
      </c>
      <c r="O30" s="11"/>
      <c r="P30" s="2">
        <f>-13803.35</f>
        <v>-13803.35</v>
      </c>
      <c r="Q30" s="2"/>
      <c r="R30" s="19"/>
      <c r="S30" s="2"/>
      <c r="T30" s="2">
        <f>-27042.2</f>
        <v>-27042.2</v>
      </c>
      <c r="U30" s="2"/>
      <c r="V30" s="19"/>
      <c r="W30" s="2"/>
      <c r="X30" s="2">
        <f t="shared" si="2"/>
        <v>13238.85</v>
      </c>
      <c r="Y30" s="2"/>
      <c r="Z30" s="19">
        <f t="shared" si="3"/>
        <v>-0.48956260955099806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 t="shared" ref="D31:D35" si="6">0</f>
        <v>0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-144.99</f>
        <v>-144.99</v>
      </c>
      <c r="U31" s="2"/>
      <c r="V31" s="19"/>
      <c r="W31" s="2"/>
      <c r="X31" s="2">
        <f t="shared" si="2"/>
        <v>144.99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 t="shared" si="6"/>
        <v>0</v>
      </c>
      <c r="E32" s="2"/>
      <c r="F32" s="19"/>
      <c r="G32" s="2"/>
      <c r="H32" s="2">
        <f>-119.4</f>
        <v>-119.4</v>
      </c>
      <c r="I32" s="2"/>
      <c r="J32" s="19"/>
      <c r="K32" s="2"/>
      <c r="L32" s="2">
        <f t="shared" si="0"/>
        <v>119.4</v>
      </c>
      <c r="M32" s="2"/>
      <c r="N32" s="19">
        <f t="shared" si="1"/>
        <v>-1</v>
      </c>
      <c r="O32" s="11"/>
      <c r="P32" s="2">
        <f>-1630.85</f>
        <v>-1630.85</v>
      </c>
      <c r="Q32" s="2"/>
      <c r="R32" s="19"/>
      <c r="S32" s="2"/>
      <c r="T32" s="2">
        <f>-11369.46</f>
        <v>-11369.46</v>
      </c>
      <c r="U32" s="2"/>
      <c r="V32" s="19"/>
      <c r="W32" s="2"/>
      <c r="X32" s="2">
        <f t="shared" si="2"/>
        <v>9738.6099999999988</v>
      </c>
      <c r="Y32" s="2"/>
      <c r="Z32" s="19">
        <f t="shared" si="3"/>
        <v>-0.85655871079189327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 t="shared" si="6"/>
        <v>0</v>
      </c>
      <c r="E33" s="2"/>
      <c r="F33" s="19"/>
      <c r="G33" s="2"/>
      <c r="H33" s="2">
        <f>-67.34</f>
        <v>-67.34</v>
      </c>
      <c r="I33" s="2"/>
      <c r="J33" s="19"/>
      <c r="K33" s="2"/>
      <c r="L33" s="2">
        <f t="shared" si="0"/>
        <v>67.34</v>
      </c>
      <c r="M33" s="2"/>
      <c r="N33" s="19">
        <f t="shared" si="1"/>
        <v>-1</v>
      </c>
      <c r="O33" s="11"/>
      <c r="P33" s="2">
        <f t="shared" ref="P33:P34" si="7">0</f>
        <v>0</v>
      </c>
      <c r="Q33" s="2"/>
      <c r="R33" s="19"/>
      <c r="S33" s="2"/>
      <c r="T33" s="2">
        <f>-102.71</f>
        <v>-102.71</v>
      </c>
      <c r="U33" s="2"/>
      <c r="V33" s="19"/>
      <c r="W33" s="2"/>
      <c r="X33" s="2">
        <f t="shared" si="2"/>
        <v>102.71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"4218", " - ", "SALES RETURN TAXABLE-STUDY GUI")</f>
        <v xml:space="preserve">          4218 - SALES RETURN TAXABLE-STUDY GUI</v>
      </c>
      <c r="C34" s="11"/>
      <c r="D34" s="2">
        <f t="shared" si="6"/>
        <v>0</v>
      </c>
      <c r="E34" s="2"/>
      <c r="F34" s="19"/>
      <c r="G34" s="2"/>
      <c r="H34" s="2">
        <f t="shared" ref="H34:H37" si="8"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 t="shared" si="7"/>
        <v>0</v>
      </c>
      <c r="Q34" s="2"/>
      <c r="R34" s="19"/>
      <c r="S34" s="2"/>
      <c r="T34" s="2">
        <f>-32.75</f>
        <v>-32.75</v>
      </c>
      <c r="U34" s="2"/>
      <c r="V34" s="19"/>
      <c r="W34" s="2"/>
      <c r="X34" s="2">
        <f t="shared" si="2"/>
        <v>32.75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"4301", " - ", "SALES RETURN NON TAXABLE-NEW T")</f>
        <v xml:space="preserve">          4301 - SALES RETURN NON TAXABLE-NEW T</v>
      </c>
      <c r="C35" s="11"/>
      <c r="D35" s="2">
        <f t="shared" si="6"/>
        <v>0</v>
      </c>
      <c r="E35" s="2"/>
      <c r="F35" s="19"/>
      <c r="G35" s="2"/>
      <c r="H35" s="2">
        <f t="shared" si="8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-2376.17</f>
        <v>-2376.17</v>
      </c>
      <c r="Q35" s="2"/>
      <c r="R35" s="19"/>
      <c r="S35" s="2"/>
      <c r="T35" s="2">
        <f>-12310.98</f>
        <v>-12310.98</v>
      </c>
      <c r="U35" s="2"/>
      <c r="V35" s="19"/>
      <c r="W35" s="2"/>
      <c r="X35" s="2">
        <f t="shared" si="2"/>
        <v>9934.81</v>
      </c>
      <c r="Y35" s="2"/>
      <c r="Z35" s="19">
        <f t="shared" si="3"/>
        <v>-0.80698774589837685</v>
      </c>
    </row>
    <row r="36" spans="1:26" s="24" customFormat="1" hidden="1" outlineLevel="1" x14ac:dyDescent="0.25">
      <c r="A36" s="44"/>
      <c r="B36" s="11" t="str">
        <f>CONCATENATE("          ", "4302", " - ", "SALES RETURN NON TAXABLE-TEXT")</f>
        <v xml:space="preserve">          4302 - SALES RETURN NON TAXABLE-TEXT</v>
      </c>
      <c r="C36" s="11"/>
      <c r="D36" s="2">
        <f>-76.05</f>
        <v>-76.05</v>
      </c>
      <c r="E36" s="2"/>
      <c r="F36" s="19"/>
      <c r="G36" s="2"/>
      <c r="H36" s="2">
        <f t="shared" si="8"/>
        <v>0</v>
      </c>
      <c r="I36" s="2"/>
      <c r="J36" s="19"/>
      <c r="K36" s="2"/>
      <c r="L36" s="2">
        <f t="shared" si="0"/>
        <v>-76.05</v>
      </c>
      <c r="M36" s="2"/>
      <c r="N36" s="19">
        <f t="shared" si="1"/>
        <v>0</v>
      </c>
      <c r="O36" s="11"/>
      <c r="P36" s="2">
        <f>-1392.85</f>
        <v>-1392.85</v>
      </c>
      <c r="Q36" s="2"/>
      <c r="R36" s="19"/>
      <c r="S36" s="2"/>
      <c r="T36" s="2">
        <f>-683.8</f>
        <v>-683.8</v>
      </c>
      <c r="U36" s="2"/>
      <c r="V36" s="19"/>
      <c r="W36" s="2"/>
      <c r="X36" s="2">
        <f t="shared" si="2"/>
        <v>-709.05</v>
      </c>
      <c r="Y36" s="2"/>
      <c r="Z36" s="19">
        <f t="shared" si="3"/>
        <v>1.0369260017548991</v>
      </c>
    </row>
    <row r="37" spans="1:26" s="24" customFormat="1" hidden="1" outlineLevel="1" x14ac:dyDescent="0.25">
      <c r="A37" s="44"/>
      <c r="B37" s="11" t="str">
        <f>CONCATENATE("          ", "4303", " - ", "SALES RETURN NON-TAXABLE-RENTA")</f>
        <v xml:space="preserve">          4303 - SALES RETURN NON-TAXABLE-RENTA</v>
      </c>
      <c r="C37" s="11"/>
      <c r="D37" s="2">
        <f>0</f>
        <v>0</v>
      </c>
      <c r="E37" s="2"/>
      <c r="F37" s="19"/>
      <c r="G37" s="2"/>
      <c r="H37" s="2">
        <f t="shared" si="8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0</f>
        <v>0</v>
      </c>
      <c r="Q37" s="2"/>
      <c r="R37" s="19"/>
      <c r="S37" s="2"/>
      <c r="T37" s="2">
        <f>-184.99</f>
        <v>-184.99</v>
      </c>
      <c r="U37" s="2"/>
      <c r="V37" s="19"/>
      <c r="W37" s="2"/>
      <c r="X37" s="2">
        <f t="shared" si="2"/>
        <v>184.99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"4304", " - ", "SALES RETURN NON TAXABLE-DIGIT")</f>
        <v xml:space="preserve">          4304 - SALES RETURN NON TAXABLE-DIGIT</v>
      </c>
      <c r="C38" s="11"/>
      <c r="D38" s="2">
        <f>-176.43</f>
        <v>-176.43</v>
      </c>
      <c r="E38" s="2"/>
      <c r="F38" s="19"/>
      <c r="G38" s="2"/>
      <c r="H38" s="2">
        <f>-70.58</f>
        <v>-70.58</v>
      </c>
      <c r="I38" s="2"/>
      <c r="J38" s="19"/>
      <c r="K38" s="2"/>
      <c r="L38" s="2">
        <f t="shared" si="0"/>
        <v>-105.85000000000001</v>
      </c>
      <c r="M38" s="2"/>
      <c r="N38" s="19">
        <f t="shared" si="1"/>
        <v>1.4997166336072543</v>
      </c>
      <c r="O38" s="11"/>
      <c r="P38" s="2">
        <f>-14278.54</f>
        <v>-14278.54</v>
      </c>
      <c r="Q38" s="2"/>
      <c r="R38" s="19"/>
      <c r="S38" s="2"/>
      <c r="T38" s="2">
        <f>-13203.87</f>
        <v>-13203.87</v>
      </c>
      <c r="U38" s="2"/>
      <c r="V38" s="19"/>
      <c r="W38" s="2"/>
      <c r="X38" s="2">
        <f t="shared" si="2"/>
        <v>-1074.67</v>
      </c>
      <c r="Y38" s="2"/>
      <c r="Z38" s="19">
        <f t="shared" si="3"/>
        <v>8.1390531715322859E-2</v>
      </c>
    </row>
    <row r="39" spans="1:26" s="24" customFormat="1" hidden="1" outlineLevel="1" x14ac:dyDescent="0.25">
      <c r="A39" s="44"/>
      <c r="B39" s="11" t="str">
        <f>CONCATENATE("          ", "4311", " - ", "SALES RETURN NON TAXABLE-NO VA")</f>
        <v xml:space="preserve">          4311 - SALES RETURN NON TAXABLE-NO VA</v>
      </c>
      <c r="C39" s="11"/>
      <c r="D39" s="2">
        <f>0</f>
        <v>0</v>
      </c>
      <c r="E39" s="2"/>
      <c r="F39" s="19"/>
      <c r="G39" s="2"/>
      <c r="H39" s="2">
        <f>0</f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0</f>
        <v>0</v>
      </c>
      <c r="Q39" s="2"/>
      <c r="R39" s="19"/>
      <c r="S39" s="2"/>
      <c r="T39" s="2">
        <f>-387.96</f>
        <v>-387.96</v>
      </c>
      <c r="U39" s="2"/>
      <c r="V39" s="19"/>
      <c r="W39" s="2"/>
      <c r="X39" s="2">
        <f t="shared" si="2"/>
        <v>387.96</v>
      </c>
      <c r="Y39" s="2"/>
      <c r="Z39" s="19">
        <f t="shared" si="3"/>
        <v>-1</v>
      </c>
    </row>
    <row r="40" spans="1:26" x14ac:dyDescent="0.25">
      <c r="A40" s="9"/>
      <c r="B40" s="10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collapsed="1" x14ac:dyDescent="0.25">
      <c r="A41" s="10"/>
      <c r="B41" s="29" t="s">
        <v>8</v>
      </c>
      <c r="C41" s="10"/>
      <c r="D41" s="4">
        <f>SUM(OSRRefD16x_0)</f>
        <v>6147.00000000004</v>
      </c>
      <c r="E41" s="4"/>
      <c r="F41" s="12">
        <f t="shared" ref="F41:F56" si="9">IF(D$12=0,0,D41/D$12)</f>
        <v>0.95410901708301277</v>
      </c>
      <c r="G41" s="4"/>
      <c r="H41" s="4">
        <f>SUM(OSRRefH16x_0)</f>
        <v>20378.790000000041</v>
      </c>
      <c r="I41" s="4"/>
      <c r="J41" s="12">
        <f t="shared" ref="J41:J56" si="10">IF(H$12=0,0,H41/H$12)</f>
        <v>1.5524851903316668</v>
      </c>
      <c r="K41" s="4"/>
      <c r="L41" s="4">
        <f t="shared" ref="L41:L56" si="11">+D41-H41</f>
        <v>-14231.79</v>
      </c>
      <c r="M41" s="4"/>
      <c r="N41" s="12">
        <f t="shared" ref="N41:N56" si="12">IF(H41=0,0,L41/H41)</f>
        <v>-0.69836285667598386</v>
      </c>
      <c r="O41" s="10"/>
      <c r="P41" s="4">
        <f>SUM(OSRRefP16x_0)</f>
        <v>769077.99999999988</v>
      </c>
      <c r="Q41" s="4"/>
      <c r="R41" s="12">
        <f t="shared" ref="R41:R56" si="13">IF(P$12=0,0,P41/P$12)</f>
        <v>0.71072187750829807</v>
      </c>
      <c r="S41" s="4"/>
      <c r="T41" s="4">
        <f>SUM(OSRRefT16x_0)</f>
        <v>1438761.61</v>
      </c>
      <c r="U41" s="4"/>
      <c r="V41" s="12">
        <f t="shared" ref="V41:V56" si="14">IF(T$12=0,0,T41/T$12)</f>
        <v>0.72876869030941904</v>
      </c>
      <c r="W41" s="4"/>
      <c r="X41" s="4">
        <f t="shared" ref="X41:X56" si="15">+P41-T41</f>
        <v>-669683.61000000022</v>
      </c>
      <c r="Y41" s="4"/>
      <c r="Z41" s="12">
        <f t="shared" ref="Z41:Z56" si="16">IF(T41=0,0,X41/T41)</f>
        <v>-0.46545835345161884</v>
      </c>
    </row>
    <row r="42" spans="1:26" s="24" customFormat="1" hidden="1" outlineLevel="1" x14ac:dyDescent="0.25">
      <c r="A42" s="44"/>
      <c r="B42" s="11" t="str">
        <f>CONCATENATE("          ", "5001", " - ", "PURCHASES @ COST-NEW TEXT")</f>
        <v xml:space="preserve">          5001 - PURCHASES @ COST-NEW TEXT</v>
      </c>
      <c r="C42" s="11"/>
      <c r="D42" s="2">
        <v>-108529.53</v>
      </c>
      <c r="E42" s="2"/>
      <c r="F42" s="19">
        <f t="shared" si="9"/>
        <v>-16.845453585941218</v>
      </c>
      <c r="G42" s="2"/>
      <c r="H42" s="2">
        <v>-176066.31999999998</v>
      </c>
      <c r="I42" s="2"/>
      <c r="J42" s="19">
        <f t="shared" si="10"/>
        <v>-13.412982533123683</v>
      </c>
      <c r="K42" s="2"/>
      <c r="L42" s="2">
        <f t="shared" si="11"/>
        <v>67536.789999999979</v>
      </c>
      <c r="M42" s="2"/>
      <c r="N42" s="19">
        <f t="shared" si="12"/>
        <v>-0.38358721872530754</v>
      </c>
      <c r="O42" s="11"/>
      <c r="P42" s="2">
        <v>1036215.4400000001</v>
      </c>
      <c r="Q42" s="2"/>
      <c r="R42" s="19">
        <f t="shared" si="13"/>
        <v>0.95758945519165461</v>
      </c>
      <c r="S42" s="2"/>
      <c r="T42" s="2">
        <v>1272781.8299999998</v>
      </c>
      <c r="U42" s="2"/>
      <c r="V42" s="19">
        <f t="shared" si="14"/>
        <v>0.64469578618985079</v>
      </c>
      <c r="W42" s="2"/>
      <c r="X42" s="2">
        <f t="shared" si="15"/>
        <v>-236566.38999999978</v>
      </c>
      <c r="Y42" s="2"/>
      <c r="Z42" s="19">
        <f t="shared" si="16"/>
        <v>-0.18586562474732987</v>
      </c>
    </row>
    <row r="43" spans="1:26" s="24" customFormat="1" hidden="1" outlineLevel="1" x14ac:dyDescent="0.25">
      <c r="A43" s="44"/>
      <c r="B43" s="11" t="str">
        <f>CONCATENATE("          ", "5002", " - ", "PURCHASES @ COST-USED TEXT")</f>
        <v xml:space="preserve">          5002 - PURCHASES @ COST-USED TEXT</v>
      </c>
      <c r="C43" s="11"/>
      <c r="D43" s="2">
        <v>-209276.59</v>
      </c>
      <c r="E43" s="2"/>
      <c r="F43" s="19">
        <f t="shared" si="9"/>
        <v>-32.482948036990948</v>
      </c>
      <c r="G43" s="2"/>
      <c r="H43" s="2">
        <v>-155583.76999999999</v>
      </c>
      <c r="I43" s="2"/>
      <c r="J43" s="19">
        <f t="shared" si="10"/>
        <v>-11.852592758498801</v>
      </c>
      <c r="K43" s="2"/>
      <c r="L43" s="2">
        <f t="shared" si="11"/>
        <v>-53692.820000000007</v>
      </c>
      <c r="M43" s="2"/>
      <c r="N43" s="19">
        <f t="shared" si="12"/>
        <v>0.34510553382271181</v>
      </c>
      <c r="O43" s="11"/>
      <c r="P43" s="2">
        <v>-45547.740000000005</v>
      </c>
      <c r="Q43" s="2"/>
      <c r="R43" s="19">
        <f t="shared" si="13"/>
        <v>-4.2091667280899754E-2</v>
      </c>
      <c r="S43" s="2"/>
      <c r="T43" s="2">
        <v>-162023.6</v>
      </c>
      <c r="U43" s="2"/>
      <c r="V43" s="19">
        <f t="shared" si="14"/>
        <v>-8.2069000139096834E-2</v>
      </c>
      <c r="W43" s="2"/>
      <c r="X43" s="2">
        <f t="shared" si="15"/>
        <v>116475.86</v>
      </c>
      <c r="Y43" s="2"/>
      <c r="Z43" s="19">
        <f t="shared" si="16"/>
        <v>-0.7188820640943665</v>
      </c>
    </row>
    <row r="44" spans="1:26" s="24" customFormat="1" hidden="1" outlineLevel="1" x14ac:dyDescent="0.25">
      <c r="A44" s="44"/>
      <c r="B44" s="11" t="str">
        <f>CONCATENATE("          ", "5003", " - ", "PURCHASES @ COST-RENTAL TEXT")</f>
        <v xml:space="preserve">          5003 - PURCHASES @ COST-RENTAL TEXT</v>
      </c>
      <c r="C44" s="11"/>
      <c r="D44" s="2">
        <v>517.92999999999995</v>
      </c>
      <c r="E44" s="2"/>
      <c r="F44" s="19">
        <f t="shared" si="9"/>
        <v>8.0390708185749393E-2</v>
      </c>
      <c r="G44" s="2"/>
      <c r="H44" s="2"/>
      <c r="I44" s="2"/>
      <c r="J44" s="19">
        <f t="shared" si="10"/>
        <v>0</v>
      </c>
      <c r="K44" s="2"/>
      <c r="L44" s="2">
        <f t="shared" si="11"/>
        <v>517.92999999999995</v>
      </c>
      <c r="M44" s="2"/>
      <c r="N44" s="19">
        <f t="shared" si="12"/>
        <v>0</v>
      </c>
      <c r="O44" s="11"/>
      <c r="P44" s="2">
        <v>32.520000000000003</v>
      </c>
      <c r="Q44" s="2"/>
      <c r="R44" s="19">
        <f t="shared" si="13"/>
        <v>3.0052446509417588E-5</v>
      </c>
      <c r="S44" s="2"/>
      <c r="T44" s="2">
        <v>-78.400000000000006</v>
      </c>
      <c r="U44" s="2"/>
      <c r="V44" s="19">
        <f t="shared" si="14"/>
        <v>-3.9711558136624489E-5</v>
      </c>
      <c r="W44" s="2"/>
      <c r="X44" s="2">
        <f t="shared" si="15"/>
        <v>110.92000000000002</v>
      </c>
      <c r="Y44" s="2"/>
      <c r="Z44" s="19">
        <f t="shared" si="16"/>
        <v>-1.4147959183673471</v>
      </c>
    </row>
    <row r="45" spans="1:26" s="24" customFormat="1" hidden="1" outlineLevel="1" x14ac:dyDescent="0.25">
      <c r="A45" s="44"/>
      <c r="B45" s="11" t="str">
        <f>CONCATENATE("          ", "5004", " - ", "PURCHASES @ COST-DIGITAL TEXT")</f>
        <v xml:space="preserve">          5004 - PURCHASES @ COST-DIGITAL TEXT</v>
      </c>
      <c r="C45" s="11"/>
      <c r="D45" s="2">
        <v>1418.58</v>
      </c>
      <c r="E45" s="2"/>
      <c r="F45" s="19">
        <f t="shared" si="9"/>
        <v>0.22018545135083964</v>
      </c>
      <c r="G45" s="2"/>
      <c r="H45" s="2">
        <v>0.94</v>
      </c>
      <c r="I45" s="2"/>
      <c r="J45" s="19">
        <f t="shared" si="10"/>
        <v>7.1610536195316989E-5</v>
      </c>
      <c r="K45" s="2"/>
      <c r="L45" s="2">
        <f t="shared" si="11"/>
        <v>1417.6399999999999</v>
      </c>
      <c r="M45" s="2"/>
      <c r="N45" s="19">
        <f t="shared" si="12"/>
        <v>1508.127659574468</v>
      </c>
      <c r="O45" s="11"/>
      <c r="P45" s="2">
        <v>196938.11000000002</v>
      </c>
      <c r="Q45" s="2"/>
      <c r="R45" s="19">
        <f t="shared" si="13"/>
        <v>0.18199483445389905</v>
      </c>
      <c r="S45" s="2"/>
      <c r="T45" s="2">
        <v>322779.97000000003</v>
      </c>
      <c r="U45" s="2"/>
      <c r="V45" s="19">
        <f t="shared" si="14"/>
        <v>0.16349611663256261</v>
      </c>
      <c r="W45" s="2"/>
      <c r="X45" s="2">
        <f t="shared" si="15"/>
        <v>-125841.86000000002</v>
      </c>
      <c r="Y45" s="2"/>
      <c r="Z45" s="19">
        <f t="shared" si="16"/>
        <v>-0.3898688633002847</v>
      </c>
    </row>
    <row r="46" spans="1:26" s="24" customFormat="1" hidden="1" outlineLevel="1" x14ac:dyDescent="0.25">
      <c r="A46" s="44"/>
      <c r="B46" s="11" t="str">
        <f>CONCATENATE("          ", "5011", " - ", "PURCHASES @ COST-NO VALUE TEXT")</f>
        <v xml:space="preserve">          5011 - PURCHASES @ COST-NO VALUE TEXT</v>
      </c>
      <c r="C46" s="11"/>
      <c r="D46" s="2"/>
      <c r="E46" s="2"/>
      <c r="F46" s="19">
        <f t="shared" si="9"/>
        <v>0</v>
      </c>
      <c r="G46" s="2"/>
      <c r="H46" s="2">
        <v>66</v>
      </c>
      <c r="I46" s="2"/>
      <c r="J46" s="19">
        <f t="shared" si="10"/>
        <v>5.0279738179690656E-3</v>
      </c>
      <c r="K46" s="2"/>
      <c r="L46" s="2">
        <f t="shared" si="11"/>
        <v>-66</v>
      </c>
      <c r="M46" s="2"/>
      <c r="N46" s="19">
        <f t="shared" si="12"/>
        <v>-1</v>
      </c>
      <c r="O46" s="11"/>
      <c r="P46" s="2">
        <v>67.17</v>
      </c>
      <c r="Q46" s="2"/>
      <c r="R46" s="19">
        <f t="shared" si="13"/>
        <v>6.2073272817883736E-5</v>
      </c>
      <c r="S46" s="2"/>
      <c r="T46" s="2">
        <v>3741</v>
      </c>
      <c r="U46" s="2"/>
      <c r="V46" s="19">
        <f t="shared" si="14"/>
        <v>1.894909936085615E-3</v>
      </c>
      <c r="W46" s="2"/>
      <c r="X46" s="2">
        <f t="shared" si="15"/>
        <v>-3673.83</v>
      </c>
      <c r="Y46" s="2"/>
      <c r="Z46" s="19">
        <f t="shared" si="16"/>
        <v>-0.98204490777866882</v>
      </c>
    </row>
    <row r="47" spans="1:26" s="24" customFormat="1" hidden="1" outlineLevel="1" x14ac:dyDescent="0.25">
      <c r="A47" s="44"/>
      <c r="B47" s="11" t="str">
        <f>CONCATENATE("          ", "5013", " - ", "PURCHASES @ COST-TRADE BOOKS")</f>
        <v xml:space="preserve">          5013 - PURCHASES @ COST-TRADE BOOKS</v>
      </c>
      <c r="C47" s="11"/>
      <c r="D47" s="2">
        <v>611.1</v>
      </c>
      <c r="E47" s="2"/>
      <c r="F47" s="19">
        <f t="shared" si="9"/>
        <v>9.4852126295660533E-2</v>
      </c>
      <c r="G47" s="2"/>
      <c r="H47" s="2">
        <v>10.79</v>
      </c>
      <c r="I47" s="2"/>
      <c r="J47" s="19">
        <f t="shared" si="10"/>
        <v>8.2199753781645769E-4</v>
      </c>
      <c r="K47" s="2"/>
      <c r="L47" s="2">
        <f t="shared" si="11"/>
        <v>600.31000000000006</v>
      </c>
      <c r="M47" s="2"/>
      <c r="N47" s="19">
        <f t="shared" si="12"/>
        <v>55.63577386468954</v>
      </c>
      <c r="O47" s="11"/>
      <c r="P47" s="2">
        <v>2094.7399999999998</v>
      </c>
      <c r="Q47" s="2"/>
      <c r="R47" s="19">
        <f t="shared" si="13"/>
        <v>1.9357952583375581E-3</v>
      </c>
      <c r="S47" s="2"/>
      <c r="T47" s="2">
        <v>698.14</v>
      </c>
      <c r="U47" s="2"/>
      <c r="V47" s="19">
        <f t="shared" si="14"/>
        <v>3.536253469069263E-4</v>
      </c>
      <c r="W47" s="2"/>
      <c r="X47" s="2">
        <f t="shared" si="15"/>
        <v>1396.6</v>
      </c>
      <c r="Y47" s="2"/>
      <c r="Z47" s="19">
        <f t="shared" si="16"/>
        <v>2.0004583607872344</v>
      </c>
    </row>
    <row r="48" spans="1:26" s="24" customFormat="1" hidden="1" outlineLevel="1" x14ac:dyDescent="0.25">
      <c r="A48" s="44"/>
      <c r="B48" s="11" t="str">
        <f>CONCATENATE("          ", "5014", " - ", "PURCHASES @ COST-REMAINDERS")</f>
        <v xml:space="preserve">          5014 - PURCHASES @ COST-REMAINDERS</v>
      </c>
      <c r="C48" s="11"/>
      <c r="D48" s="2"/>
      <c r="E48" s="2"/>
      <c r="F48" s="19">
        <f t="shared" si="9"/>
        <v>0</v>
      </c>
      <c r="G48" s="2"/>
      <c r="H48" s="2">
        <v>114.84</v>
      </c>
      <c r="I48" s="2"/>
      <c r="J48" s="19">
        <f t="shared" si="10"/>
        <v>8.7486744432661735E-3</v>
      </c>
      <c r="K48" s="2"/>
      <c r="L48" s="2">
        <f t="shared" si="11"/>
        <v>-114.84</v>
      </c>
      <c r="M48" s="2"/>
      <c r="N48" s="19">
        <f t="shared" si="12"/>
        <v>-1</v>
      </c>
      <c r="O48" s="11"/>
      <c r="P48" s="2">
        <v>90.41</v>
      </c>
      <c r="Q48" s="2"/>
      <c r="R48" s="19">
        <f t="shared" si="13"/>
        <v>8.3549867432854979E-5</v>
      </c>
      <c r="S48" s="2"/>
      <c r="T48" s="2">
        <v>442.35</v>
      </c>
      <c r="U48" s="2"/>
      <c r="V48" s="19">
        <f t="shared" si="14"/>
        <v>2.2406132323642657E-4</v>
      </c>
      <c r="W48" s="2"/>
      <c r="X48" s="2">
        <f t="shared" si="15"/>
        <v>-351.94000000000005</v>
      </c>
      <c r="Y48" s="2"/>
      <c r="Z48" s="19">
        <f t="shared" si="16"/>
        <v>-0.79561433254210479</v>
      </c>
    </row>
    <row r="49" spans="1:26" s="24" customFormat="1" hidden="1" outlineLevel="1" x14ac:dyDescent="0.25">
      <c r="A49" s="44"/>
      <c r="B49" s="11" t="str">
        <f>CONCATENATE("          ", "5018", " - ", "PURCHASES @ COST-STUDY GUIDES")</f>
        <v xml:space="preserve">          5018 - PURCHASES @ COST-STUDY GUIDES</v>
      </c>
      <c r="C49" s="11"/>
      <c r="D49" s="2">
        <v>106.34</v>
      </c>
      <c r="E49" s="2"/>
      <c r="F49" s="19">
        <f t="shared" si="9"/>
        <v>1.6505604827819573E-2</v>
      </c>
      <c r="G49" s="2"/>
      <c r="H49" s="2"/>
      <c r="I49" s="2"/>
      <c r="J49" s="19">
        <f t="shared" si="10"/>
        <v>0</v>
      </c>
      <c r="K49" s="2"/>
      <c r="L49" s="2">
        <f t="shared" si="11"/>
        <v>106.34</v>
      </c>
      <c r="M49" s="2"/>
      <c r="N49" s="19">
        <f t="shared" si="12"/>
        <v>0</v>
      </c>
      <c r="O49" s="11"/>
      <c r="P49" s="2">
        <v>106.34</v>
      </c>
      <c r="Q49" s="2"/>
      <c r="R49" s="19">
        <f t="shared" si="13"/>
        <v>9.8271130437006961E-5</v>
      </c>
      <c r="S49" s="2"/>
      <c r="T49" s="2">
        <v>802.09</v>
      </c>
      <c r="U49" s="2"/>
      <c r="V49" s="19">
        <f t="shared" si="14"/>
        <v>4.0627861818629002E-4</v>
      </c>
      <c r="W49" s="2"/>
      <c r="X49" s="2">
        <f t="shared" si="15"/>
        <v>-695.75</v>
      </c>
      <c r="Y49" s="2"/>
      <c r="Z49" s="19">
        <f t="shared" si="16"/>
        <v>-0.86742136169257811</v>
      </c>
    </row>
    <row r="50" spans="1:26" s="24" customFormat="1" hidden="1" outlineLevel="1" x14ac:dyDescent="0.25">
      <c r="A50" s="44"/>
      <c r="B50" s="11" t="str">
        <f>CONCATENATE("          ", "5200", " - ", "PURCHASES OFFSET")</f>
        <v xml:space="preserve">          5200 - PURCHASES OFFSET</v>
      </c>
      <c r="C50" s="11"/>
      <c r="D50" s="2">
        <v>313747.15000000002</v>
      </c>
      <c r="E50" s="2"/>
      <c r="F50" s="19">
        <f t="shared" si="9"/>
        <v>48.698387001642203</v>
      </c>
      <c r="G50" s="2"/>
      <c r="H50" s="2">
        <v>330700</v>
      </c>
      <c r="I50" s="2"/>
      <c r="J50" s="19">
        <f t="shared" si="10"/>
        <v>25.193196084884391</v>
      </c>
      <c r="K50" s="2"/>
      <c r="L50" s="2">
        <f t="shared" si="11"/>
        <v>-16952.849999999977</v>
      </c>
      <c r="M50" s="2"/>
      <c r="N50" s="19">
        <f t="shared" si="12"/>
        <v>-5.1263531902025934E-2</v>
      </c>
      <c r="O50" s="11"/>
      <c r="P50" s="2">
        <v>-1236227.33</v>
      </c>
      <c r="Q50" s="2"/>
      <c r="R50" s="19">
        <f t="shared" si="13"/>
        <v>-1.1424248372787553</v>
      </c>
      <c r="S50" s="2"/>
      <c r="T50" s="2">
        <v>-1480875</v>
      </c>
      <c r="U50" s="2"/>
      <c r="V50" s="19">
        <f t="shared" si="14"/>
        <v>-0.75010017417823716</v>
      </c>
      <c r="W50" s="2"/>
      <c r="X50" s="2">
        <f t="shared" si="15"/>
        <v>244647.66999999993</v>
      </c>
      <c r="Y50" s="2"/>
      <c r="Z50" s="19">
        <f t="shared" si="16"/>
        <v>-0.16520480796826195</v>
      </c>
    </row>
    <row r="51" spans="1:26" s="24" customFormat="1" hidden="1" outlineLevel="1" x14ac:dyDescent="0.25">
      <c r="A51" s="44"/>
      <c r="B51" s="11" t="str">
        <f>CONCATENATE("          ", "5300", " - ", "COG$ OFFSET")</f>
        <v xml:space="preserve">          5300 - COG$ OFFSET</v>
      </c>
      <c r="C51" s="11"/>
      <c r="D51" s="2">
        <v>6147</v>
      </c>
      <c r="E51" s="2"/>
      <c r="F51" s="19">
        <f t="shared" si="9"/>
        <v>0.95410901708300655</v>
      </c>
      <c r="G51" s="2"/>
      <c r="H51" s="2">
        <v>20379</v>
      </c>
      <c r="I51" s="2"/>
      <c r="J51" s="19">
        <f t="shared" si="10"/>
        <v>1.5525011884301754</v>
      </c>
      <c r="K51" s="2"/>
      <c r="L51" s="2">
        <f t="shared" si="11"/>
        <v>-14232</v>
      </c>
      <c r="M51" s="2"/>
      <c r="N51" s="19">
        <f t="shared" si="12"/>
        <v>-0.69836596496393344</v>
      </c>
      <c r="O51" s="11"/>
      <c r="P51" s="2">
        <v>769078</v>
      </c>
      <c r="Q51" s="2"/>
      <c r="R51" s="19">
        <f t="shared" si="13"/>
        <v>0.71072187750829818</v>
      </c>
      <c r="S51" s="2"/>
      <c r="T51" s="2">
        <v>1438765</v>
      </c>
      <c r="U51" s="2"/>
      <c r="V51" s="19">
        <f t="shared" si="14"/>
        <v>0.72877040742908838</v>
      </c>
      <c r="W51" s="2"/>
      <c r="X51" s="2">
        <f t="shared" si="15"/>
        <v>-669687</v>
      </c>
      <c r="Y51" s="2"/>
      <c r="Z51" s="19">
        <f t="shared" si="16"/>
        <v>-0.46545961293192423</v>
      </c>
    </row>
    <row r="52" spans="1:26" s="24" customFormat="1" hidden="1" outlineLevel="1" x14ac:dyDescent="0.25">
      <c r="A52" s="44"/>
      <c r="B52" s="11" t="str">
        <f>CONCATENATE("          ", "5501", " - ", "FREIGHT-IN-NEW TEXT")</f>
        <v xml:space="preserve">          5501 - FREIGHT-IN-NEW TEXT</v>
      </c>
      <c r="C52" s="11"/>
      <c r="D52" s="2">
        <v>990.19</v>
      </c>
      <c r="E52" s="2"/>
      <c r="F52" s="19">
        <f t="shared" si="9"/>
        <v>0.15369272940058928</v>
      </c>
      <c r="G52" s="2"/>
      <c r="H52" s="2">
        <v>490.07</v>
      </c>
      <c r="I52" s="2"/>
      <c r="J52" s="19">
        <f t="shared" si="10"/>
        <v>3.7334229226849994E-2</v>
      </c>
      <c r="K52" s="2"/>
      <c r="L52" s="2">
        <f t="shared" si="11"/>
        <v>500.12000000000006</v>
      </c>
      <c r="M52" s="2"/>
      <c r="N52" s="19">
        <f t="shared" si="12"/>
        <v>1.020507274470994</v>
      </c>
      <c r="O52" s="11"/>
      <c r="P52" s="2">
        <v>35048.81</v>
      </c>
      <c r="Q52" s="2"/>
      <c r="R52" s="19">
        <f t="shared" si="13"/>
        <v>3.2389375391873927E-2</v>
      </c>
      <c r="S52" s="2"/>
      <c r="T52" s="2">
        <v>34507.550000000003</v>
      </c>
      <c r="U52" s="2"/>
      <c r="V52" s="19">
        <f t="shared" si="14"/>
        <v>1.7478935943590262E-2</v>
      </c>
      <c r="W52" s="2"/>
      <c r="X52" s="2">
        <f t="shared" si="15"/>
        <v>541.25999999999476</v>
      </c>
      <c r="Y52" s="2"/>
      <c r="Z52" s="19">
        <f t="shared" si="16"/>
        <v>1.5685263080108404E-2</v>
      </c>
    </row>
    <row r="53" spans="1:26" s="24" customFormat="1" hidden="1" outlineLevel="1" x14ac:dyDescent="0.25">
      <c r="A53" s="44"/>
      <c r="B53" s="11" t="str">
        <f>CONCATENATE("          ", "5502", " - ", "FREIGHT-IN-USED TEXT")</f>
        <v xml:space="preserve">          5502 - FREIGHT-IN-USED TEXT</v>
      </c>
      <c r="C53" s="11"/>
      <c r="D53" s="2">
        <v>388.37</v>
      </c>
      <c r="E53" s="2"/>
      <c r="F53" s="19">
        <f t="shared" si="9"/>
        <v>6.0281001946401049E-2</v>
      </c>
      <c r="G53" s="2"/>
      <c r="H53" s="2">
        <v>237.65</v>
      </c>
      <c r="I53" s="2"/>
      <c r="J53" s="19">
        <f t="shared" si="10"/>
        <v>1.8104514815762855E-2</v>
      </c>
      <c r="K53" s="2"/>
      <c r="L53" s="2">
        <f t="shared" si="11"/>
        <v>150.72</v>
      </c>
      <c r="M53" s="2"/>
      <c r="N53" s="19">
        <f t="shared" si="12"/>
        <v>0.63420997264885337</v>
      </c>
      <c r="O53" s="11"/>
      <c r="P53" s="2">
        <v>11133.09</v>
      </c>
      <c r="Q53" s="2"/>
      <c r="R53" s="19">
        <f t="shared" si="13"/>
        <v>1.0288333078398888E-2</v>
      </c>
      <c r="S53" s="2"/>
      <c r="T53" s="2">
        <v>7090.12</v>
      </c>
      <c r="U53" s="2"/>
      <c r="V53" s="19">
        <f t="shared" si="14"/>
        <v>3.5913228644852552E-3</v>
      </c>
      <c r="W53" s="2"/>
      <c r="X53" s="2">
        <f t="shared" si="15"/>
        <v>4042.9700000000003</v>
      </c>
      <c r="Y53" s="2"/>
      <c r="Z53" s="19">
        <f t="shared" si="16"/>
        <v>0.57022589180437011</v>
      </c>
    </row>
    <row r="54" spans="1:26" s="24" customFormat="1" hidden="1" outlineLevel="1" x14ac:dyDescent="0.25">
      <c r="A54" s="44"/>
      <c r="B54" s="11" t="str">
        <f>CONCATENATE("          ", "5504", " - ", "FREIGHT-IN-DIGITAL TEXT")</f>
        <v xml:space="preserve">          5504 - FREIGHT-IN-DIGITAL TEXT</v>
      </c>
      <c r="C54" s="11"/>
      <c r="D54" s="2"/>
      <c r="E54" s="2"/>
      <c r="F54" s="19">
        <f t="shared" si="9"/>
        <v>0</v>
      </c>
      <c r="G54" s="2"/>
      <c r="H54" s="2">
        <v>5</v>
      </c>
      <c r="I54" s="2"/>
      <c r="J54" s="19">
        <f t="shared" si="10"/>
        <v>3.8090710742189889E-4</v>
      </c>
      <c r="K54" s="2"/>
      <c r="L54" s="2">
        <f t="shared" si="11"/>
        <v>-5</v>
      </c>
      <c r="M54" s="2"/>
      <c r="N54" s="19">
        <f t="shared" si="12"/>
        <v>-1</v>
      </c>
      <c r="O54" s="11"/>
      <c r="P54" s="2">
        <v>21.98</v>
      </c>
      <c r="Q54" s="2"/>
      <c r="R54" s="19">
        <f t="shared" si="13"/>
        <v>2.0312200931027016E-5</v>
      </c>
      <c r="S54" s="2"/>
      <c r="T54" s="2">
        <v>105.97</v>
      </c>
      <c r="U54" s="2"/>
      <c r="V54" s="19">
        <f t="shared" si="14"/>
        <v>5.3676451731353278E-5</v>
      </c>
      <c r="W54" s="2"/>
      <c r="X54" s="2">
        <f t="shared" si="15"/>
        <v>-83.99</v>
      </c>
      <c r="Y54" s="2"/>
      <c r="Z54" s="19">
        <f t="shared" si="16"/>
        <v>-0.79258280645465695</v>
      </c>
    </row>
    <row r="55" spans="1:26" s="24" customFormat="1" hidden="1" outlineLevel="1" x14ac:dyDescent="0.25">
      <c r="A55" s="44"/>
      <c r="B55" s="11" t="str">
        <f>CONCATENATE("          ", "5513", " - ", "FREIGHT-IN-TRADE BOOKS")</f>
        <v xml:space="preserve">          5513 - FREIGHT-IN-TRADE BOOKS</v>
      </c>
      <c r="C55" s="11"/>
      <c r="D55" s="2">
        <v>26.46</v>
      </c>
      <c r="E55" s="2"/>
      <c r="F55" s="19">
        <f t="shared" si="9"/>
        <v>4.1069992829048888E-3</v>
      </c>
      <c r="G55" s="2"/>
      <c r="H55" s="2">
        <v>12.33</v>
      </c>
      <c r="I55" s="2"/>
      <c r="J55" s="19">
        <f t="shared" si="10"/>
        <v>9.3931692690240264E-4</v>
      </c>
      <c r="K55" s="2"/>
      <c r="L55" s="2">
        <f t="shared" si="11"/>
        <v>14.13</v>
      </c>
      <c r="M55" s="2"/>
      <c r="N55" s="19">
        <f t="shared" si="12"/>
        <v>1.1459854014598541</v>
      </c>
      <c r="O55" s="11"/>
      <c r="P55" s="2">
        <v>26.46</v>
      </c>
      <c r="Q55" s="2"/>
      <c r="R55" s="19">
        <f t="shared" si="13"/>
        <v>2.44522673628287E-5</v>
      </c>
      <c r="S55" s="2"/>
      <c r="T55" s="2">
        <v>12.33</v>
      </c>
      <c r="U55" s="2"/>
      <c r="V55" s="19">
        <f t="shared" si="14"/>
        <v>6.2454529569461728E-6</v>
      </c>
      <c r="W55" s="2"/>
      <c r="X55" s="2">
        <f t="shared" si="15"/>
        <v>14.13</v>
      </c>
      <c r="Y55" s="2"/>
      <c r="Z55" s="19">
        <f t="shared" si="16"/>
        <v>1.1459854014598541</v>
      </c>
    </row>
    <row r="56" spans="1:26" s="24" customFormat="1" hidden="1" outlineLevel="1" x14ac:dyDescent="0.25">
      <c r="A56" s="44"/>
      <c r="B56" s="11" t="str">
        <f>CONCATENATE("          ", "5518", " - ", "FREIGHT-IN-STUDY GUIDES")</f>
        <v xml:space="preserve">          5518 - FREIGHT-IN-STUDY GUIDES</v>
      </c>
      <c r="C56" s="11"/>
      <c r="D56" s="2"/>
      <c r="E56" s="2"/>
      <c r="F56" s="19">
        <f t="shared" si="9"/>
        <v>0</v>
      </c>
      <c r="G56" s="2"/>
      <c r="H56" s="2">
        <v>12.26</v>
      </c>
      <c r="I56" s="2"/>
      <c r="J56" s="19">
        <f t="shared" si="10"/>
        <v>9.3398422739849598E-4</v>
      </c>
      <c r="K56" s="2"/>
      <c r="L56" s="2">
        <f t="shared" si="11"/>
        <v>-12.26</v>
      </c>
      <c r="M56" s="2"/>
      <c r="N56" s="19">
        <f t="shared" si="12"/>
        <v>-1</v>
      </c>
      <c r="O56" s="11"/>
      <c r="P56" s="2"/>
      <c r="Q56" s="2"/>
      <c r="R56" s="19">
        <f t="shared" si="13"/>
        <v>0</v>
      </c>
      <c r="S56" s="2"/>
      <c r="T56" s="2">
        <v>12.26</v>
      </c>
      <c r="U56" s="2"/>
      <c r="V56" s="19">
        <f t="shared" si="14"/>
        <v>6.2099962086099006E-6</v>
      </c>
      <c r="W56" s="2"/>
      <c r="X56" s="2">
        <f t="shared" si="15"/>
        <v>-12.26</v>
      </c>
      <c r="Y56" s="2"/>
      <c r="Z56" s="19">
        <f t="shared" si="16"/>
        <v>-1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8" t="s">
        <v>6</v>
      </c>
      <c r="C58" s="28"/>
      <c r="D58" s="20">
        <f>D12-D41</f>
        <v>295.65999999995711</v>
      </c>
      <c r="E58" s="14"/>
      <c r="F58" s="22">
        <f>IF(D$12=0,0,D58/D$12)</f>
        <v>4.5890982916987275E-2</v>
      </c>
      <c r="G58" s="14"/>
      <c r="H58" s="20">
        <f>H12-H41</f>
        <v>-7252.2300000000432</v>
      </c>
      <c r="I58" s="14"/>
      <c r="J58" s="22">
        <f>IF(H$12=0,0,H58/H$12)</f>
        <v>-0.55248519033166688</v>
      </c>
      <c r="K58" s="15"/>
      <c r="L58" s="20">
        <f>+D58-H58</f>
        <v>7547.89</v>
      </c>
      <c r="M58" s="15"/>
      <c r="N58" s="22">
        <f>IF(H58=0,0,L58/H58)</f>
        <v>-1.0407681499345658</v>
      </c>
      <c r="O58" s="29"/>
      <c r="P58" s="20">
        <f>P12-P41</f>
        <v>313030.23999999987</v>
      </c>
      <c r="Q58" s="14"/>
      <c r="R58" s="22">
        <f>IF(P$12=0,0,P58/P$12)</f>
        <v>0.28927812249170187</v>
      </c>
      <c r="S58" s="14"/>
      <c r="T58" s="20">
        <f>T12-T41</f>
        <v>535474.69999999972</v>
      </c>
      <c r="U58" s="14"/>
      <c r="V58" s="22">
        <f>IF(T$12=0,0,T58/T$12)</f>
        <v>0.27123130969058096</v>
      </c>
      <c r="W58" s="15"/>
      <c r="X58" s="20">
        <f>+P58-T58</f>
        <v>-222444.45999999985</v>
      </c>
      <c r="Y58" s="15"/>
      <c r="Z58" s="22">
        <f>IF(T58=0,0,X58/T58)</f>
        <v>-0.41541544353075871</v>
      </c>
    </row>
    <row r="59" spans="1:26" x14ac:dyDescent="0.25">
      <c r="A59" s="9"/>
      <c r="B59" s="10"/>
      <c r="C59" s="9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9" t="s">
        <v>9</v>
      </c>
      <c r="C60" s="10"/>
      <c r="D60" s="21">
        <f>SUM(OSRRefD22x_0)</f>
        <v>43215.05000000001</v>
      </c>
      <c r="E60" s="21"/>
      <c r="F60" s="35">
        <f t="shared" ref="F60:F70" si="17">IF(D$12=0,0,D60/D$12)</f>
        <v>6.7076409433370738</v>
      </c>
      <c r="G60" s="21"/>
      <c r="H60" s="21">
        <f>SUM(OSRRefH22x_0)</f>
        <v>48723.32</v>
      </c>
      <c r="I60" s="21"/>
      <c r="J60" s="35">
        <f t="shared" ref="J60:J70" si="18">IF(H$12=0,0,H60/H$12)</f>
        <v>3.7118117770383106</v>
      </c>
      <c r="K60" s="4"/>
      <c r="L60" s="21">
        <f t="shared" ref="L60:L70" si="19">+D60-H60</f>
        <v>-5508.2699999999895</v>
      </c>
      <c r="M60" s="4"/>
      <c r="N60" s="35">
        <f t="shared" ref="N60:N70" si="20">IF(H60=0,0,L60/H60)</f>
        <v>-0.11305202519040143</v>
      </c>
      <c r="O60" s="10"/>
      <c r="P60" s="21">
        <f>SUM(OSRRefP22x_0)</f>
        <v>212932.37000000002</v>
      </c>
      <c r="Q60" s="21"/>
      <c r="R60" s="35">
        <f t="shared" ref="R60:R70" si="21">IF(P$12=0,0,P60/P$12)</f>
        <v>0.19677548153593219</v>
      </c>
      <c r="S60" s="21"/>
      <c r="T60" s="21">
        <f>SUM(OSRRefT22x_0)</f>
        <v>209249.05</v>
      </c>
      <c r="U60" s="21"/>
      <c r="V60" s="35">
        <f t="shared" ref="V60:V70" si="22">IF(T$12=0,0,T60/T$12)</f>
        <v>0.10598987007791383</v>
      </c>
      <c r="W60" s="4"/>
      <c r="X60" s="21">
        <f t="shared" ref="X60:X70" si="23">+P60-T60</f>
        <v>3683.3200000000361</v>
      </c>
      <c r="Y60" s="4"/>
      <c r="Z60" s="35">
        <f t="shared" ref="Z60:Z70" si="24">IF(T60=0,0,X60/T60)</f>
        <v>1.7602564981776675E-2</v>
      </c>
    </row>
    <row r="61" spans="1:26" s="26" customFormat="1" outlineLevel="1" collapsed="1" x14ac:dyDescent="0.25">
      <c r="A61" s="27"/>
      <c r="B61" s="13" t="str">
        <f>CONCATENATE("     ","*Benefits                                         ")</f>
        <v xml:space="preserve">     *Benefits                                         </v>
      </c>
      <c r="C61" s="13"/>
      <c r="D61" s="1">
        <f>SUM(OSRRefD22_0x_0)</f>
        <v>11425.13</v>
      </c>
      <c r="E61" s="1"/>
      <c r="F61" s="5">
        <f t="shared" si="17"/>
        <v>1.7733560361713958</v>
      </c>
      <c r="G61" s="1"/>
      <c r="H61" s="1">
        <f>SUM(OSRRefH22_0x_0)</f>
        <v>8764.2699999999986</v>
      </c>
      <c r="I61" s="1"/>
      <c r="J61" s="5">
        <f t="shared" si="18"/>
        <v>0.66767454687290506</v>
      </c>
      <c r="K61" s="1"/>
      <c r="L61" s="1">
        <f t="shared" si="19"/>
        <v>2660.8600000000006</v>
      </c>
      <c r="M61" s="1"/>
      <c r="N61" s="5">
        <f t="shared" si="20"/>
        <v>0.30360315234469054</v>
      </c>
      <c r="O61" s="13"/>
      <c r="P61" s="1">
        <f>SUM(OSRRefP22_0x_0)</f>
        <v>57037.840000000004</v>
      </c>
      <c r="Q61" s="1"/>
      <c r="R61" s="5">
        <f t="shared" si="21"/>
        <v>5.2709921144302549E-2</v>
      </c>
      <c r="S61" s="1"/>
      <c r="T61" s="1">
        <f>SUM(OSRRefT22_0x_0)</f>
        <v>51347.56</v>
      </c>
      <c r="U61" s="1"/>
      <c r="V61" s="5">
        <f t="shared" si="22"/>
        <v>2.6008821608594569E-2</v>
      </c>
      <c r="W61" s="1"/>
      <c r="X61" s="1">
        <f t="shared" si="23"/>
        <v>5690.2800000000061</v>
      </c>
      <c r="Y61" s="1"/>
      <c r="Z61" s="5">
        <f t="shared" si="24"/>
        <v>0.11081889772366996</v>
      </c>
    </row>
    <row r="62" spans="1:26" s="24" customFormat="1" hidden="1" outlineLevel="2" x14ac:dyDescent="0.25">
      <c r="A62" s="25"/>
      <c r="B62" s="11" t="str">
        <f>CONCATENATE("          ", "6111", " - ", "F.I.C.A.")</f>
        <v xml:space="preserve">          6111 - F.I.C.A.</v>
      </c>
      <c r="C62" s="11"/>
      <c r="D62" s="6">
        <v>1724.83</v>
      </c>
      <c r="E62" s="2"/>
      <c r="F62" s="7">
        <f t="shared" si="17"/>
        <v>0.26772016527334991</v>
      </c>
      <c r="G62" s="2"/>
      <c r="H62" s="6">
        <v>1472.33</v>
      </c>
      <c r="I62" s="2"/>
      <c r="J62" s="7">
        <f t="shared" si="18"/>
        <v>0.11216419229409687</v>
      </c>
      <c r="K62" s="2"/>
      <c r="L62" s="6">
        <f t="shared" si="19"/>
        <v>252.5</v>
      </c>
      <c r="M62" s="2"/>
      <c r="N62" s="7">
        <f t="shared" si="20"/>
        <v>0.17149687909639824</v>
      </c>
      <c r="O62" s="11"/>
      <c r="P62" s="6">
        <v>10947.47</v>
      </c>
      <c r="Q62" s="2"/>
      <c r="R62" s="7">
        <f t="shared" si="21"/>
        <v>1.0116797558070533E-2</v>
      </c>
      <c r="S62" s="2"/>
      <c r="T62" s="6">
        <v>9075.3799999999992</v>
      </c>
      <c r="U62" s="2"/>
      <c r="V62" s="7">
        <f t="shared" si="22"/>
        <v>4.596906638800499E-3</v>
      </c>
      <c r="W62" s="2"/>
      <c r="X62" s="6">
        <f t="shared" si="23"/>
        <v>1872.0900000000001</v>
      </c>
      <c r="Y62" s="2"/>
      <c r="Z62" s="7">
        <f t="shared" si="24"/>
        <v>0.20628227137596444</v>
      </c>
    </row>
    <row r="63" spans="1:26" s="24" customFormat="1" hidden="1" outlineLevel="2" x14ac:dyDescent="0.25">
      <c r="A63" s="25"/>
      <c r="B63" s="11" t="str">
        <f>CONCATENATE("          ", "6112", " - ", "COMPENSATION INSURANCE")</f>
        <v xml:space="preserve">          6112 - COMPENSATION INSURANCE</v>
      </c>
      <c r="C63" s="11"/>
      <c r="D63" s="6">
        <v>144.18</v>
      </c>
      <c r="E63" s="2"/>
      <c r="F63" s="7">
        <f t="shared" si="17"/>
        <v>2.2378955276236845E-2</v>
      </c>
      <c r="G63" s="2"/>
      <c r="H63" s="6">
        <v>74.48</v>
      </c>
      <c r="I63" s="2"/>
      <c r="J63" s="7">
        <f t="shared" si="18"/>
        <v>5.6739922721566055E-3</v>
      </c>
      <c r="K63" s="2"/>
      <c r="L63" s="6">
        <f t="shared" si="19"/>
        <v>69.7</v>
      </c>
      <c r="M63" s="2"/>
      <c r="N63" s="7">
        <f t="shared" si="20"/>
        <v>0.9358216970998926</v>
      </c>
      <c r="O63" s="11"/>
      <c r="P63" s="6">
        <v>667.35</v>
      </c>
      <c r="Q63" s="2"/>
      <c r="R63" s="7">
        <f t="shared" si="21"/>
        <v>6.167127976033157E-4</v>
      </c>
      <c r="S63" s="2"/>
      <c r="T63" s="6">
        <v>268.06</v>
      </c>
      <c r="U63" s="2"/>
      <c r="V63" s="7">
        <f t="shared" si="22"/>
        <v>1.3577908512887196E-4</v>
      </c>
      <c r="W63" s="2"/>
      <c r="X63" s="6">
        <f t="shared" si="23"/>
        <v>399.29</v>
      </c>
      <c r="Y63" s="2"/>
      <c r="Z63" s="7">
        <f t="shared" si="24"/>
        <v>1.4895545773334329</v>
      </c>
    </row>
    <row r="64" spans="1:26" s="24" customFormat="1" hidden="1" outlineLevel="2" x14ac:dyDescent="0.25">
      <c r="A64" s="25"/>
      <c r="B64" s="11" t="str">
        <f>CONCATENATE("          ", "6113", " - ", "GROUP INSURANCE")</f>
        <v xml:space="preserve">          6113 - GROUP INSURANCE</v>
      </c>
      <c r="C64" s="11"/>
      <c r="D64" s="6">
        <v>4248.21</v>
      </c>
      <c r="E64" s="2"/>
      <c r="F64" s="7">
        <f t="shared" si="17"/>
        <v>0.65938758214774673</v>
      </c>
      <c r="G64" s="2"/>
      <c r="H64" s="6">
        <v>4168.57</v>
      </c>
      <c r="I64" s="2"/>
      <c r="J64" s="7">
        <f t="shared" si="18"/>
        <v>0.31756758815714098</v>
      </c>
      <c r="K64" s="2"/>
      <c r="L64" s="6">
        <f t="shared" si="19"/>
        <v>79.640000000000327</v>
      </c>
      <c r="M64" s="2"/>
      <c r="N64" s="7">
        <f t="shared" si="20"/>
        <v>1.9104872894062073E-2</v>
      </c>
      <c r="O64" s="11"/>
      <c r="P64" s="6">
        <v>21106.84</v>
      </c>
      <c r="Q64" s="2"/>
      <c r="R64" s="7">
        <f t="shared" si="21"/>
        <v>1.9505294590493095E-2</v>
      </c>
      <c r="S64" s="2"/>
      <c r="T64" s="6">
        <v>20842.849999999999</v>
      </c>
      <c r="U64" s="2"/>
      <c r="V64" s="7">
        <f t="shared" si="22"/>
        <v>1.0557424100866629E-2</v>
      </c>
      <c r="W64" s="2"/>
      <c r="X64" s="6">
        <f t="shared" si="23"/>
        <v>263.9900000000016</v>
      </c>
      <c r="Y64" s="2"/>
      <c r="Z64" s="7">
        <f t="shared" si="24"/>
        <v>1.2665734292575229E-2</v>
      </c>
    </row>
    <row r="65" spans="1:26" s="24" customFormat="1" hidden="1" outlineLevel="2" x14ac:dyDescent="0.25">
      <c r="A65" s="25"/>
      <c r="B65" s="11" t="str">
        <f>CONCATENATE("          ", "6114", " - ", "STATE UNEMPLOYMENT INSURANCE")</f>
        <v xml:space="preserve">          6114 - STATE UNEMPLOYMENT INSURANCE</v>
      </c>
      <c r="C65" s="11"/>
      <c r="D65" s="6">
        <v>113.59</v>
      </c>
      <c r="E65" s="2"/>
      <c r="F65" s="7">
        <f t="shared" si="17"/>
        <v>1.7630916422719817E-2</v>
      </c>
      <c r="G65" s="2"/>
      <c r="H65" s="6">
        <v>56.95</v>
      </c>
      <c r="I65" s="2"/>
      <c r="J65" s="7">
        <f t="shared" si="18"/>
        <v>4.3385319535354282E-3</v>
      </c>
      <c r="K65" s="2"/>
      <c r="L65" s="6">
        <f t="shared" si="19"/>
        <v>56.64</v>
      </c>
      <c r="M65" s="2"/>
      <c r="N65" s="7">
        <f t="shared" si="20"/>
        <v>0.99455662862159788</v>
      </c>
      <c r="O65" s="11"/>
      <c r="P65" s="6">
        <v>382.75</v>
      </c>
      <c r="Q65" s="2"/>
      <c r="R65" s="7">
        <f t="shared" si="21"/>
        <v>3.5370768454734256E-4</v>
      </c>
      <c r="S65" s="2"/>
      <c r="T65" s="6">
        <v>303.44</v>
      </c>
      <c r="U65" s="2"/>
      <c r="V65" s="7">
        <f t="shared" si="22"/>
        <v>1.5369993878797621E-4</v>
      </c>
      <c r="W65" s="2"/>
      <c r="X65" s="6">
        <f t="shared" si="23"/>
        <v>79.31</v>
      </c>
      <c r="Y65" s="2"/>
      <c r="Z65" s="7">
        <f t="shared" si="24"/>
        <v>0.26136962826258897</v>
      </c>
    </row>
    <row r="66" spans="1:26" s="24" customFormat="1" hidden="1" outlineLevel="2" x14ac:dyDescent="0.25">
      <c r="A66" s="25"/>
      <c r="B66" s="11" t="str">
        <f>CONCATENATE("          ", "6115", " - ", "P.E.R.S.")</f>
        <v xml:space="preserve">          6115 - P.E.R.S.</v>
      </c>
      <c r="C66" s="11"/>
      <c r="D66" s="6">
        <v>2042.1</v>
      </c>
      <c r="E66" s="2"/>
      <c r="F66" s="7">
        <f t="shared" si="17"/>
        <v>0.31696535282010857</v>
      </c>
      <c r="G66" s="2"/>
      <c r="H66" s="6">
        <v>1325.86</v>
      </c>
      <c r="I66" s="2"/>
      <c r="J66" s="7">
        <f t="shared" si="18"/>
        <v>0.10100589948927977</v>
      </c>
      <c r="K66" s="2"/>
      <c r="L66" s="6">
        <f t="shared" si="19"/>
        <v>716.24</v>
      </c>
      <c r="M66" s="2"/>
      <c r="N66" s="7">
        <f t="shared" si="20"/>
        <v>0.5402078650837947</v>
      </c>
      <c r="O66" s="11"/>
      <c r="P66" s="6">
        <v>8703.02</v>
      </c>
      <c r="Q66" s="2"/>
      <c r="R66" s="7">
        <f t="shared" si="21"/>
        <v>8.0426519993970318E-3</v>
      </c>
      <c r="S66" s="2"/>
      <c r="T66" s="6">
        <v>7106.54</v>
      </c>
      <c r="U66" s="2"/>
      <c r="V66" s="7">
        <f t="shared" si="22"/>
        <v>3.5996400045949922E-3</v>
      </c>
      <c r="W66" s="2"/>
      <c r="X66" s="6">
        <f t="shared" si="23"/>
        <v>1596.4800000000005</v>
      </c>
      <c r="Y66" s="2"/>
      <c r="Z66" s="7">
        <f t="shared" si="24"/>
        <v>0.22464940744722472</v>
      </c>
    </row>
    <row r="67" spans="1:26" s="24" customFormat="1" hidden="1" outlineLevel="2" x14ac:dyDescent="0.25">
      <c r="A67" s="25"/>
      <c r="B67" s="11" t="str">
        <f>CONCATENATE("          ", "6117", " - ", "RETIREMENT STAFF HOURLY")</f>
        <v xml:space="preserve">          6117 - RETIREMENT STAFF HOURLY</v>
      </c>
      <c r="C67" s="11"/>
      <c r="D67" s="6">
        <v>232.91</v>
      </c>
      <c r="E67" s="2"/>
      <c r="F67" s="7">
        <f t="shared" si="17"/>
        <v>3.6151217043891827E-2</v>
      </c>
      <c r="G67" s="2"/>
      <c r="H67" s="6">
        <v>93.57</v>
      </c>
      <c r="I67" s="2"/>
      <c r="J67" s="7">
        <f t="shared" si="18"/>
        <v>7.1282956082934154E-3</v>
      </c>
      <c r="K67" s="2"/>
      <c r="L67" s="6">
        <f t="shared" si="19"/>
        <v>139.34</v>
      </c>
      <c r="M67" s="2"/>
      <c r="N67" s="7">
        <f t="shared" si="20"/>
        <v>1.4891525061451321</v>
      </c>
      <c r="O67" s="11"/>
      <c r="P67" s="6">
        <v>1293.6500000000001</v>
      </c>
      <c r="Q67" s="2"/>
      <c r="R67" s="7">
        <f t="shared" si="21"/>
        <v>1.1954903882813058E-3</v>
      </c>
      <c r="S67" s="2"/>
      <c r="T67" s="6">
        <v>646.20000000000005</v>
      </c>
      <c r="U67" s="2"/>
      <c r="V67" s="7">
        <f t="shared" si="22"/>
        <v>3.273164396414126E-4</v>
      </c>
      <c r="W67" s="2"/>
      <c r="X67" s="6">
        <f t="shared" si="23"/>
        <v>647.45000000000005</v>
      </c>
      <c r="Y67" s="2"/>
      <c r="Z67" s="7">
        <f t="shared" si="24"/>
        <v>1.001934385639121</v>
      </c>
    </row>
    <row r="68" spans="1:26" s="24" customFormat="1" hidden="1" outlineLevel="2" x14ac:dyDescent="0.25">
      <c r="A68" s="25"/>
      <c r="B68" s="11" t="str">
        <f>CONCATENATE("          ", "6118", " - ", "VACATION")</f>
        <v xml:space="preserve">          6118 - VACATION</v>
      </c>
      <c r="C68" s="11"/>
      <c r="D68" s="6">
        <v>1278.1500000000001</v>
      </c>
      <c r="E68" s="2"/>
      <c r="F68" s="7">
        <f t="shared" si="17"/>
        <v>0.19838855379610296</v>
      </c>
      <c r="G68" s="2"/>
      <c r="H68" s="6">
        <v>204.7</v>
      </c>
      <c r="I68" s="2"/>
      <c r="J68" s="7">
        <f t="shared" si="18"/>
        <v>1.5594336977852539E-2</v>
      </c>
      <c r="K68" s="2"/>
      <c r="L68" s="6">
        <f t="shared" si="19"/>
        <v>1073.45</v>
      </c>
      <c r="M68" s="2"/>
      <c r="N68" s="7">
        <f t="shared" si="20"/>
        <v>5.244015632633122</v>
      </c>
      <c r="O68" s="11"/>
      <c r="P68" s="6">
        <v>6162.85</v>
      </c>
      <c r="Q68" s="2"/>
      <c r="R68" s="7">
        <f t="shared" si="21"/>
        <v>5.6952250913457616E-3</v>
      </c>
      <c r="S68" s="2"/>
      <c r="T68" s="6">
        <v>4841.92</v>
      </c>
      <c r="U68" s="2"/>
      <c r="V68" s="7">
        <f t="shared" si="22"/>
        <v>2.4525534129194496E-3</v>
      </c>
      <c r="W68" s="2"/>
      <c r="X68" s="6">
        <f t="shared" si="23"/>
        <v>1320.9300000000003</v>
      </c>
      <c r="Y68" s="2"/>
      <c r="Z68" s="7">
        <f t="shared" si="24"/>
        <v>0.27281119886326088</v>
      </c>
    </row>
    <row r="69" spans="1:26" s="24" customFormat="1" hidden="1" outlineLevel="2" x14ac:dyDescent="0.25">
      <c r="A69" s="25"/>
      <c r="B69" s="11" t="str">
        <f>CONCATENATE("          ", "6119", " - ", "SICK LEAVE")</f>
        <v xml:space="preserve">          6119 - SICK LEAVE</v>
      </c>
      <c r="C69" s="11"/>
      <c r="D69" s="6">
        <v>1046.08</v>
      </c>
      <c r="E69" s="2"/>
      <c r="F69" s="7">
        <f t="shared" si="17"/>
        <v>0.16236771768182715</v>
      </c>
      <c r="G69" s="2"/>
      <c r="H69" s="6">
        <v>801.74</v>
      </c>
      <c r="I69" s="2"/>
      <c r="J69" s="7">
        <f t="shared" si="18"/>
        <v>6.1077692860886643E-2</v>
      </c>
      <c r="K69" s="2"/>
      <c r="L69" s="6">
        <f t="shared" si="19"/>
        <v>244.33999999999992</v>
      </c>
      <c r="M69" s="2"/>
      <c r="N69" s="7">
        <f t="shared" si="20"/>
        <v>0.30476214234040949</v>
      </c>
      <c r="O69" s="11"/>
      <c r="P69" s="6">
        <v>5296.78</v>
      </c>
      <c r="Q69" s="2"/>
      <c r="R69" s="7">
        <f t="shared" si="21"/>
        <v>4.8948707755889567E-3</v>
      </c>
      <c r="S69" s="2"/>
      <c r="T69" s="6">
        <v>5318.37</v>
      </c>
      <c r="U69" s="2"/>
      <c r="V69" s="7">
        <f t="shared" si="22"/>
        <v>2.6938872378454029E-3</v>
      </c>
      <c r="W69" s="2"/>
      <c r="X69" s="6">
        <f t="shared" si="23"/>
        <v>-21.590000000000146</v>
      </c>
      <c r="Y69" s="2"/>
      <c r="Z69" s="7">
        <f t="shared" si="24"/>
        <v>-4.0595144752997902E-3</v>
      </c>
    </row>
    <row r="70" spans="1:26" s="24" customFormat="1" hidden="1" outlineLevel="2" x14ac:dyDescent="0.25">
      <c r="A70" s="25"/>
      <c r="B70" s="11" t="str">
        <f>CONCATENATE("          ", "6156", " - ", "EMPLOYEE MEALS")</f>
        <v xml:space="preserve">          6156 - EMPLOYEE MEALS</v>
      </c>
      <c r="C70" s="11"/>
      <c r="D70" s="6">
        <v>595.08000000000004</v>
      </c>
      <c r="E70" s="2"/>
      <c r="F70" s="7">
        <f t="shared" si="17"/>
        <v>9.2365575709411993E-2</v>
      </c>
      <c r="G70" s="2"/>
      <c r="H70" s="6">
        <v>566.07000000000005</v>
      </c>
      <c r="I70" s="2"/>
      <c r="J70" s="7">
        <f t="shared" si="18"/>
        <v>4.3124017259662861E-2</v>
      </c>
      <c r="K70" s="2"/>
      <c r="L70" s="6">
        <f t="shared" si="19"/>
        <v>29.009999999999991</v>
      </c>
      <c r="M70" s="2"/>
      <c r="N70" s="7">
        <f t="shared" si="20"/>
        <v>5.124807885950499E-2</v>
      </c>
      <c r="O70" s="11"/>
      <c r="P70" s="6">
        <v>2477.13</v>
      </c>
      <c r="Q70" s="2"/>
      <c r="R70" s="7">
        <f t="shared" si="21"/>
        <v>2.2891702589752025E-3</v>
      </c>
      <c r="S70" s="2"/>
      <c r="T70" s="6">
        <v>2944.8</v>
      </c>
      <c r="U70" s="2"/>
      <c r="V70" s="7">
        <f t="shared" si="22"/>
        <v>1.4916147500093342E-3</v>
      </c>
      <c r="W70" s="2"/>
      <c r="X70" s="6">
        <f t="shared" si="23"/>
        <v>-467.67000000000007</v>
      </c>
      <c r="Y70" s="2"/>
      <c r="Z70" s="7">
        <f t="shared" si="24"/>
        <v>-0.15881214343928282</v>
      </c>
    </row>
    <row r="71" spans="1:26" s="26" customFormat="1" outlineLevel="1" collapsed="1" x14ac:dyDescent="0.25">
      <c r="A71" s="27"/>
      <c r="B71" s="13" t="str">
        <f>CONCATENATE("     ","*Payroll                                          ")</f>
        <v xml:space="preserve">     *Payroll                                          </v>
      </c>
      <c r="C71" s="13"/>
      <c r="D71" s="1">
        <f>SUM(OSRRefD22_1x_0)</f>
        <v>20893.93</v>
      </c>
      <c r="E71" s="1"/>
      <c r="F71" s="5">
        <f t="shared" ref="F71:F77" si="25">IF(D$12=0,0,D71/D$12)</f>
        <v>3.2430595437288341</v>
      </c>
      <c r="G71" s="1"/>
      <c r="H71" s="1">
        <f>SUM(OSRRefH22_1x_0)</f>
        <v>22494.690000000002</v>
      </c>
      <c r="I71" s="1"/>
      <c r="J71" s="5">
        <f t="shared" ref="J71:J77" si="26">IF(H$12=0,0,H71/H$12)</f>
        <v>1.713677460050463</v>
      </c>
      <c r="K71" s="1"/>
      <c r="L71" s="1">
        <f t="shared" ref="L71:L77" si="27">+D71-H71</f>
        <v>-1600.760000000002</v>
      </c>
      <c r="M71" s="1"/>
      <c r="N71" s="5">
        <f t="shared" ref="N71:N77" si="28">IF(H71=0,0,L71/H71)</f>
        <v>-7.1161683046087845E-2</v>
      </c>
      <c r="O71" s="13"/>
      <c r="P71" s="1">
        <f>SUM(OSRRefP22_1x_0)</f>
        <v>137338.75999999998</v>
      </c>
      <c r="Q71" s="1"/>
      <c r="R71" s="5">
        <f t="shared" ref="R71:R77" si="29">IF(P$12=0,0,P71/P$12)</f>
        <v>0.12691776563867585</v>
      </c>
      <c r="S71" s="1"/>
      <c r="T71" s="1">
        <f>SUM(OSRRefT22_1x_0)</f>
        <v>118955.95999999999</v>
      </c>
      <c r="U71" s="1"/>
      <c r="V71" s="5">
        <f t="shared" ref="V71:V77" si="30">IF(T$12=0,0,T71/T$12)</f>
        <v>6.0254164811708887E-2</v>
      </c>
      <c r="W71" s="1"/>
      <c r="X71" s="1">
        <f t="shared" ref="X71:X77" si="31">+P71-T71</f>
        <v>18382.799999999988</v>
      </c>
      <c r="Y71" s="1"/>
      <c r="Z71" s="5">
        <f t="shared" ref="Z71:Z77" si="32">IF(T71=0,0,X71/T71)</f>
        <v>0.15453450167608238</v>
      </c>
    </row>
    <row r="72" spans="1:26" s="24" customFormat="1" hidden="1" outlineLevel="2" x14ac:dyDescent="0.25">
      <c r="A72" s="25"/>
      <c r="B72" s="11" t="str">
        <f>CONCATENATE("          ", "6001", " - ", "ADMINISTRATIVE SALARIES")</f>
        <v xml:space="preserve">          6001 - ADMINISTRATIVE SALARIES</v>
      </c>
      <c r="C72" s="11"/>
      <c r="D72" s="6"/>
      <c r="E72" s="2"/>
      <c r="F72" s="7">
        <f t="shared" si="25"/>
        <v>0</v>
      </c>
      <c r="G72" s="2"/>
      <c r="H72" s="6"/>
      <c r="I72" s="2"/>
      <c r="J72" s="7">
        <f t="shared" si="26"/>
        <v>0</v>
      </c>
      <c r="K72" s="2"/>
      <c r="L72" s="6">
        <f t="shared" si="27"/>
        <v>0</v>
      </c>
      <c r="M72" s="2"/>
      <c r="N72" s="7">
        <f t="shared" si="28"/>
        <v>0</v>
      </c>
      <c r="O72" s="11"/>
      <c r="P72" s="6">
        <v>-311.32</v>
      </c>
      <c r="Q72" s="2"/>
      <c r="R72" s="7">
        <f t="shared" si="29"/>
        <v>-2.8769765213136172E-4</v>
      </c>
      <c r="S72" s="2"/>
      <c r="T72" s="6"/>
      <c r="U72" s="2"/>
      <c r="V72" s="7">
        <f t="shared" si="30"/>
        <v>0</v>
      </c>
      <c r="W72" s="2"/>
      <c r="X72" s="6">
        <f t="shared" si="31"/>
        <v>-311.32</v>
      </c>
      <c r="Y72" s="2"/>
      <c r="Z72" s="7">
        <f t="shared" si="32"/>
        <v>0</v>
      </c>
    </row>
    <row r="73" spans="1:26" s="24" customFormat="1" hidden="1" outlineLevel="2" x14ac:dyDescent="0.25">
      <c r="A73" s="25"/>
      <c r="B73" s="11" t="str">
        <f>CONCATENATE("          ", "6002", " - ", "STAFF SALARIES")</f>
        <v xml:space="preserve">          6002 - STAFF SALARIES</v>
      </c>
      <c r="C73" s="11"/>
      <c r="D73" s="6">
        <v>14271.35</v>
      </c>
      <c r="E73" s="2"/>
      <c r="F73" s="7">
        <f t="shared" si="25"/>
        <v>2.2151331903282196</v>
      </c>
      <c r="G73" s="2"/>
      <c r="H73" s="6">
        <v>13756.3</v>
      </c>
      <c r="I73" s="2"/>
      <c r="J73" s="7">
        <f t="shared" si="26"/>
        <v>1.0479744883655735</v>
      </c>
      <c r="K73" s="2"/>
      <c r="L73" s="6">
        <f t="shared" si="27"/>
        <v>515.05000000000109</v>
      </c>
      <c r="M73" s="2"/>
      <c r="N73" s="7">
        <f t="shared" si="28"/>
        <v>3.7441027020347122E-2</v>
      </c>
      <c r="O73" s="11"/>
      <c r="P73" s="6">
        <v>78415.5</v>
      </c>
      <c r="Q73" s="2"/>
      <c r="R73" s="7">
        <f t="shared" si="29"/>
        <v>7.2465486447085933E-2</v>
      </c>
      <c r="S73" s="2"/>
      <c r="T73" s="6">
        <v>74645.83</v>
      </c>
      <c r="U73" s="2"/>
      <c r="V73" s="7">
        <f t="shared" si="30"/>
        <v>3.7809977266601895E-2</v>
      </c>
      <c r="W73" s="2"/>
      <c r="X73" s="6">
        <f t="shared" si="31"/>
        <v>3769.6699999999983</v>
      </c>
      <c r="Y73" s="2"/>
      <c r="Z73" s="7">
        <f t="shared" si="32"/>
        <v>5.0500744649768087E-2</v>
      </c>
    </row>
    <row r="74" spans="1:26" s="24" customFormat="1" hidden="1" outlineLevel="2" x14ac:dyDescent="0.25">
      <c r="A74" s="25"/>
      <c r="B74" s="11" t="str">
        <f>CONCATENATE("          ", "6004", " - ", "STAFF HOURLY")</f>
        <v xml:space="preserve">          6004 - STAFF HOURLY</v>
      </c>
      <c r="C74" s="11"/>
      <c r="D74" s="6">
        <v>5370.49</v>
      </c>
      <c r="E74" s="2"/>
      <c r="F74" s="7">
        <f t="shared" si="25"/>
        <v>0.83358271273045637</v>
      </c>
      <c r="G74" s="2"/>
      <c r="H74" s="6">
        <v>3123.86</v>
      </c>
      <c r="I74" s="2"/>
      <c r="J74" s="7">
        <f t="shared" si="26"/>
        <v>0.23798009531819461</v>
      </c>
      <c r="K74" s="2"/>
      <c r="L74" s="6">
        <f t="shared" si="27"/>
        <v>2246.6299999999997</v>
      </c>
      <c r="M74" s="2"/>
      <c r="N74" s="7">
        <f t="shared" si="28"/>
        <v>0.71918395830799065</v>
      </c>
      <c r="O74" s="11"/>
      <c r="P74" s="6">
        <v>32682.01</v>
      </c>
      <c r="Q74" s="2"/>
      <c r="R74" s="7">
        <f t="shared" si="29"/>
        <v>3.0202163510001555E-2</v>
      </c>
      <c r="S74" s="2"/>
      <c r="T74" s="6">
        <v>15313.030000000002</v>
      </c>
      <c r="U74" s="2"/>
      <c r="V74" s="7">
        <f t="shared" si="30"/>
        <v>7.7564321567968747E-3</v>
      </c>
      <c r="W74" s="2"/>
      <c r="X74" s="6">
        <f t="shared" si="31"/>
        <v>17368.979999999996</v>
      </c>
      <c r="Y74" s="2"/>
      <c r="Z74" s="7">
        <f t="shared" si="32"/>
        <v>1.1342614753579137</v>
      </c>
    </row>
    <row r="75" spans="1:26" s="24" customFormat="1" hidden="1" outlineLevel="2" x14ac:dyDescent="0.25">
      <c r="A75" s="25"/>
      <c r="B75" s="11" t="str">
        <f>CONCATENATE("          ", "6005", " - ", "TEMPORARY WAGES-HOURLY")</f>
        <v xml:space="preserve">          6005 - TEMPORARY WAGES-HOURLY</v>
      </c>
      <c r="C75" s="11"/>
      <c r="D75" s="6"/>
      <c r="E75" s="2"/>
      <c r="F75" s="7">
        <f t="shared" si="25"/>
        <v>0</v>
      </c>
      <c r="G75" s="2"/>
      <c r="H75" s="6">
        <v>2577.02</v>
      </c>
      <c r="I75" s="2"/>
      <c r="J75" s="7">
        <f t="shared" si="26"/>
        <v>0.19632104679367637</v>
      </c>
      <c r="K75" s="2"/>
      <c r="L75" s="6">
        <f t="shared" si="27"/>
        <v>-2577.02</v>
      </c>
      <c r="M75" s="2"/>
      <c r="N75" s="7">
        <f t="shared" si="28"/>
        <v>-1</v>
      </c>
      <c r="O75" s="11"/>
      <c r="P75" s="6">
        <v>12838</v>
      </c>
      <c r="Q75" s="2"/>
      <c r="R75" s="7">
        <f t="shared" si="29"/>
        <v>1.1863877868631703E-2</v>
      </c>
      <c r="S75" s="2"/>
      <c r="T75" s="6">
        <v>10271.120000000001</v>
      </c>
      <c r="U75" s="2"/>
      <c r="V75" s="7">
        <f t="shared" si="30"/>
        <v>5.2025788138806957E-3</v>
      </c>
      <c r="W75" s="2"/>
      <c r="X75" s="6">
        <f t="shared" si="31"/>
        <v>2566.8799999999992</v>
      </c>
      <c r="Y75" s="2"/>
      <c r="Z75" s="7">
        <f t="shared" si="32"/>
        <v>0.24991237567081281</v>
      </c>
    </row>
    <row r="76" spans="1:26" s="24" customFormat="1" hidden="1" outlineLevel="2" x14ac:dyDescent="0.25">
      <c r="A76" s="25"/>
      <c r="B76" s="11" t="str">
        <f>CONCATENATE("          ", "6006", " - ", "TEMPORARY PART TIME")</f>
        <v xml:space="preserve">          6006 - TEMPORARY PART TIME</v>
      </c>
      <c r="C76" s="11"/>
      <c r="D76" s="6"/>
      <c r="E76" s="2"/>
      <c r="F76" s="7">
        <f t="shared" si="25"/>
        <v>0</v>
      </c>
      <c r="G76" s="2"/>
      <c r="H76" s="6"/>
      <c r="I76" s="2"/>
      <c r="J76" s="7">
        <f t="shared" si="26"/>
        <v>0</v>
      </c>
      <c r="K76" s="2"/>
      <c r="L76" s="6">
        <f t="shared" si="27"/>
        <v>0</v>
      </c>
      <c r="M76" s="2"/>
      <c r="N76" s="7">
        <f t="shared" si="28"/>
        <v>0</v>
      </c>
      <c r="O76" s="11"/>
      <c r="P76" s="6">
        <v>502.29</v>
      </c>
      <c r="Q76" s="2"/>
      <c r="R76" s="7">
        <f t="shared" si="29"/>
        <v>4.6417722500662235E-4</v>
      </c>
      <c r="S76" s="2"/>
      <c r="T76" s="6"/>
      <c r="U76" s="2"/>
      <c r="V76" s="7">
        <f t="shared" si="30"/>
        <v>0</v>
      </c>
      <c r="W76" s="2"/>
      <c r="X76" s="6">
        <f t="shared" si="31"/>
        <v>502.29</v>
      </c>
      <c r="Y76" s="2"/>
      <c r="Z76" s="7">
        <f t="shared" si="32"/>
        <v>0</v>
      </c>
    </row>
    <row r="77" spans="1:26" s="24" customFormat="1" hidden="1" outlineLevel="2" x14ac:dyDescent="0.25">
      <c r="A77" s="25"/>
      <c r="B77" s="11" t="str">
        <f>CONCATENATE("          ", "6007", " - ", "STUDENT HOURLY")</f>
        <v xml:space="preserve">          6007 - STUDENT HOURLY</v>
      </c>
      <c r="C77" s="11"/>
      <c r="D77" s="6">
        <v>1252.0899999999999</v>
      </c>
      <c r="E77" s="2"/>
      <c r="F77" s="7">
        <f t="shared" si="25"/>
        <v>0.19434364067015805</v>
      </c>
      <c r="G77" s="2"/>
      <c r="H77" s="6">
        <v>3037.51</v>
      </c>
      <c r="I77" s="2"/>
      <c r="J77" s="7">
        <f t="shared" si="26"/>
        <v>0.23140182957301841</v>
      </c>
      <c r="K77" s="2"/>
      <c r="L77" s="6">
        <f t="shared" si="27"/>
        <v>-1785.4200000000003</v>
      </c>
      <c r="M77" s="2"/>
      <c r="N77" s="7">
        <f t="shared" si="28"/>
        <v>-0.58779065747931702</v>
      </c>
      <c r="O77" s="11"/>
      <c r="P77" s="6">
        <v>13212.28</v>
      </c>
      <c r="Q77" s="2"/>
      <c r="R77" s="7">
        <f t="shared" si="29"/>
        <v>1.2209758240081421E-2</v>
      </c>
      <c r="S77" s="2"/>
      <c r="T77" s="6">
        <v>18725.98</v>
      </c>
      <c r="U77" s="2"/>
      <c r="V77" s="7">
        <f t="shared" si="30"/>
        <v>9.4851765744294308E-3</v>
      </c>
      <c r="W77" s="2"/>
      <c r="X77" s="6">
        <f t="shared" si="31"/>
        <v>-5513.6999999999989</v>
      </c>
      <c r="Y77" s="2"/>
      <c r="Z77" s="7">
        <f t="shared" si="32"/>
        <v>-0.29444119880508252</v>
      </c>
    </row>
    <row r="78" spans="1:26" s="26" customFormat="1" outlineLevel="1" collapsed="1" x14ac:dyDescent="0.25">
      <c r="A78" s="27"/>
      <c r="B78" s="13" t="str">
        <f>CONCATENATE("     ","Advertising/Promo                                 ")</f>
        <v xml:space="preserve">     Advertising/Promo                                 </v>
      </c>
      <c r="C78" s="13"/>
      <c r="D78" s="1">
        <f>SUM(OSRRefD22_2x_0)</f>
        <v>0</v>
      </c>
      <c r="E78" s="1"/>
      <c r="F78" s="5">
        <f t="shared" ref="F78:F82" si="33">IF(D$12=0,0,D78/D$12)</f>
        <v>0</v>
      </c>
      <c r="G78" s="1"/>
      <c r="H78" s="1">
        <f>SUM(OSRRefH22_2x_0)</f>
        <v>72.069999999999993</v>
      </c>
      <c r="I78" s="1"/>
      <c r="J78" s="5">
        <f t="shared" ref="J78:J82" si="34">IF(H$12=0,0,H78/H$12)</f>
        <v>5.4903950463792497E-3</v>
      </c>
      <c r="K78" s="1"/>
      <c r="L78" s="1">
        <f t="shared" ref="L78:L82" si="35">+D78-H78</f>
        <v>-72.069999999999993</v>
      </c>
      <c r="M78" s="1"/>
      <c r="N78" s="5">
        <f t="shared" ref="N78:N82" si="36">IF(H78=0,0,L78/H78)</f>
        <v>-1</v>
      </c>
      <c r="O78" s="13"/>
      <c r="P78" s="1">
        <f>SUM(OSRRefP22_2x_0)</f>
        <v>1359.88</v>
      </c>
      <c r="Q78" s="1"/>
      <c r="R78" s="5">
        <f t="shared" ref="R78:R82" si="37">IF(P$12=0,0,P78/P$12)</f>
        <v>1.2566949864460883E-3</v>
      </c>
      <c r="S78" s="1"/>
      <c r="T78" s="1">
        <f>SUM(OSRRefT22_2x_0)</f>
        <v>3208.09</v>
      </c>
      <c r="U78" s="1"/>
      <c r="V78" s="5">
        <f t="shared" ref="V78:V82" si="38">IF(T$12=0,0,T78/T$12)</f>
        <v>1.6249777110015774E-3</v>
      </c>
      <c r="W78" s="1"/>
      <c r="X78" s="1">
        <f t="shared" ref="X78:X82" si="39">+P78-T78</f>
        <v>-1848.21</v>
      </c>
      <c r="Y78" s="1"/>
      <c r="Z78" s="5">
        <f t="shared" ref="Z78:Z82" si="40">IF(T78=0,0,X78/T78)</f>
        <v>-0.57610914905753885</v>
      </c>
    </row>
    <row r="79" spans="1:26" s="24" customFormat="1" hidden="1" outlineLevel="2" x14ac:dyDescent="0.25">
      <c r="A79" s="25"/>
      <c r="B79" s="11" t="str">
        <f>CONCATENATE("          ", "6362", " - ", "ADVERTISING EXPENSE")</f>
        <v xml:space="preserve">          6362 - ADVERTISING EXPENSE</v>
      </c>
      <c r="C79" s="11"/>
      <c r="D79" s="6"/>
      <c r="E79" s="2"/>
      <c r="F79" s="7">
        <f t="shared" si="33"/>
        <v>0</v>
      </c>
      <c r="G79" s="2"/>
      <c r="H79" s="6">
        <v>72.069999999999993</v>
      </c>
      <c r="I79" s="2"/>
      <c r="J79" s="7">
        <f t="shared" si="34"/>
        <v>5.4903950463792497E-3</v>
      </c>
      <c r="K79" s="2"/>
      <c r="L79" s="6">
        <f t="shared" si="35"/>
        <v>-72.069999999999993</v>
      </c>
      <c r="M79" s="2"/>
      <c r="N79" s="7">
        <f t="shared" si="36"/>
        <v>-1</v>
      </c>
      <c r="O79" s="11"/>
      <c r="P79" s="6">
        <v>1359.88</v>
      </c>
      <c r="Q79" s="2"/>
      <c r="R79" s="7">
        <f t="shared" si="37"/>
        <v>1.2566949864460883E-3</v>
      </c>
      <c r="S79" s="2"/>
      <c r="T79" s="6">
        <v>3208.09</v>
      </c>
      <c r="U79" s="2"/>
      <c r="V79" s="7">
        <f t="shared" si="38"/>
        <v>1.6249777110015774E-3</v>
      </c>
      <c r="W79" s="2"/>
      <c r="X79" s="6">
        <f t="shared" si="39"/>
        <v>-1848.21</v>
      </c>
      <c r="Y79" s="2"/>
      <c r="Z79" s="7">
        <f t="shared" si="40"/>
        <v>-0.57610914905753885</v>
      </c>
    </row>
    <row r="80" spans="1:26" s="26" customFormat="1" outlineLevel="1" collapsed="1" x14ac:dyDescent="0.25">
      <c r="A80" s="27"/>
      <c r="B80" s="13" t="str">
        <f>CONCATENATE("     ","Discounts and Markdowns                           ")</f>
        <v xml:space="preserve">     Discounts and Markdowns                           </v>
      </c>
      <c r="C80" s="13"/>
      <c r="D80" s="1">
        <f>SUM(OSRRefD22_3x_0)</f>
        <v>0</v>
      </c>
      <c r="E80" s="1"/>
      <c r="F80" s="5">
        <f t="shared" si="33"/>
        <v>0</v>
      </c>
      <c r="G80" s="1"/>
      <c r="H80" s="1">
        <f>SUM(OSRRefH22_3x_0)</f>
        <v>242.82</v>
      </c>
      <c r="I80" s="1"/>
      <c r="J80" s="5">
        <f t="shared" si="34"/>
        <v>1.8498372764837095E-2</v>
      </c>
      <c r="K80" s="1"/>
      <c r="L80" s="1">
        <f t="shared" si="35"/>
        <v>-242.82</v>
      </c>
      <c r="M80" s="1"/>
      <c r="N80" s="5">
        <f t="shared" si="36"/>
        <v>-1</v>
      </c>
      <c r="O80" s="13"/>
      <c r="P80" s="1">
        <f>SUM(OSRRefP22_3x_0)</f>
        <v>0</v>
      </c>
      <c r="Q80" s="1"/>
      <c r="R80" s="5">
        <f t="shared" si="37"/>
        <v>0</v>
      </c>
      <c r="S80" s="1"/>
      <c r="T80" s="1">
        <f>SUM(OSRRefT22_3x_0)</f>
        <v>-2513.23</v>
      </c>
      <c r="U80" s="1"/>
      <c r="V80" s="5">
        <f t="shared" si="38"/>
        <v>-1.2730137660166934E-3</v>
      </c>
      <c r="W80" s="1"/>
      <c r="X80" s="1">
        <f t="shared" si="39"/>
        <v>2513.23</v>
      </c>
      <c r="Y80" s="1"/>
      <c r="Z80" s="5">
        <f t="shared" si="40"/>
        <v>-1</v>
      </c>
    </row>
    <row r="81" spans="1:26" s="24" customFormat="1" hidden="1" outlineLevel="2" x14ac:dyDescent="0.25">
      <c r="A81" s="25"/>
      <c r="B81" s="11" t="str">
        <f>CONCATENATE("          ", "6382", " - ", "DISCOUNTS/MARK DOWNS")</f>
        <v xml:space="preserve">          6382 - DISCOUNTS/MARK DOWNS</v>
      </c>
      <c r="C81" s="11"/>
      <c r="D81" s="6"/>
      <c r="E81" s="2"/>
      <c r="F81" s="7">
        <f t="shared" si="33"/>
        <v>0</v>
      </c>
      <c r="G81" s="2"/>
      <c r="H81" s="6">
        <v>242.82</v>
      </c>
      <c r="I81" s="2"/>
      <c r="J81" s="7">
        <f t="shared" si="34"/>
        <v>1.8498372764837095E-2</v>
      </c>
      <c r="K81" s="2"/>
      <c r="L81" s="6">
        <f t="shared" si="35"/>
        <v>-242.82</v>
      </c>
      <c r="M81" s="2"/>
      <c r="N81" s="7">
        <f t="shared" si="36"/>
        <v>-1</v>
      </c>
      <c r="O81" s="11"/>
      <c r="P81" s="6"/>
      <c r="Q81" s="2"/>
      <c r="R81" s="7">
        <f t="shared" si="37"/>
        <v>0</v>
      </c>
      <c r="S81" s="2"/>
      <c r="T81" s="6">
        <v>-2079.6</v>
      </c>
      <c r="U81" s="2"/>
      <c r="V81" s="7">
        <f t="shared" si="38"/>
        <v>-1.0533693405730138E-3</v>
      </c>
      <c r="W81" s="2"/>
      <c r="X81" s="6">
        <f t="shared" si="39"/>
        <v>2079.6</v>
      </c>
      <c r="Y81" s="2"/>
      <c r="Z81" s="7">
        <f t="shared" si="40"/>
        <v>-1</v>
      </c>
    </row>
    <row r="82" spans="1:26" s="24" customFormat="1" hidden="1" outlineLevel="2" x14ac:dyDescent="0.25">
      <c r="A82" s="25"/>
      <c r="B82" s="11" t="str">
        <f>CONCATENATE("          ", "9175", " - ", "EARNED DISCOUNTS")</f>
        <v xml:space="preserve">          9175 - EARNED DISCOUNTS</v>
      </c>
      <c r="C82" s="11"/>
      <c r="D82" s="6"/>
      <c r="E82" s="2"/>
      <c r="F82" s="7">
        <f t="shared" si="33"/>
        <v>0</v>
      </c>
      <c r="G82" s="2"/>
      <c r="H82" s="6"/>
      <c r="I82" s="2"/>
      <c r="J82" s="7">
        <f t="shared" si="34"/>
        <v>0</v>
      </c>
      <c r="K82" s="2"/>
      <c r="L82" s="6">
        <f t="shared" si="35"/>
        <v>0</v>
      </c>
      <c r="M82" s="2"/>
      <c r="N82" s="7">
        <f t="shared" si="36"/>
        <v>0</v>
      </c>
      <c r="O82" s="11"/>
      <c r="P82" s="6"/>
      <c r="Q82" s="2"/>
      <c r="R82" s="7">
        <f t="shared" si="37"/>
        <v>0</v>
      </c>
      <c r="S82" s="2"/>
      <c r="T82" s="6">
        <v>-433.63</v>
      </c>
      <c r="U82" s="2"/>
      <c r="V82" s="7">
        <f t="shared" si="38"/>
        <v>-2.1964442544367957E-4</v>
      </c>
      <c r="W82" s="2"/>
      <c r="X82" s="6">
        <f t="shared" si="39"/>
        <v>433.63</v>
      </c>
      <c r="Y82" s="2"/>
      <c r="Z82" s="7">
        <f t="shared" si="40"/>
        <v>-1</v>
      </c>
    </row>
    <row r="83" spans="1:26" s="26" customFormat="1" outlineLevel="1" collapsed="1" x14ac:dyDescent="0.25">
      <c r="A83" s="27"/>
      <c r="B83" s="13" t="str">
        <f>CONCATENATE("     ","Employees' Appreciation                           ")</f>
        <v xml:space="preserve">     Employees' Appreciation                           </v>
      </c>
      <c r="C83" s="13"/>
      <c r="D83" s="1">
        <f>SUM(OSRRefD22_4x_0)</f>
        <v>0</v>
      </c>
      <c r="E83" s="1"/>
      <c r="F83" s="5">
        <f t="shared" ref="F83:F89" si="41">IF(D$12=0,0,D83/D$12)</f>
        <v>0</v>
      </c>
      <c r="G83" s="1"/>
      <c r="H83" s="1">
        <f>SUM(OSRRefH22_4x_0)</f>
        <v>37.880000000000003</v>
      </c>
      <c r="I83" s="1"/>
      <c r="J83" s="5">
        <f t="shared" ref="J83:J89" si="42">IF(H$12=0,0,H83/H$12)</f>
        <v>2.8857522458283062E-3</v>
      </c>
      <c r="K83" s="1"/>
      <c r="L83" s="1">
        <f t="shared" ref="L83:L89" si="43">+D83-H83</f>
        <v>-37.880000000000003</v>
      </c>
      <c r="M83" s="1"/>
      <c r="N83" s="5">
        <f t="shared" ref="N83:N89" si="44">IF(H83=0,0,L83/H83)</f>
        <v>-1</v>
      </c>
      <c r="O83" s="13"/>
      <c r="P83" s="1">
        <f>SUM(OSRRefP22_4x_0)</f>
        <v>107.7</v>
      </c>
      <c r="Q83" s="1"/>
      <c r="R83" s="5">
        <f t="shared" ref="R83:R89" si="45">IF(P$12=0,0,P83/P$12)</f>
        <v>9.9527936318089615E-5</v>
      </c>
      <c r="S83" s="1"/>
      <c r="T83" s="1">
        <f>SUM(OSRRefT22_4x_0)</f>
        <v>37.880000000000003</v>
      </c>
      <c r="U83" s="1"/>
      <c r="V83" s="5">
        <f t="shared" ref="V83:V89" si="46">IF(T$12=0,0,T83/T$12)</f>
        <v>1.9187166099685405E-5</v>
      </c>
      <c r="W83" s="1"/>
      <c r="X83" s="1">
        <f t="shared" ref="X83:X89" si="47">+P83-T83</f>
        <v>69.819999999999993</v>
      </c>
      <c r="Y83" s="1"/>
      <c r="Z83" s="5">
        <f t="shared" ref="Z83:Z89" si="48">IF(T83=0,0,X83/T83)</f>
        <v>1.8431890179514252</v>
      </c>
    </row>
    <row r="84" spans="1:26" s="24" customFormat="1" hidden="1" outlineLevel="2" x14ac:dyDescent="0.25">
      <c r="A84" s="25"/>
      <c r="B84" s="11" t="str">
        <f>CONCATENATE("          ", "6277", " - ", "EMPLOYEE APPRECIATION")</f>
        <v xml:space="preserve">          6277 - EMPLOYEE APPRECIATION</v>
      </c>
      <c r="C84" s="11"/>
      <c r="D84" s="6"/>
      <c r="E84" s="2"/>
      <c r="F84" s="7">
        <f t="shared" si="41"/>
        <v>0</v>
      </c>
      <c r="G84" s="2"/>
      <c r="H84" s="6">
        <v>37.880000000000003</v>
      </c>
      <c r="I84" s="2"/>
      <c r="J84" s="7">
        <f t="shared" si="42"/>
        <v>2.8857522458283062E-3</v>
      </c>
      <c r="K84" s="2"/>
      <c r="L84" s="6">
        <f t="shared" si="43"/>
        <v>-37.880000000000003</v>
      </c>
      <c r="M84" s="2"/>
      <c r="N84" s="7">
        <f t="shared" si="44"/>
        <v>-1</v>
      </c>
      <c r="O84" s="11"/>
      <c r="P84" s="6">
        <v>107.7</v>
      </c>
      <c r="Q84" s="2"/>
      <c r="R84" s="7">
        <f t="shared" si="45"/>
        <v>9.9527936318089615E-5</v>
      </c>
      <c r="S84" s="2"/>
      <c r="T84" s="6">
        <v>37.880000000000003</v>
      </c>
      <c r="U84" s="2"/>
      <c r="V84" s="7">
        <f t="shared" si="46"/>
        <v>1.9187166099685405E-5</v>
      </c>
      <c r="W84" s="2"/>
      <c r="X84" s="6">
        <f t="shared" si="47"/>
        <v>69.819999999999993</v>
      </c>
      <c r="Y84" s="2"/>
      <c r="Z84" s="7">
        <f t="shared" si="48"/>
        <v>1.8431890179514252</v>
      </c>
    </row>
    <row r="85" spans="1:26" s="26" customFormat="1" outlineLevel="1" collapsed="1" x14ac:dyDescent="0.25">
      <c r="A85" s="27"/>
      <c r="B85" s="13" t="str">
        <f>CONCATENATE("     ","Equipment Rental                                  ")</f>
        <v xml:space="preserve">     Equipment Rental                                  </v>
      </c>
      <c r="C85" s="13"/>
      <c r="D85" s="1">
        <f>SUM(OSRRefD22_5x_0)</f>
        <v>91.26</v>
      </c>
      <c r="E85" s="1"/>
      <c r="F85" s="5">
        <f t="shared" si="41"/>
        <v>1.4164956710427067E-2</v>
      </c>
      <c r="G85" s="1"/>
      <c r="H85" s="1">
        <f>SUM(OSRRefH22_5x_0)</f>
        <v>91.26</v>
      </c>
      <c r="I85" s="1"/>
      <c r="J85" s="5">
        <f t="shared" si="42"/>
        <v>6.9523165246644985E-3</v>
      </c>
      <c r="K85" s="1"/>
      <c r="L85" s="1">
        <f t="shared" si="43"/>
        <v>0</v>
      </c>
      <c r="M85" s="1"/>
      <c r="N85" s="5">
        <f t="shared" si="44"/>
        <v>0</v>
      </c>
      <c r="O85" s="13"/>
      <c r="P85" s="1">
        <f>SUM(OSRRefP22_5x_0)</f>
        <v>547.55999999999995</v>
      </c>
      <c r="Q85" s="1"/>
      <c r="R85" s="5">
        <f t="shared" si="45"/>
        <v>5.0601222665118981E-4</v>
      </c>
      <c r="S85" s="1"/>
      <c r="T85" s="1">
        <f>SUM(OSRRefT22_5x_0)</f>
        <v>547.55999999999995</v>
      </c>
      <c r="U85" s="1"/>
      <c r="V85" s="5">
        <f t="shared" si="46"/>
        <v>2.7735281598584315E-4</v>
      </c>
      <c r="W85" s="1"/>
      <c r="X85" s="1">
        <f t="shared" si="47"/>
        <v>0</v>
      </c>
      <c r="Y85" s="1"/>
      <c r="Z85" s="5">
        <f t="shared" si="48"/>
        <v>0</v>
      </c>
    </row>
    <row r="86" spans="1:26" s="24" customFormat="1" hidden="1" outlineLevel="2" x14ac:dyDescent="0.25">
      <c r="A86" s="25"/>
      <c r="B86" s="11" t="str">
        <f>CONCATENATE("          ", "6351", " - ", "EQUIPMENT RENTAL")</f>
        <v xml:space="preserve">          6351 - EQUIPMENT RENTAL</v>
      </c>
      <c r="C86" s="11"/>
      <c r="D86" s="6">
        <v>91.26</v>
      </c>
      <c r="E86" s="2"/>
      <c r="F86" s="7">
        <f t="shared" si="41"/>
        <v>1.4164956710427067E-2</v>
      </c>
      <c r="G86" s="2"/>
      <c r="H86" s="6">
        <v>91.26</v>
      </c>
      <c r="I86" s="2"/>
      <c r="J86" s="7">
        <f t="shared" si="42"/>
        <v>6.9523165246644985E-3</v>
      </c>
      <c r="K86" s="2"/>
      <c r="L86" s="6">
        <f t="shared" si="43"/>
        <v>0</v>
      </c>
      <c r="M86" s="2"/>
      <c r="N86" s="7">
        <f t="shared" si="44"/>
        <v>0</v>
      </c>
      <c r="O86" s="11"/>
      <c r="P86" s="6">
        <v>547.55999999999995</v>
      </c>
      <c r="Q86" s="2"/>
      <c r="R86" s="7">
        <f t="shared" si="45"/>
        <v>5.0601222665118981E-4</v>
      </c>
      <c r="S86" s="2"/>
      <c r="T86" s="6">
        <v>547.55999999999995</v>
      </c>
      <c r="U86" s="2"/>
      <c r="V86" s="7">
        <f t="shared" si="46"/>
        <v>2.7735281598584315E-4</v>
      </c>
      <c r="W86" s="2"/>
      <c r="X86" s="6">
        <f t="shared" si="47"/>
        <v>0</v>
      </c>
      <c r="Y86" s="2"/>
      <c r="Z86" s="7">
        <f t="shared" si="48"/>
        <v>0</v>
      </c>
    </row>
    <row r="87" spans="1:26" s="26" customFormat="1" outlineLevel="1" collapsed="1" x14ac:dyDescent="0.25">
      <c r="A87" s="27"/>
      <c r="B87" s="13" t="str">
        <f>CONCATENATE("     ","Freight out/Postage                               ")</f>
        <v xml:space="preserve">     Freight out/Postage                               </v>
      </c>
      <c r="C87" s="13"/>
      <c r="D87" s="1">
        <f>SUM(OSRRefD22_6x_0)</f>
        <v>4164.83</v>
      </c>
      <c r="E87" s="1"/>
      <c r="F87" s="5">
        <f t="shared" si="41"/>
        <v>0.6464457227294319</v>
      </c>
      <c r="G87" s="1"/>
      <c r="H87" s="1">
        <f>SUM(OSRRefH22_6x_0)</f>
        <v>5255.62</v>
      </c>
      <c r="I87" s="1"/>
      <c r="J87" s="5">
        <f t="shared" si="42"/>
        <v>0.40038060238173601</v>
      </c>
      <c r="K87" s="1"/>
      <c r="L87" s="1">
        <f t="shared" si="43"/>
        <v>-1090.79</v>
      </c>
      <c r="M87" s="1"/>
      <c r="N87" s="5">
        <f t="shared" si="44"/>
        <v>-0.20754734931368707</v>
      </c>
      <c r="O87" s="13"/>
      <c r="P87" s="1">
        <f>SUM(OSRRefP22_6x_0)</f>
        <v>4730.83</v>
      </c>
      <c r="Q87" s="1"/>
      <c r="R87" s="5">
        <f t="shared" si="45"/>
        <v>4.3718639458840093E-3</v>
      </c>
      <c r="S87" s="1"/>
      <c r="T87" s="1">
        <f>SUM(OSRRefT22_6x_0)</f>
        <v>9370.7900000000009</v>
      </c>
      <c r="U87" s="1"/>
      <c r="V87" s="5">
        <f t="shared" si="46"/>
        <v>4.7465391820293292E-3</v>
      </c>
      <c r="W87" s="1"/>
      <c r="X87" s="1">
        <f t="shared" si="47"/>
        <v>-4639.9600000000009</v>
      </c>
      <c r="Y87" s="1"/>
      <c r="Z87" s="5">
        <f t="shared" si="48"/>
        <v>-0.49515142266553841</v>
      </c>
    </row>
    <row r="88" spans="1:26" s="24" customFormat="1" hidden="1" outlineLevel="2" x14ac:dyDescent="0.25">
      <c r="A88" s="25"/>
      <c r="B88" s="11" t="str">
        <f>CONCATENATE("          ", "6305", " - ", "FREIGHT OUT")</f>
        <v xml:space="preserve">          6305 - FREIGHT OUT</v>
      </c>
      <c r="C88" s="11"/>
      <c r="D88" s="6">
        <v>4164.83</v>
      </c>
      <c r="E88" s="2"/>
      <c r="F88" s="7">
        <f t="shared" si="41"/>
        <v>0.6464457227294319</v>
      </c>
      <c r="G88" s="2"/>
      <c r="H88" s="6">
        <v>5255.62</v>
      </c>
      <c r="I88" s="2"/>
      <c r="J88" s="7">
        <f t="shared" si="42"/>
        <v>0.40038060238173601</v>
      </c>
      <c r="K88" s="2"/>
      <c r="L88" s="6">
        <f t="shared" si="43"/>
        <v>-1090.79</v>
      </c>
      <c r="M88" s="2"/>
      <c r="N88" s="7">
        <f t="shared" si="44"/>
        <v>-0.20754734931368707</v>
      </c>
      <c r="O88" s="11"/>
      <c r="P88" s="6">
        <v>4730.83</v>
      </c>
      <c r="Q88" s="2"/>
      <c r="R88" s="7">
        <f t="shared" si="45"/>
        <v>4.3718639458840093E-3</v>
      </c>
      <c r="S88" s="2"/>
      <c r="T88" s="6">
        <v>9370.2900000000009</v>
      </c>
      <c r="U88" s="2"/>
      <c r="V88" s="7">
        <f t="shared" si="46"/>
        <v>4.7462859195412134E-3</v>
      </c>
      <c r="W88" s="2"/>
      <c r="X88" s="6">
        <f t="shared" si="47"/>
        <v>-4639.4600000000009</v>
      </c>
      <c r="Y88" s="2"/>
      <c r="Z88" s="7">
        <f t="shared" si="48"/>
        <v>-0.49512448387403168</v>
      </c>
    </row>
    <row r="89" spans="1:26" s="24" customFormat="1" hidden="1" outlineLevel="2" x14ac:dyDescent="0.25">
      <c r="A89" s="25"/>
      <c r="B89" s="11" t="str">
        <f>CONCATENATE("          ", "6307", " - ", "POSTAGE")</f>
        <v xml:space="preserve">          6307 - POSTAGE</v>
      </c>
      <c r="C89" s="11"/>
      <c r="D89" s="6"/>
      <c r="E89" s="2"/>
      <c r="F89" s="7">
        <f t="shared" si="41"/>
        <v>0</v>
      </c>
      <c r="G89" s="2"/>
      <c r="H89" s="6"/>
      <c r="I89" s="2"/>
      <c r="J89" s="7">
        <f t="shared" si="42"/>
        <v>0</v>
      </c>
      <c r="K89" s="2"/>
      <c r="L89" s="6">
        <f t="shared" si="43"/>
        <v>0</v>
      </c>
      <c r="M89" s="2"/>
      <c r="N89" s="7">
        <f t="shared" si="44"/>
        <v>0</v>
      </c>
      <c r="O89" s="11"/>
      <c r="P89" s="6"/>
      <c r="Q89" s="2"/>
      <c r="R89" s="7">
        <f t="shared" si="45"/>
        <v>0</v>
      </c>
      <c r="S89" s="2"/>
      <c r="T89" s="6">
        <v>0.5</v>
      </c>
      <c r="U89" s="2"/>
      <c r="V89" s="7">
        <f t="shared" si="46"/>
        <v>2.5326248811622759E-7</v>
      </c>
      <c r="W89" s="2"/>
      <c r="X89" s="6">
        <f t="shared" si="47"/>
        <v>-0.5</v>
      </c>
      <c r="Y89" s="2"/>
      <c r="Z89" s="7">
        <f t="shared" si="48"/>
        <v>-1</v>
      </c>
    </row>
    <row r="90" spans="1:26" s="26" customFormat="1" outlineLevel="1" collapsed="1" x14ac:dyDescent="0.25">
      <c r="A90" s="27"/>
      <c r="B90" s="13" t="str">
        <f>CONCATENATE("     ","General                                           ")</f>
        <v xml:space="preserve">     General                                           </v>
      </c>
      <c r="C90" s="13"/>
      <c r="D90" s="1">
        <f>SUM(OSRRefD22_7x_0)</f>
        <v>3792.73</v>
      </c>
      <c r="E90" s="1"/>
      <c r="F90" s="5">
        <f t="shared" ref="F90:F96" si="49">IF(D$12=0,0,D90/D$12)</f>
        <v>0.58869007521737937</v>
      </c>
      <c r="G90" s="1"/>
      <c r="H90" s="1">
        <f>SUM(OSRRefH22_7x_0)</f>
        <v>9645.06</v>
      </c>
      <c r="I90" s="1"/>
      <c r="J90" s="5">
        <f t="shared" ref="J90:J96" si="50">IF(H$12=0,0,H90/H$12)</f>
        <v>0.734774381102132</v>
      </c>
      <c r="K90" s="1"/>
      <c r="L90" s="1">
        <f t="shared" ref="L90:L96" si="51">+D90-H90</f>
        <v>-5852.33</v>
      </c>
      <c r="M90" s="1"/>
      <c r="N90" s="5">
        <f t="shared" ref="N90:N96" si="52">IF(H90=0,0,L90/H90)</f>
        <v>-0.60676968313312729</v>
      </c>
      <c r="O90" s="13"/>
      <c r="P90" s="1">
        <f>SUM(OSRRefP22_7x_0)</f>
        <v>-1041.46</v>
      </c>
      <c r="Q90" s="1"/>
      <c r="R90" s="5">
        <f t="shared" ref="R90:R96" si="53">IF(P$12=0,0,P90/P$12)</f>
        <v>-9.6243606831789789E-4</v>
      </c>
      <c r="S90" s="1"/>
      <c r="T90" s="1">
        <f>SUM(OSRRefT22_7x_0)</f>
        <v>8152.9</v>
      </c>
      <c r="U90" s="1"/>
      <c r="V90" s="5">
        <f t="shared" ref="V90:V96" si="54">IF(T$12=0,0,T90/T$12)</f>
        <v>4.1296474787255837E-3</v>
      </c>
      <c r="W90" s="1"/>
      <c r="X90" s="1">
        <f t="shared" ref="X90:X96" si="55">+P90-T90</f>
        <v>-9194.36</v>
      </c>
      <c r="Y90" s="1"/>
      <c r="Z90" s="5">
        <f t="shared" ref="Z90:Z96" si="56">IF(T90=0,0,X90/T90)</f>
        <v>-1.1277410491972182</v>
      </c>
    </row>
    <row r="91" spans="1:26" s="24" customFormat="1" hidden="1" outlineLevel="2" x14ac:dyDescent="0.25">
      <c r="A91" s="25"/>
      <c r="B91" s="11" t="str">
        <f>CONCATENATE("          ", "6279", " - ", "GENERAL EXPENSE")</f>
        <v xml:space="preserve">          6279 - GENERAL EXPENSE</v>
      </c>
      <c r="C91" s="11"/>
      <c r="D91" s="6">
        <v>3792.73</v>
      </c>
      <c r="E91" s="2"/>
      <c r="F91" s="7">
        <f t="shared" si="49"/>
        <v>0.58869007521737937</v>
      </c>
      <c r="G91" s="2"/>
      <c r="H91" s="6">
        <v>9645.06</v>
      </c>
      <c r="I91" s="2"/>
      <c r="J91" s="7">
        <f t="shared" si="50"/>
        <v>0.734774381102132</v>
      </c>
      <c r="K91" s="2"/>
      <c r="L91" s="6">
        <f t="shared" si="51"/>
        <v>-5852.33</v>
      </c>
      <c r="M91" s="2"/>
      <c r="N91" s="7">
        <f t="shared" si="52"/>
        <v>-0.60676968313312729</v>
      </c>
      <c r="O91" s="11"/>
      <c r="P91" s="6">
        <v>-1041.46</v>
      </c>
      <c r="Q91" s="2"/>
      <c r="R91" s="7">
        <f t="shared" si="53"/>
        <v>-9.6243606831789789E-4</v>
      </c>
      <c r="S91" s="2"/>
      <c r="T91" s="6">
        <v>8152.9</v>
      </c>
      <c r="U91" s="2"/>
      <c r="V91" s="7">
        <f t="shared" si="54"/>
        <v>4.1296474787255837E-3</v>
      </c>
      <c r="W91" s="2"/>
      <c r="X91" s="6">
        <f t="shared" si="55"/>
        <v>-9194.36</v>
      </c>
      <c r="Y91" s="2"/>
      <c r="Z91" s="7">
        <f t="shared" si="56"/>
        <v>-1.1277410491972182</v>
      </c>
    </row>
    <row r="92" spans="1:26" s="26" customFormat="1" outlineLevel="1" collapsed="1" x14ac:dyDescent="0.25">
      <c r="A92" s="27"/>
      <c r="B92" s="13" t="str">
        <f>CONCATENATE("     ","Inventory Adjustment                              ")</f>
        <v xml:space="preserve">     Inventory Adjustment                              </v>
      </c>
      <c r="C92" s="13"/>
      <c r="D92" s="1">
        <f>SUM(OSRRefD22_8x_0)</f>
        <v>1000</v>
      </c>
      <c r="E92" s="1"/>
      <c r="F92" s="5">
        <f t="shared" si="49"/>
        <v>0.1552153924000336</v>
      </c>
      <c r="G92" s="1"/>
      <c r="H92" s="1">
        <f>SUM(OSRRefH22_8x_0)</f>
        <v>1000</v>
      </c>
      <c r="I92" s="1"/>
      <c r="J92" s="5">
        <f t="shared" si="50"/>
        <v>7.6181421484379772E-2</v>
      </c>
      <c r="K92" s="1"/>
      <c r="L92" s="1">
        <f t="shared" si="51"/>
        <v>0</v>
      </c>
      <c r="M92" s="1"/>
      <c r="N92" s="5">
        <f t="shared" si="52"/>
        <v>0</v>
      </c>
      <c r="O92" s="13"/>
      <c r="P92" s="1">
        <f>SUM(OSRRefP22_8x_0)</f>
        <v>5000</v>
      </c>
      <c r="Q92" s="1"/>
      <c r="R92" s="5">
        <f t="shared" si="53"/>
        <v>4.6206098569215228E-3</v>
      </c>
      <c r="S92" s="1"/>
      <c r="T92" s="1">
        <f>SUM(OSRRefT22_8x_0)</f>
        <v>5000</v>
      </c>
      <c r="U92" s="1"/>
      <c r="V92" s="5">
        <f t="shared" si="54"/>
        <v>2.5326248811622762E-3</v>
      </c>
      <c r="W92" s="1"/>
      <c r="X92" s="1">
        <f t="shared" si="55"/>
        <v>0</v>
      </c>
      <c r="Y92" s="1"/>
      <c r="Z92" s="5">
        <f t="shared" si="56"/>
        <v>0</v>
      </c>
    </row>
    <row r="93" spans="1:26" s="24" customFormat="1" hidden="1" outlineLevel="2" x14ac:dyDescent="0.25">
      <c r="A93" s="25"/>
      <c r="B93" s="11" t="str">
        <f>CONCATENATE("          ", "6408", " - ", "INVENTORY ADJUSTMENT")</f>
        <v xml:space="preserve">          6408 - INVENTORY ADJUSTMENT</v>
      </c>
      <c r="C93" s="11"/>
      <c r="D93" s="6">
        <v>1000</v>
      </c>
      <c r="E93" s="2"/>
      <c r="F93" s="7">
        <f t="shared" si="49"/>
        <v>0.1552153924000336</v>
      </c>
      <c r="G93" s="2"/>
      <c r="H93" s="6">
        <v>1000</v>
      </c>
      <c r="I93" s="2"/>
      <c r="J93" s="7">
        <f t="shared" si="50"/>
        <v>7.6181421484379772E-2</v>
      </c>
      <c r="K93" s="2"/>
      <c r="L93" s="6">
        <f t="shared" si="51"/>
        <v>0</v>
      </c>
      <c r="M93" s="2"/>
      <c r="N93" s="7">
        <f t="shared" si="52"/>
        <v>0</v>
      </c>
      <c r="O93" s="11"/>
      <c r="P93" s="6">
        <v>5000</v>
      </c>
      <c r="Q93" s="2"/>
      <c r="R93" s="7">
        <f t="shared" si="53"/>
        <v>4.6206098569215228E-3</v>
      </c>
      <c r="S93" s="2"/>
      <c r="T93" s="6">
        <v>5000</v>
      </c>
      <c r="U93" s="2"/>
      <c r="V93" s="7">
        <f t="shared" si="54"/>
        <v>2.5326248811622762E-3</v>
      </c>
      <c r="W93" s="2"/>
      <c r="X93" s="6">
        <f t="shared" si="55"/>
        <v>0</v>
      </c>
      <c r="Y93" s="2"/>
      <c r="Z93" s="7">
        <f t="shared" si="56"/>
        <v>0</v>
      </c>
    </row>
    <row r="94" spans="1:26" s="26" customFormat="1" outlineLevel="1" collapsed="1" x14ac:dyDescent="0.25">
      <c r="A94" s="27"/>
      <c r="B94" s="13" t="str">
        <f>CONCATENATE("     ","Repair and Maintenance                            ")</f>
        <v xml:space="preserve">     Repair and Maintenance                            </v>
      </c>
      <c r="C94" s="13"/>
      <c r="D94" s="1">
        <f>SUM(OSRRefD22_9x_0)</f>
        <v>22.16</v>
      </c>
      <c r="E94" s="1"/>
      <c r="F94" s="5">
        <f t="shared" si="49"/>
        <v>3.4395730955847446E-3</v>
      </c>
      <c r="G94" s="1"/>
      <c r="H94" s="1">
        <f>SUM(OSRRefH22_9x_0)</f>
        <v>21.62</v>
      </c>
      <c r="I94" s="1"/>
      <c r="J94" s="5">
        <f t="shared" si="50"/>
        <v>1.6470423324922909E-3</v>
      </c>
      <c r="K94" s="1"/>
      <c r="L94" s="1">
        <f t="shared" si="51"/>
        <v>0.53999999999999915</v>
      </c>
      <c r="M94" s="1"/>
      <c r="N94" s="5">
        <f t="shared" si="52"/>
        <v>2.4976873265494873E-2</v>
      </c>
      <c r="O94" s="13"/>
      <c r="P94" s="1">
        <f>SUM(OSRRefP22_9x_0)</f>
        <v>133.63</v>
      </c>
      <c r="Q94" s="1"/>
      <c r="R94" s="5">
        <f t="shared" si="53"/>
        <v>1.2349041903608461E-4</v>
      </c>
      <c r="S94" s="1"/>
      <c r="T94" s="1">
        <f>SUM(OSRRefT22_9x_0)</f>
        <v>119.56</v>
      </c>
      <c r="U94" s="1"/>
      <c r="V94" s="5">
        <f t="shared" si="54"/>
        <v>6.056012615835235E-5</v>
      </c>
      <c r="W94" s="1"/>
      <c r="X94" s="1">
        <f t="shared" si="55"/>
        <v>14.069999999999993</v>
      </c>
      <c r="Y94" s="1"/>
      <c r="Z94" s="5">
        <f t="shared" si="56"/>
        <v>0.11768149882903975</v>
      </c>
    </row>
    <row r="95" spans="1:26" s="24" customFormat="1" hidden="1" outlineLevel="2" x14ac:dyDescent="0.25">
      <c r="A95" s="25"/>
      <c r="B95" s="11" t="str">
        <f>CONCATENATE("          ", "6373", " - ", "MAINTENANCE CONTRACTS")</f>
        <v xml:space="preserve">          6373 - MAINTENANCE CONTRACTS</v>
      </c>
      <c r="C95" s="11"/>
      <c r="D95" s="6">
        <v>22.16</v>
      </c>
      <c r="E95" s="2"/>
      <c r="F95" s="7">
        <f t="shared" si="49"/>
        <v>3.4395730955847446E-3</v>
      </c>
      <c r="G95" s="2"/>
      <c r="H95" s="6">
        <v>21.62</v>
      </c>
      <c r="I95" s="2"/>
      <c r="J95" s="7">
        <f t="shared" si="50"/>
        <v>1.6470423324922909E-3</v>
      </c>
      <c r="K95" s="2"/>
      <c r="L95" s="6">
        <f t="shared" si="51"/>
        <v>0.53999999999999915</v>
      </c>
      <c r="M95" s="2"/>
      <c r="N95" s="7">
        <f t="shared" si="52"/>
        <v>2.4976873265494873E-2</v>
      </c>
      <c r="O95" s="11"/>
      <c r="P95" s="6">
        <v>108.52</v>
      </c>
      <c r="Q95" s="2"/>
      <c r="R95" s="7">
        <f t="shared" si="53"/>
        <v>1.0028571633462473E-4</v>
      </c>
      <c r="S95" s="2"/>
      <c r="T95" s="6">
        <v>119.56</v>
      </c>
      <c r="U95" s="2"/>
      <c r="V95" s="7">
        <f t="shared" si="54"/>
        <v>6.056012615835235E-5</v>
      </c>
      <c r="W95" s="2"/>
      <c r="X95" s="6">
        <f t="shared" si="55"/>
        <v>-11.040000000000006</v>
      </c>
      <c r="Y95" s="2"/>
      <c r="Z95" s="7">
        <f t="shared" si="56"/>
        <v>-9.2338574774172011E-2</v>
      </c>
    </row>
    <row r="96" spans="1:26" s="24" customFormat="1" hidden="1" outlineLevel="2" x14ac:dyDescent="0.25">
      <c r="A96" s="25"/>
      <c r="B96" s="11" t="str">
        <f>CONCATENATE("          ", "6375", " - ", "OUTSIDE REPAIRS &amp; MAINTENANCE")</f>
        <v xml:space="preserve">          6375 - OUTSIDE REPAIRS &amp; MAINTENANCE</v>
      </c>
      <c r="C96" s="11"/>
      <c r="D96" s="6"/>
      <c r="E96" s="2"/>
      <c r="F96" s="7">
        <f t="shared" si="49"/>
        <v>0</v>
      </c>
      <c r="G96" s="2"/>
      <c r="H96" s="6"/>
      <c r="I96" s="2"/>
      <c r="J96" s="7">
        <f t="shared" si="50"/>
        <v>0</v>
      </c>
      <c r="K96" s="2"/>
      <c r="L96" s="6">
        <f t="shared" si="51"/>
        <v>0</v>
      </c>
      <c r="M96" s="2"/>
      <c r="N96" s="7">
        <f t="shared" si="52"/>
        <v>0</v>
      </c>
      <c r="O96" s="11"/>
      <c r="P96" s="6">
        <v>25.11</v>
      </c>
      <c r="Q96" s="2"/>
      <c r="R96" s="7">
        <f t="shared" si="53"/>
        <v>2.3204702701459887E-5</v>
      </c>
      <c r="S96" s="2"/>
      <c r="T96" s="6"/>
      <c r="U96" s="2"/>
      <c r="V96" s="7">
        <f t="shared" si="54"/>
        <v>0</v>
      </c>
      <c r="W96" s="2"/>
      <c r="X96" s="6">
        <f t="shared" si="55"/>
        <v>25.11</v>
      </c>
      <c r="Y96" s="2"/>
      <c r="Z96" s="7">
        <f t="shared" si="56"/>
        <v>0</v>
      </c>
    </row>
    <row r="97" spans="1:26" s="26" customFormat="1" outlineLevel="1" collapsed="1" x14ac:dyDescent="0.25">
      <c r="A97" s="27"/>
      <c r="B97" s="13" t="str">
        <f>CONCATENATE("     ","Subscriptions &amp; Dues                              ")</f>
        <v xml:space="preserve">     Subscriptions &amp; Dues                              </v>
      </c>
      <c r="C97" s="13"/>
      <c r="D97" s="1">
        <f>SUM(OSRRefD22_10x_0)</f>
        <v>166.92</v>
      </c>
      <c r="E97" s="1"/>
      <c r="F97" s="5">
        <f t="shared" ref="F97:F102" si="57">IF(D$12=0,0,D97/D$12)</f>
        <v>2.5908553299413606E-2</v>
      </c>
      <c r="G97" s="1"/>
      <c r="H97" s="1">
        <f>SUM(OSRRefH22_10x_0)</f>
        <v>250</v>
      </c>
      <c r="I97" s="1"/>
      <c r="J97" s="5">
        <f t="shared" ref="J97:J102" si="58">IF(H$12=0,0,H97/H$12)</f>
        <v>1.9045355371094943E-2</v>
      </c>
      <c r="K97" s="1"/>
      <c r="L97" s="1">
        <f t="shared" ref="L97:L102" si="59">+D97-H97</f>
        <v>-83.080000000000013</v>
      </c>
      <c r="M97" s="1"/>
      <c r="N97" s="5">
        <f t="shared" ref="N97:N102" si="60">IF(H97=0,0,L97/H97)</f>
        <v>-0.33232000000000006</v>
      </c>
      <c r="O97" s="13"/>
      <c r="P97" s="1">
        <f>SUM(OSRRefP22_10x_0)</f>
        <v>1590.28</v>
      </c>
      <c r="Q97" s="1"/>
      <c r="R97" s="5">
        <f t="shared" ref="R97:R102" si="61">IF(P$12=0,0,P97/P$12)</f>
        <v>1.4696126886530319E-3</v>
      </c>
      <c r="S97" s="1"/>
      <c r="T97" s="1">
        <f>SUM(OSRRefT22_10x_0)</f>
        <v>1307.4000000000001</v>
      </c>
      <c r="U97" s="1"/>
      <c r="V97" s="5">
        <f t="shared" ref="V97:V102" si="62">IF(T$12=0,0,T97/T$12)</f>
        <v>6.6223075392631199E-4</v>
      </c>
      <c r="W97" s="1"/>
      <c r="X97" s="1">
        <f t="shared" ref="X97:X102" si="63">+P97-T97</f>
        <v>282.87999999999988</v>
      </c>
      <c r="Y97" s="1"/>
      <c r="Z97" s="5">
        <f t="shared" ref="Z97:Z102" si="64">IF(T97=0,0,X97/T97)</f>
        <v>0.21636836469328427</v>
      </c>
    </row>
    <row r="98" spans="1:26" s="24" customFormat="1" hidden="1" outlineLevel="2" x14ac:dyDescent="0.25">
      <c r="A98" s="25"/>
      <c r="B98" s="11" t="str">
        <f>CONCATENATE("          ", "6258", " - ", "MEMBERSHIP DUES")</f>
        <v xml:space="preserve">          6258 - MEMBERSHIP DUES</v>
      </c>
      <c r="C98" s="11"/>
      <c r="D98" s="6">
        <v>166.92</v>
      </c>
      <c r="E98" s="2"/>
      <c r="F98" s="7">
        <f t="shared" si="57"/>
        <v>2.5908553299413606E-2</v>
      </c>
      <c r="G98" s="2"/>
      <c r="H98" s="6">
        <v>250</v>
      </c>
      <c r="I98" s="2"/>
      <c r="J98" s="7">
        <f t="shared" si="58"/>
        <v>1.9045355371094943E-2</v>
      </c>
      <c r="K98" s="2"/>
      <c r="L98" s="6">
        <f t="shared" si="59"/>
        <v>-83.080000000000013</v>
      </c>
      <c r="M98" s="2"/>
      <c r="N98" s="7">
        <f t="shared" si="60"/>
        <v>-0.33232000000000006</v>
      </c>
      <c r="O98" s="11"/>
      <c r="P98" s="6">
        <v>1590.28</v>
      </c>
      <c r="Q98" s="2"/>
      <c r="R98" s="7">
        <f t="shared" si="61"/>
        <v>1.4696126886530319E-3</v>
      </c>
      <c r="S98" s="2"/>
      <c r="T98" s="6">
        <v>1307.4000000000001</v>
      </c>
      <c r="U98" s="2"/>
      <c r="V98" s="7">
        <f t="shared" si="62"/>
        <v>6.6223075392631199E-4</v>
      </c>
      <c r="W98" s="2"/>
      <c r="X98" s="6">
        <f t="shared" si="63"/>
        <v>282.87999999999988</v>
      </c>
      <c r="Y98" s="2"/>
      <c r="Z98" s="7">
        <f t="shared" si="64"/>
        <v>0.21636836469328427</v>
      </c>
    </row>
    <row r="99" spans="1:26" s="26" customFormat="1" outlineLevel="1" collapsed="1" x14ac:dyDescent="0.25">
      <c r="A99" s="27"/>
      <c r="B99" s="13" t="str">
        <f>CONCATENATE("     ","Supplies                                          ")</f>
        <v xml:space="preserve">     Supplies                                          </v>
      </c>
      <c r="C99" s="13"/>
      <c r="D99" s="1">
        <f>SUM(OSRRefD22_11x_0)</f>
        <v>311.44</v>
      </c>
      <c r="E99" s="1"/>
      <c r="F99" s="5">
        <f t="shared" si="57"/>
        <v>4.8340281809066465E-2</v>
      </c>
      <c r="G99" s="1"/>
      <c r="H99" s="1">
        <f>SUM(OSRRefH22_11x_0)</f>
        <v>78.040000000000006</v>
      </c>
      <c r="I99" s="1"/>
      <c r="J99" s="5">
        <f t="shared" si="58"/>
        <v>5.9451981326409985E-3</v>
      </c>
      <c r="K99" s="1"/>
      <c r="L99" s="1">
        <f t="shared" si="59"/>
        <v>233.39999999999998</v>
      </c>
      <c r="M99" s="1"/>
      <c r="N99" s="5">
        <f t="shared" si="60"/>
        <v>2.9907739620707323</v>
      </c>
      <c r="O99" s="13"/>
      <c r="P99" s="1">
        <f>SUM(OSRRefP22_11x_0)</f>
        <v>1546.69</v>
      </c>
      <c r="Q99" s="1"/>
      <c r="R99" s="5">
        <f t="shared" si="61"/>
        <v>1.4293302119203902E-3</v>
      </c>
      <c r="S99" s="1"/>
      <c r="T99" s="1">
        <f>SUM(OSRRefT22_11x_0)</f>
        <v>9214.59</v>
      </c>
      <c r="U99" s="1"/>
      <c r="V99" s="5">
        <f t="shared" si="62"/>
        <v>4.6674199807418193E-3</v>
      </c>
      <c r="W99" s="1"/>
      <c r="X99" s="1">
        <f t="shared" si="63"/>
        <v>-7667.9</v>
      </c>
      <c r="Y99" s="1"/>
      <c r="Z99" s="5">
        <f t="shared" si="64"/>
        <v>-0.83214771357162931</v>
      </c>
    </row>
    <row r="100" spans="1:26" s="24" customFormat="1" hidden="1" outlineLevel="2" x14ac:dyDescent="0.25">
      <c r="A100" s="25"/>
      <c r="B100" s="11" t="str">
        <f>CONCATENATE("          ", "6241", " - ", "OFFICE EXPENSE")</f>
        <v xml:space="preserve">          6241 - OFFICE EXPENSE</v>
      </c>
      <c r="C100" s="11"/>
      <c r="D100" s="6">
        <v>311.44</v>
      </c>
      <c r="E100" s="2"/>
      <c r="F100" s="7">
        <f t="shared" si="57"/>
        <v>4.8340281809066465E-2</v>
      </c>
      <c r="G100" s="2"/>
      <c r="H100" s="6">
        <v>78.040000000000006</v>
      </c>
      <c r="I100" s="2"/>
      <c r="J100" s="7">
        <f t="shared" si="58"/>
        <v>5.9451981326409985E-3</v>
      </c>
      <c r="K100" s="2"/>
      <c r="L100" s="6">
        <f t="shared" si="59"/>
        <v>233.39999999999998</v>
      </c>
      <c r="M100" s="2"/>
      <c r="N100" s="7">
        <f t="shared" si="60"/>
        <v>2.9907739620707323</v>
      </c>
      <c r="O100" s="11"/>
      <c r="P100" s="6">
        <v>913.59</v>
      </c>
      <c r="Q100" s="2"/>
      <c r="R100" s="7">
        <f t="shared" si="61"/>
        <v>8.4426859183698688E-4</v>
      </c>
      <c r="S100" s="2"/>
      <c r="T100" s="6">
        <v>3375.47</v>
      </c>
      <c r="U100" s="2"/>
      <c r="V100" s="7">
        <f t="shared" si="62"/>
        <v>1.7097598615233656E-3</v>
      </c>
      <c r="W100" s="2"/>
      <c r="X100" s="6">
        <f t="shared" si="63"/>
        <v>-2461.8799999999997</v>
      </c>
      <c r="Y100" s="2"/>
      <c r="Z100" s="7">
        <f t="shared" si="64"/>
        <v>-0.72934435797088992</v>
      </c>
    </row>
    <row r="101" spans="1:26" s="24" customFormat="1" hidden="1" outlineLevel="2" x14ac:dyDescent="0.25">
      <c r="A101" s="25"/>
      <c r="B101" s="11" t="str">
        <f>CONCATENATE("          ", "6245", " - ", "PRINTING")</f>
        <v xml:space="preserve">          6245 - PRINTING</v>
      </c>
      <c r="C101" s="11"/>
      <c r="D101" s="6"/>
      <c r="E101" s="2"/>
      <c r="F101" s="7">
        <f t="shared" si="57"/>
        <v>0</v>
      </c>
      <c r="G101" s="2"/>
      <c r="H101" s="6"/>
      <c r="I101" s="2"/>
      <c r="J101" s="7">
        <f t="shared" si="58"/>
        <v>0</v>
      </c>
      <c r="K101" s="2"/>
      <c r="L101" s="6">
        <f t="shared" si="59"/>
        <v>0</v>
      </c>
      <c r="M101" s="2"/>
      <c r="N101" s="7">
        <f t="shared" si="60"/>
        <v>0</v>
      </c>
      <c r="O101" s="11"/>
      <c r="P101" s="6"/>
      <c r="Q101" s="2"/>
      <c r="R101" s="7">
        <f t="shared" si="61"/>
        <v>0</v>
      </c>
      <c r="S101" s="2"/>
      <c r="T101" s="6">
        <v>4978.08</v>
      </c>
      <c r="U101" s="2"/>
      <c r="V101" s="7">
        <f t="shared" si="62"/>
        <v>2.5215218536832605E-3</v>
      </c>
      <c r="W101" s="2"/>
      <c r="X101" s="6">
        <f t="shared" si="63"/>
        <v>-4978.08</v>
      </c>
      <c r="Y101" s="2"/>
      <c r="Z101" s="7">
        <f t="shared" si="64"/>
        <v>-1</v>
      </c>
    </row>
    <row r="102" spans="1:26" s="24" customFormat="1" hidden="1" outlineLevel="2" x14ac:dyDescent="0.25">
      <c r="A102" s="25"/>
      <c r="B102" s="11" t="str">
        <f>CONCATENATE("          ", "6247", " - ", "STORE SUPPLIES")</f>
        <v xml:space="preserve">          6247 - STORE SUPPLIES</v>
      </c>
      <c r="C102" s="11"/>
      <c r="D102" s="6"/>
      <c r="E102" s="2"/>
      <c r="F102" s="7">
        <f t="shared" si="57"/>
        <v>0</v>
      </c>
      <c r="G102" s="2"/>
      <c r="H102" s="6"/>
      <c r="I102" s="2"/>
      <c r="J102" s="7">
        <f t="shared" si="58"/>
        <v>0</v>
      </c>
      <c r="K102" s="2"/>
      <c r="L102" s="6">
        <f t="shared" si="59"/>
        <v>0</v>
      </c>
      <c r="M102" s="2"/>
      <c r="N102" s="7">
        <f t="shared" si="60"/>
        <v>0</v>
      </c>
      <c r="O102" s="11"/>
      <c r="P102" s="6">
        <v>633.1</v>
      </c>
      <c r="Q102" s="2"/>
      <c r="R102" s="7">
        <f t="shared" si="61"/>
        <v>5.8506162008340325E-4</v>
      </c>
      <c r="S102" s="2"/>
      <c r="T102" s="6">
        <v>861.04</v>
      </c>
      <c r="U102" s="2"/>
      <c r="V102" s="7">
        <f t="shared" si="62"/>
        <v>4.361382655351932E-4</v>
      </c>
      <c r="W102" s="2"/>
      <c r="X102" s="6">
        <f t="shared" si="63"/>
        <v>-227.93999999999994</v>
      </c>
      <c r="Y102" s="2"/>
      <c r="Z102" s="7">
        <f t="shared" si="64"/>
        <v>-0.26472637740406946</v>
      </c>
    </row>
    <row r="103" spans="1:26" s="26" customFormat="1" outlineLevel="1" collapsed="1" x14ac:dyDescent="0.25">
      <c r="A103" s="27"/>
      <c r="B103" s="13" t="str">
        <f>CONCATENATE("     ","Telephone/Data Lines                              ")</f>
        <v xml:space="preserve">     Telephone/Data Lines                              </v>
      </c>
      <c r="C103" s="13"/>
      <c r="D103" s="1">
        <f>SUM(OSRRefD22_12x_0)</f>
        <v>1346.65</v>
      </c>
      <c r="E103" s="1"/>
      <c r="F103" s="5">
        <f t="shared" ref="F103:F105" si="65">IF(D$12=0,0,D103/D$12)</f>
        <v>0.20902080817550525</v>
      </c>
      <c r="G103" s="1"/>
      <c r="H103" s="1">
        <f>SUM(OSRRefH22_12x_0)</f>
        <v>769.99</v>
      </c>
      <c r="I103" s="1"/>
      <c r="J103" s="5">
        <f t="shared" ref="J103:J105" si="66">IF(H$12=0,0,H103/H$12)</f>
        <v>5.8658932728757586E-2</v>
      </c>
      <c r="K103" s="1"/>
      <c r="L103" s="1">
        <f t="shared" ref="L103:L105" si="67">+D103-H103</f>
        <v>576.66000000000008</v>
      </c>
      <c r="M103" s="1"/>
      <c r="N103" s="5">
        <f t="shared" ref="N103:N105" si="68">IF(H103=0,0,L103/H103)</f>
        <v>0.74891881712749531</v>
      </c>
      <c r="O103" s="13"/>
      <c r="P103" s="1">
        <f>SUM(OSRRefP22_12x_0)</f>
        <v>4580.5</v>
      </c>
      <c r="Q103" s="1"/>
      <c r="R103" s="5">
        <f t="shared" ref="R103:R105" si="69">IF(P$12=0,0,P103/P$12)</f>
        <v>4.2329406899258076E-3</v>
      </c>
      <c r="S103" s="1"/>
      <c r="T103" s="1">
        <f>SUM(OSRRefT22_12x_0)</f>
        <v>3868.59</v>
      </c>
      <c r="U103" s="1"/>
      <c r="V103" s="5">
        <f t="shared" ref="V103:V105" si="70">IF(T$12=0,0,T103/T$12)</f>
        <v>1.9595374578031139E-3</v>
      </c>
      <c r="W103" s="1"/>
      <c r="X103" s="1">
        <f t="shared" ref="X103:X105" si="71">+P103-T103</f>
        <v>711.90999999999985</v>
      </c>
      <c r="Y103" s="1"/>
      <c r="Z103" s="5">
        <f t="shared" ref="Z103:Z105" si="72">IF(T103=0,0,X103/T103)</f>
        <v>0.18402311953450737</v>
      </c>
    </row>
    <row r="104" spans="1:26" s="24" customFormat="1" hidden="1" outlineLevel="2" x14ac:dyDescent="0.25">
      <c r="A104" s="25"/>
      <c r="B104" s="11" t="str">
        <f>CONCATENATE("          ", "6303", " - ", "DATA PHONE LINES")</f>
        <v xml:space="preserve">          6303 - DATA PHONE LINES</v>
      </c>
      <c r="C104" s="11"/>
      <c r="D104" s="6">
        <v>885</v>
      </c>
      <c r="E104" s="2"/>
      <c r="F104" s="7">
        <f t="shared" si="65"/>
        <v>0.13736562227402974</v>
      </c>
      <c r="G104" s="2"/>
      <c r="H104" s="6">
        <v>295</v>
      </c>
      <c r="I104" s="2"/>
      <c r="J104" s="7">
        <f t="shared" si="66"/>
        <v>2.2473519337892035E-2</v>
      </c>
      <c r="K104" s="2"/>
      <c r="L104" s="6">
        <f t="shared" si="67"/>
        <v>590</v>
      </c>
      <c r="M104" s="2"/>
      <c r="N104" s="7">
        <f t="shared" si="68"/>
        <v>2</v>
      </c>
      <c r="O104" s="11"/>
      <c r="P104" s="6">
        <v>2065</v>
      </c>
      <c r="Q104" s="2"/>
      <c r="R104" s="7">
        <f t="shared" si="69"/>
        <v>1.9083118709085889E-3</v>
      </c>
      <c r="S104" s="2"/>
      <c r="T104" s="6">
        <v>1475</v>
      </c>
      <c r="U104" s="2"/>
      <c r="V104" s="7">
        <f t="shared" si="70"/>
        <v>7.4712433994287143E-4</v>
      </c>
      <c r="W104" s="2"/>
      <c r="X104" s="6">
        <f t="shared" si="71"/>
        <v>590</v>
      </c>
      <c r="Y104" s="2"/>
      <c r="Z104" s="7">
        <f t="shared" si="72"/>
        <v>0.4</v>
      </c>
    </row>
    <row r="105" spans="1:26" s="24" customFormat="1" hidden="1" outlineLevel="2" x14ac:dyDescent="0.25">
      <c r="A105" s="25"/>
      <c r="B105" s="11" t="str">
        <f>CONCATENATE("          ", "6309", " - ", "TELEPHONE")</f>
        <v xml:space="preserve">          6309 - TELEPHONE</v>
      </c>
      <c r="C105" s="11"/>
      <c r="D105" s="6">
        <v>461.65</v>
      </c>
      <c r="E105" s="2"/>
      <c r="F105" s="7">
        <f t="shared" si="65"/>
        <v>7.1655185901475502E-2</v>
      </c>
      <c r="G105" s="2"/>
      <c r="H105" s="6">
        <v>474.99</v>
      </c>
      <c r="I105" s="2"/>
      <c r="J105" s="7">
        <f t="shared" si="66"/>
        <v>3.6185413390865548E-2</v>
      </c>
      <c r="K105" s="2"/>
      <c r="L105" s="6">
        <f t="shared" si="67"/>
        <v>-13.340000000000032</v>
      </c>
      <c r="M105" s="2"/>
      <c r="N105" s="7">
        <f t="shared" si="68"/>
        <v>-2.808480178530081E-2</v>
      </c>
      <c r="O105" s="11"/>
      <c r="P105" s="6">
        <v>2515.5</v>
      </c>
      <c r="Q105" s="2"/>
      <c r="R105" s="7">
        <f t="shared" si="69"/>
        <v>2.3246288190172182E-3</v>
      </c>
      <c r="S105" s="2"/>
      <c r="T105" s="6">
        <v>2393.59</v>
      </c>
      <c r="U105" s="2"/>
      <c r="V105" s="7">
        <f t="shared" si="70"/>
        <v>1.2124131178602425E-3</v>
      </c>
      <c r="W105" s="2"/>
      <c r="X105" s="6">
        <f t="shared" si="71"/>
        <v>121.90999999999985</v>
      </c>
      <c r="Y105" s="2"/>
      <c r="Z105" s="7">
        <f t="shared" si="72"/>
        <v>5.0931863853040764E-2</v>
      </c>
    </row>
    <row r="106" spans="1:26" s="26" customFormat="1" outlineLevel="1" collapsed="1" x14ac:dyDescent="0.25">
      <c r="A106" s="27"/>
      <c r="B106" s="13" t="str">
        <f>CONCATENATE("     ","Training                                          ")</f>
        <v xml:space="preserve">     Training                                          </v>
      </c>
      <c r="C106" s="13"/>
      <c r="D106" s="1">
        <f>SUM(OSRRefD22_13x_0)</f>
        <v>0</v>
      </c>
      <c r="E106" s="1"/>
      <c r="F106" s="5">
        <f t="shared" ref="F106:F109" si="73">IF(D$12=0,0,D106/D$12)</f>
        <v>0</v>
      </c>
      <c r="G106" s="1"/>
      <c r="H106" s="1">
        <f>SUM(OSRRefH22_13x_0)</f>
        <v>0</v>
      </c>
      <c r="I106" s="1"/>
      <c r="J106" s="5">
        <f t="shared" ref="J106:J109" si="74">IF(H$12=0,0,H106/H$12)</f>
        <v>0</v>
      </c>
      <c r="K106" s="1"/>
      <c r="L106" s="1">
        <f t="shared" ref="L106:L109" si="75">+D106-H106</f>
        <v>0</v>
      </c>
      <c r="M106" s="1"/>
      <c r="N106" s="5">
        <f t="shared" ref="N106:N109" si="76">IF(H106=0,0,L106/H106)</f>
        <v>0</v>
      </c>
      <c r="O106" s="13"/>
      <c r="P106" s="1">
        <f>SUM(OSRRefP22_13x_0)</f>
        <v>0</v>
      </c>
      <c r="Q106" s="1"/>
      <c r="R106" s="5">
        <f t="shared" ref="R106:R109" si="77">IF(P$12=0,0,P106/P$12)</f>
        <v>0</v>
      </c>
      <c r="S106" s="1"/>
      <c r="T106" s="1">
        <f>SUM(OSRRefT22_13x_0)</f>
        <v>547.47</v>
      </c>
      <c r="U106" s="1"/>
      <c r="V106" s="5">
        <f t="shared" ref="V106:V109" si="78">IF(T$12=0,0,T106/T$12)</f>
        <v>2.773072287379823E-4</v>
      </c>
      <c r="W106" s="1"/>
      <c r="X106" s="1">
        <f t="shared" ref="X106:X109" si="79">+P106-T106</f>
        <v>-547.47</v>
      </c>
      <c r="Y106" s="1"/>
      <c r="Z106" s="5">
        <f t="shared" ref="Z106:Z109" si="80">IF(T106=0,0,X106/T106)</f>
        <v>-1</v>
      </c>
    </row>
    <row r="107" spans="1:26" s="24" customFormat="1" hidden="1" outlineLevel="2" x14ac:dyDescent="0.25">
      <c r="A107" s="25"/>
      <c r="B107" s="11" t="str">
        <f>CONCATENATE("          ", "6376", " - ", "TRAINING")</f>
        <v xml:space="preserve">          6376 - TRAINING</v>
      </c>
      <c r="C107" s="11"/>
      <c r="D107" s="6"/>
      <c r="E107" s="2"/>
      <c r="F107" s="7">
        <f t="shared" si="73"/>
        <v>0</v>
      </c>
      <c r="G107" s="2"/>
      <c r="H107" s="6"/>
      <c r="I107" s="2"/>
      <c r="J107" s="7">
        <f t="shared" si="74"/>
        <v>0</v>
      </c>
      <c r="K107" s="2"/>
      <c r="L107" s="6">
        <f t="shared" si="75"/>
        <v>0</v>
      </c>
      <c r="M107" s="2"/>
      <c r="N107" s="7">
        <f t="shared" si="76"/>
        <v>0</v>
      </c>
      <c r="O107" s="11"/>
      <c r="P107" s="6"/>
      <c r="Q107" s="2"/>
      <c r="R107" s="7">
        <f t="shared" si="77"/>
        <v>0</v>
      </c>
      <c r="S107" s="2"/>
      <c r="T107" s="6">
        <v>547.47</v>
      </c>
      <c r="U107" s="2"/>
      <c r="V107" s="7">
        <f t="shared" si="78"/>
        <v>2.773072287379823E-4</v>
      </c>
      <c r="W107" s="2"/>
      <c r="X107" s="6">
        <f t="shared" si="79"/>
        <v>-547.47</v>
      </c>
      <c r="Y107" s="2"/>
      <c r="Z107" s="7">
        <f t="shared" si="80"/>
        <v>-1</v>
      </c>
    </row>
    <row r="108" spans="1:26" s="26" customFormat="1" outlineLevel="1" collapsed="1" x14ac:dyDescent="0.25">
      <c r="A108" s="27"/>
      <c r="B108" s="13" t="str">
        <f>CONCATENATE("     ","Travel                                            ")</f>
        <v xml:space="preserve">     Travel                                            </v>
      </c>
      <c r="C108" s="13"/>
      <c r="D108" s="1">
        <f>SUM(OSRRefD22_14x_0)</f>
        <v>0</v>
      </c>
      <c r="E108" s="1"/>
      <c r="F108" s="5">
        <f t="shared" si="73"/>
        <v>0</v>
      </c>
      <c r="G108" s="1"/>
      <c r="H108" s="1">
        <f>SUM(OSRRefH22_14x_0)</f>
        <v>0</v>
      </c>
      <c r="I108" s="1"/>
      <c r="J108" s="5">
        <f t="shared" si="74"/>
        <v>0</v>
      </c>
      <c r="K108" s="1"/>
      <c r="L108" s="1">
        <f t="shared" si="75"/>
        <v>0</v>
      </c>
      <c r="M108" s="1"/>
      <c r="N108" s="5">
        <f t="shared" si="76"/>
        <v>0</v>
      </c>
      <c r="O108" s="13"/>
      <c r="P108" s="1">
        <f>SUM(OSRRefP22_14x_0)</f>
        <v>0.16</v>
      </c>
      <c r="Q108" s="1"/>
      <c r="R108" s="5">
        <f t="shared" si="77"/>
        <v>1.4785951542148875E-7</v>
      </c>
      <c r="S108" s="1"/>
      <c r="T108" s="1">
        <f>SUM(OSRRefT22_14x_0)</f>
        <v>83.93</v>
      </c>
      <c r="U108" s="1"/>
      <c r="V108" s="5">
        <f t="shared" si="78"/>
        <v>4.2512641255189969E-5</v>
      </c>
      <c r="W108" s="1"/>
      <c r="X108" s="1">
        <f t="shared" si="79"/>
        <v>-83.77000000000001</v>
      </c>
      <c r="Y108" s="1"/>
      <c r="Z108" s="5">
        <f t="shared" si="80"/>
        <v>-0.99809364946979628</v>
      </c>
    </row>
    <row r="109" spans="1:26" s="24" customFormat="1" hidden="1" outlineLevel="2" x14ac:dyDescent="0.25">
      <c r="A109" s="25"/>
      <c r="B109" s="11" t="str">
        <f>CONCATENATE("          ", "6292", " - ", "TRAVEL/CONFERENCE")</f>
        <v xml:space="preserve">          6292 - TRAVEL/CONFERENCE</v>
      </c>
      <c r="C109" s="11"/>
      <c r="D109" s="6"/>
      <c r="E109" s="2"/>
      <c r="F109" s="7">
        <f t="shared" si="73"/>
        <v>0</v>
      </c>
      <c r="G109" s="2"/>
      <c r="H109" s="6"/>
      <c r="I109" s="2"/>
      <c r="J109" s="7">
        <f t="shared" si="74"/>
        <v>0</v>
      </c>
      <c r="K109" s="2"/>
      <c r="L109" s="6">
        <f t="shared" si="75"/>
        <v>0</v>
      </c>
      <c r="M109" s="2"/>
      <c r="N109" s="7">
        <f t="shared" si="76"/>
        <v>0</v>
      </c>
      <c r="O109" s="11"/>
      <c r="P109" s="6">
        <v>0.16</v>
      </c>
      <c r="Q109" s="2"/>
      <c r="R109" s="7">
        <f t="shared" si="77"/>
        <v>1.4785951542148875E-7</v>
      </c>
      <c r="S109" s="2"/>
      <c r="T109" s="6">
        <v>83.93</v>
      </c>
      <c r="U109" s="2"/>
      <c r="V109" s="7">
        <f t="shared" si="78"/>
        <v>4.2512641255189969E-5</v>
      </c>
      <c r="W109" s="2"/>
      <c r="X109" s="6">
        <f t="shared" si="79"/>
        <v>-83.77000000000001</v>
      </c>
      <c r="Y109" s="2"/>
      <c r="Z109" s="7">
        <f t="shared" si="80"/>
        <v>-0.99809364946979628</v>
      </c>
    </row>
    <row r="110" spans="1:26" s="53" customFormat="1" x14ac:dyDescent="0.25">
      <c r="A110" s="37"/>
      <c r="B110" s="37"/>
      <c r="C110" s="37"/>
      <c r="D110" s="1"/>
      <c r="E110" s="1"/>
      <c r="F110" s="5"/>
      <c r="G110" s="1"/>
      <c r="H110" s="1"/>
      <c r="I110" s="1"/>
      <c r="J110" s="5"/>
      <c r="K110" s="1"/>
      <c r="L110" s="1"/>
      <c r="M110" s="1"/>
      <c r="N110" s="5"/>
      <c r="O110" s="37"/>
      <c r="P110" s="1"/>
      <c r="Q110" s="1"/>
      <c r="R110" s="5"/>
      <c r="S110" s="1"/>
      <c r="T110" s="1"/>
      <c r="U110" s="1"/>
      <c r="V110" s="5"/>
      <c r="W110" s="1"/>
      <c r="X110" s="1"/>
      <c r="Y110" s="1"/>
      <c r="Z110" s="5"/>
    </row>
    <row r="111" spans="1:26" s="23" customFormat="1" collapsed="1" x14ac:dyDescent="0.25">
      <c r="A111" s="10"/>
      <c r="B111" s="29" t="s">
        <v>0</v>
      </c>
      <c r="C111" s="10"/>
      <c r="D111" s="4">
        <f>SUM(OSRRefD25x_0)</f>
        <v>917.38</v>
      </c>
      <c r="E111" s="4"/>
      <c r="F111" s="12">
        <f t="shared" ref="F111:F114" si="81">IF(D$12=0,0,D111/D$12)</f>
        <v>0.14239149667994283</v>
      </c>
      <c r="G111" s="4"/>
      <c r="H111" s="4">
        <f>SUM(OSRRefH25x_0)</f>
        <v>197.54</v>
      </c>
      <c r="I111" s="4"/>
      <c r="J111" s="12">
        <f t="shared" ref="J111:J114" si="82">IF(H$12=0,0,H111/H$12)</f>
        <v>1.504887800002438E-2</v>
      </c>
      <c r="K111" s="4"/>
      <c r="L111" s="4">
        <f t="shared" ref="L111:L114" si="83">+D111-H111</f>
        <v>719.84</v>
      </c>
      <c r="M111" s="4"/>
      <c r="N111" s="12">
        <f t="shared" ref="N111:N114" si="84">IF(H111=0,0,L111/H111)</f>
        <v>3.6440214640072899</v>
      </c>
      <c r="O111" s="10"/>
      <c r="P111" s="4">
        <f>SUM(OSRRefP25x_0)</f>
        <v>162085.57000000004</v>
      </c>
      <c r="Q111" s="4"/>
      <c r="R111" s="12">
        <f t="shared" ref="R111:R114" si="85">IF(P$12=0,0,P111/P$12)</f>
        <v>0.14978683648134875</v>
      </c>
      <c r="S111" s="4"/>
      <c r="T111" s="4">
        <f>SUM(OSRRefT25x_0)</f>
        <v>142441.94</v>
      </c>
      <c r="U111" s="4"/>
      <c r="V111" s="12">
        <f t="shared" ref="V111:V114" si="86">IF(T$12=0,0,T111/T$12)</f>
        <v>7.2150400273004817E-2</v>
      </c>
      <c r="W111" s="4"/>
      <c r="X111" s="4">
        <f t="shared" ref="X111:X114" si="87">+P111-T111</f>
        <v>19643.630000000034</v>
      </c>
      <c r="Y111" s="4"/>
      <c r="Z111" s="12">
        <f t="shared" ref="Z111:Z114" si="88">IF(T111=0,0,X111/T111)</f>
        <v>0.13790622340583142</v>
      </c>
    </row>
    <row r="112" spans="1:26" s="24" customFormat="1" hidden="1" outlineLevel="1" x14ac:dyDescent="0.25">
      <c r="A112" s="44"/>
      <c r="B112" s="11" t="str">
        <f>CONCATENATE("          ", "9150", " - ", "MISC. INCOME")</f>
        <v xml:space="preserve">          9150 - MISC. INCOME</v>
      </c>
      <c r="C112" s="11"/>
      <c r="D112" s="2">
        <f>--662.17</f>
        <v>662.17</v>
      </c>
      <c r="E112" s="2"/>
      <c r="F112" s="19">
        <f t="shared" si="81"/>
        <v>0.10277897638553024</v>
      </c>
      <c r="G112" s="2"/>
      <c r="H112" s="2">
        <f>--43.32</f>
        <v>43.32</v>
      </c>
      <c r="I112" s="2"/>
      <c r="J112" s="19">
        <f t="shared" si="82"/>
        <v>3.300179178703332E-3</v>
      </c>
      <c r="K112" s="2"/>
      <c r="L112" s="2">
        <f t="shared" si="83"/>
        <v>618.84999999999991</v>
      </c>
      <c r="M112" s="2"/>
      <c r="N112" s="19">
        <f t="shared" si="84"/>
        <v>14.285549399815325</v>
      </c>
      <c r="O112" s="11"/>
      <c r="P112" s="2">
        <f>--12193.95</f>
        <v>12193.95</v>
      </c>
      <c r="Q112" s="2"/>
      <c r="R112" s="19">
        <f t="shared" si="85"/>
        <v>1.1268697112961641E-2</v>
      </c>
      <c r="S112" s="2"/>
      <c r="T112" s="2">
        <f>--53917.42</f>
        <v>53917.42</v>
      </c>
      <c r="U112" s="2"/>
      <c r="V112" s="19">
        <f t="shared" si="86"/>
        <v>2.7310519884015304E-2</v>
      </c>
      <c r="W112" s="2"/>
      <c r="X112" s="2">
        <f t="shared" si="87"/>
        <v>-41723.47</v>
      </c>
      <c r="Y112" s="2"/>
      <c r="Z112" s="19">
        <f t="shared" si="88"/>
        <v>-0.77384025422581426</v>
      </c>
    </row>
    <row r="113" spans="1:26" s="24" customFormat="1" hidden="1" outlineLevel="1" x14ac:dyDescent="0.25">
      <c r="A113" s="44"/>
      <c r="B113" s="11" t="str">
        <f>CONCATENATE("          ", "9151", " - ", "MISC. INCOME")</f>
        <v xml:space="preserve">          9151 - MISC. INCOME</v>
      </c>
      <c r="C113" s="11"/>
      <c r="D113" s="2">
        <f>0</f>
        <v>0</v>
      </c>
      <c r="E113" s="2"/>
      <c r="F113" s="19">
        <f t="shared" si="81"/>
        <v>0</v>
      </c>
      <c r="G113" s="2"/>
      <c r="H113" s="2">
        <f>0</f>
        <v>0</v>
      </c>
      <c r="I113" s="2"/>
      <c r="J113" s="19">
        <f t="shared" si="82"/>
        <v>0</v>
      </c>
      <c r="K113" s="2"/>
      <c r="L113" s="2">
        <f t="shared" si="83"/>
        <v>0</v>
      </c>
      <c r="M113" s="2"/>
      <c r="N113" s="19">
        <f t="shared" si="84"/>
        <v>0</v>
      </c>
      <c r="O113" s="11"/>
      <c r="P113" s="2">
        <f>--147285.39</f>
        <v>147285.39000000001</v>
      </c>
      <c r="Q113" s="2"/>
      <c r="R113" s="19">
        <f t="shared" si="85"/>
        <v>0.13610966496290616</v>
      </c>
      <c r="S113" s="2"/>
      <c r="T113" s="2">
        <f>--87676.2</f>
        <v>87676.2</v>
      </c>
      <c r="U113" s="2"/>
      <c r="V113" s="19">
        <f t="shared" si="86"/>
        <v>4.4410185121151989E-2</v>
      </c>
      <c r="W113" s="2"/>
      <c r="X113" s="2">
        <f t="shared" si="87"/>
        <v>59609.190000000017</v>
      </c>
      <c r="Y113" s="2"/>
      <c r="Z113" s="19">
        <f t="shared" si="88"/>
        <v>0.67987880405400802</v>
      </c>
    </row>
    <row r="114" spans="1:26" s="24" customFormat="1" hidden="1" outlineLevel="1" x14ac:dyDescent="0.25">
      <c r="A114" s="44"/>
      <c r="B114" s="11" t="str">
        <f>CONCATENATE("          ", "9152", " - ", "MISC. INCOME")</f>
        <v xml:space="preserve">          9152 - MISC. INCOME</v>
      </c>
      <c r="C114" s="11"/>
      <c r="D114" s="2">
        <f>--255.21</f>
        <v>255.21</v>
      </c>
      <c r="E114" s="2"/>
      <c r="F114" s="19">
        <f t="shared" si="81"/>
        <v>3.9612520294412576E-2</v>
      </c>
      <c r="G114" s="2"/>
      <c r="H114" s="2">
        <f>--154.22</f>
        <v>154.22</v>
      </c>
      <c r="I114" s="2"/>
      <c r="J114" s="19">
        <f t="shared" si="82"/>
        <v>1.1748698821321049E-2</v>
      </c>
      <c r="K114" s="2"/>
      <c r="L114" s="2">
        <f t="shared" si="83"/>
        <v>100.99000000000001</v>
      </c>
      <c r="M114" s="2"/>
      <c r="N114" s="19">
        <f t="shared" si="84"/>
        <v>0.65484372973673977</v>
      </c>
      <c r="O114" s="11"/>
      <c r="P114" s="2">
        <f>--2606.23</f>
        <v>2606.23</v>
      </c>
      <c r="Q114" s="2"/>
      <c r="R114" s="19">
        <f t="shared" si="85"/>
        <v>2.4084744054809161E-3</v>
      </c>
      <c r="S114" s="2"/>
      <c r="T114" s="2">
        <f>--848.32</f>
        <v>848.32</v>
      </c>
      <c r="U114" s="2"/>
      <c r="V114" s="19">
        <f t="shared" si="86"/>
        <v>4.2969526783751645E-4</v>
      </c>
      <c r="W114" s="2"/>
      <c r="X114" s="2">
        <f t="shared" si="87"/>
        <v>1757.9099999999999</v>
      </c>
      <c r="Y114" s="2"/>
      <c r="Z114" s="19">
        <f t="shared" si="88"/>
        <v>2.0722251037344397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10"/>
      <c r="B116" s="28" t="s">
        <v>3</v>
      </c>
      <c r="C116" s="28"/>
      <c r="D116" s="20">
        <f>+D58-D60+D111</f>
        <v>-42002.010000000053</v>
      </c>
      <c r="E116" s="14"/>
      <c r="F116" s="22">
        <f>IF(D$12=0,0,D116/D$12)</f>
        <v>-6.5193584637401436</v>
      </c>
      <c r="G116" s="14"/>
      <c r="H116" s="20">
        <f>+H58-H60+H111</f>
        <v>-55778.010000000046</v>
      </c>
      <c r="I116" s="14"/>
      <c r="J116" s="22">
        <f>IF(H$12=0,0,H116/H$12)</f>
        <v>-4.2492480893699538</v>
      </c>
      <c r="K116" s="15"/>
      <c r="L116" s="20">
        <f>+D116-H116</f>
        <v>13775.999999999993</v>
      </c>
      <c r="M116" s="15"/>
      <c r="N116" s="22">
        <f>IF(H116=0,0,L116/H116)</f>
        <v>-0.2469790514218772</v>
      </c>
      <c r="O116" s="29"/>
      <c r="P116" s="20">
        <f>+P58-P60+P111</f>
        <v>262183.43999999989</v>
      </c>
      <c r="Q116" s="14"/>
      <c r="R116" s="22">
        <f>IF(P$12=0,0,P116/P$12)</f>
        <v>0.24228947743711843</v>
      </c>
      <c r="S116" s="14"/>
      <c r="T116" s="20">
        <f>+T58-T60+T111</f>
        <v>468667.58999999973</v>
      </c>
      <c r="U116" s="14"/>
      <c r="V116" s="22">
        <f>IF(T$12=0,0,T116/T$12)</f>
        <v>0.23739183988567192</v>
      </c>
      <c r="W116" s="15"/>
      <c r="X116" s="20">
        <f>+P116-T116</f>
        <v>-206484.14999999985</v>
      </c>
      <c r="Y116" s="15"/>
      <c r="Z116" s="22">
        <f>IF(T116=0,0,X116/T116)</f>
        <v>-0.4405769769571648</v>
      </c>
    </row>
    <row r="117" spans="1:26" x14ac:dyDescent="0.25">
      <c r="A117" s="9"/>
      <c r="B117" s="10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51"/>
      <c r="B118" s="10" t="s">
        <v>13</v>
      </c>
      <c r="C118" s="10"/>
      <c r="D118" s="4">
        <v>-61065.31</v>
      </c>
      <c r="E118" s="4"/>
      <c r="F118" s="12">
        <f>IF(D$12=0,0,D118/D$12)</f>
        <v>-9.4782760536796946</v>
      </c>
      <c r="G118" s="4"/>
      <c r="H118" s="4">
        <v>11647.96</v>
      </c>
      <c r="I118" s="4"/>
      <c r="J118" s="12">
        <f>IF(H$12=0,0,H118/H$12)</f>
        <v>0.88735815019319619</v>
      </c>
      <c r="K118" s="4"/>
      <c r="L118" s="4">
        <f>+D118-H118</f>
        <v>-72713.26999999999</v>
      </c>
      <c r="M118" s="4"/>
      <c r="N118" s="12">
        <f>IF(H118=0,0,L118/H118)</f>
        <v>-6.2425755239544092</v>
      </c>
      <c r="O118" s="10"/>
      <c r="P118" s="4">
        <v>171947.02</v>
      </c>
      <c r="Q118" s="4"/>
      <c r="R118" s="12">
        <f>IF(P$12=0,0,P118/P$12)</f>
        <v>0.15890001909605644</v>
      </c>
      <c r="S118" s="4"/>
      <c r="T118" s="4">
        <v>209058.27000000002</v>
      </c>
      <c r="U118" s="4"/>
      <c r="V118" s="12">
        <f>IF(T$12=0,0,T118/T$12)</f>
        <v>0.10589323524294822</v>
      </c>
      <c r="W118" s="4"/>
      <c r="X118" s="4">
        <f>+P118-T118</f>
        <v>-37111.250000000029</v>
      </c>
      <c r="Y118" s="4"/>
      <c r="Z118" s="12">
        <f>IF(T118=0,0,X118/T118)</f>
        <v>-0.17751629725052268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ht="15.75" thickBot="1" x14ac:dyDescent="0.3">
      <c r="A120" s="10"/>
      <c r="B120" s="28" t="s">
        <v>4</v>
      </c>
      <c r="C120" s="28"/>
      <c r="D120" s="31">
        <f>+D116-D118</f>
        <v>19063.299999999945</v>
      </c>
      <c r="E120" s="14"/>
      <c r="F120" s="34">
        <f>IF(D$12=0,0,D120/D$12)</f>
        <v>2.9589175899395519</v>
      </c>
      <c r="G120" s="14"/>
      <c r="H120" s="31">
        <f>+H116-H118</f>
        <v>-67425.970000000045</v>
      </c>
      <c r="I120" s="14"/>
      <c r="J120" s="34">
        <f>IF(H$12=0,0,H120/H$12)</f>
        <v>-5.1366062395631493</v>
      </c>
      <c r="K120" s="15"/>
      <c r="L120" s="31">
        <f>D120-H120</f>
        <v>86489.26999999999</v>
      </c>
      <c r="M120" s="15"/>
      <c r="N120" s="34">
        <f>IF(H120=0,0,L120/H120)</f>
        <v>-1.2827293400450885</v>
      </c>
      <c r="O120" s="29"/>
      <c r="P120" s="31">
        <f>+P116-P118</f>
        <v>90236.419999999896</v>
      </c>
      <c r="Q120" s="14"/>
      <c r="R120" s="34">
        <f>IF(P$12=0,0,P120/P$12)</f>
        <v>8.3389458341061998E-2</v>
      </c>
      <c r="S120" s="14"/>
      <c r="T120" s="31">
        <f>+T116-T118</f>
        <v>259609.31999999972</v>
      </c>
      <c r="U120" s="14"/>
      <c r="V120" s="34">
        <f>IF(T$12=0,0,T120/T$12)</f>
        <v>0.13149860464272373</v>
      </c>
      <c r="W120" s="15"/>
      <c r="X120" s="31">
        <f>P120-T120</f>
        <v>-169372.89999999982</v>
      </c>
      <c r="Y120" s="15"/>
      <c r="Z120" s="34">
        <f>IF(T120=0,0,X120/T120)</f>
        <v>-0.65241455892261502</v>
      </c>
    </row>
    <row r="121" spans="1:26" ht="15.75" thickTop="1" x14ac:dyDescent="0.25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x14ac:dyDescent="0.25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.75" thickBot="1" x14ac:dyDescent="0.3">
      <c r="A123" s="10"/>
      <c r="B123" s="28" t="s">
        <v>5</v>
      </c>
      <c r="C123" s="28"/>
      <c r="D123" s="32">
        <f>SUM(D120:D122)</f>
        <v>19063.299999999945</v>
      </c>
      <c r="E123" s="14"/>
      <c r="F123" s="30">
        <f>IF(D$12=0,0,D123/D$12)</f>
        <v>2.9589175899395519</v>
      </c>
      <c r="G123" s="14"/>
      <c r="H123" s="32">
        <f>SUM(H120:H122)</f>
        <v>-67425.970000000045</v>
      </c>
      <c r="I123" s="14"/>
      <c r="J123" s="30">
        <f>IF(H$12=0,0,H123/H$12)</f>
        <v>-5.1366062395631493</v>
      </c>
      <c r="K123" s="15"/>
      <c r="L123" s="32">
        <f>+D123-H123</f>
        <v>86489.26999999999</v>
      </c>
      <c r="M123" s="15"/>
      <c r="N123" s="30">
        <f>IF(H123=0,0,L123/H123)</f>
        <v>-1.2827293400450885</v>
      </c>
      <c r="O123" s="29"/>
      <c r="P123" s="32">
        <f>SUM(P120:P122)</f>
        <v>90236.419999999896</v>
      </c>
      <c r="Q123" s="14"/>
      <c r="R123" s="30">
        <f>IF(P$12=0,0,P123/P$12)</f>
        <v>8.3389458341061998E-2</v>
      </c>
      <c r="S123" s="14"/>
      <c r="T123" s="32">
        <f>SUM(T120:T122)</f>
        <v>259609.31999999972</v>
      </c>
      <c r="U123" s="14"/>
      <c r="V123" s="30">
        <f>IF(T$12=0,0,T123/T$12)</f>
        <v>0.13149860464272373</v>
      </c>
      <c r="W123" s="15"/>
      <c r="X123" s="32">
        <f>+P123-T123</f>
        <v>-169372.89999999982</v>
      </c>
      <c r="Y123" s="15"/>
      <c r="Z123" s="30">
        <f>IF(T123=0,0,X123/T123)</f>
        <v>-0.65241455892261502</v>
      </c>
    </row>
    <row r="124" spans="1:26" ht="15.75" thickTop="1" x14ac:dyDescent="0.25">
      <c r="A124" s="9"/>
      <c r="C124" s="9"/>
      <c r="D124" s="17"/>
      <c r="E124" s="17"/>
      <c r="G124" s="17"/>
      <c r="H124" s="17"/>
      <c r="I124" s="17"/>
      <c r="J124" s="43"/>
      <c r="K124" s="17"/>
      <c r="L124" s="17"/>
      <c r="M124" s="17"/>
      <c r="P124" s="17"/>
      <c r="Q124" s="17"/>
      <c r="R124" s="43"/>
      <c r="S124" s="17"/>
      <c r="T124" s="17"/>
      <c r="U124" s="17"/>
      <c r="V124" s="43"/>
      <c r="W124" s="17"/>
      <c r="X124" s="17"/>
    </row>
    <row r="125" spans="1:26" x14ac:dyDescent="0.25">
      <c r="A125" s="9"/>
      <c r="B125" s="54">
        <v>44174.68558568287</v>
      </c>
      <c r="D125" s="17"/>
      <c r="E125" s="17"/>
      <c r="G125" s="17"/>
      <c r="H125" s="17"/>
      <c r="I125" s="17"/>
      <c r="J125" s="43"/>
      <c r="K125" s="17"/>
      <c r="L125" s="17"/>
      <c r="M125" s="17"/>
      <c r="P125" s="17"/>
      <c r="Q125" s="17"/>
      <c r="R125" s="43"/>
      <c r="S125" s="17"/>
      <c r="T125" s="17"/>
      <c r="U125" s="17"/>
      <c r="V125" s="43"/>
      <c r="W125" s="17"/>
      <c r="X125" s="17"/>
    </row>
    <row r="126" spans="1:26" x14ac:dyDescent="0.25">
      <c r="A126" s="9"/>
      <c r="B126" s="56" t="s">
        <v>313</v>
      </c>
      <c r="D126" s="17"/>
      <c r="E126" s="17"/>
      <c r="G126" s="17"/>
      <c r="H126" s="17"/>
      <c r="I126" s="17"/>
      <c r="J126" s="43"/>
      <c r="K126" s="17"/>
      <c r="L126" s="17"/>
      <c r="M126" s="17"/>
      <c r="P126" s="17"/>
      <c r="Q126" s="17"/>
      <c r="R126" s="43"/>
      <c r="S126" s="17"/>
      <c r="T126" s="17"/>
      <c r="U126" s="17"/>
      <c r="V126" s="43"/>
      <c r="W126" s="17"/>
      <c r="X126" s="17"/>
    </row>
    <row r="127" spans="1:26" x14ac:dyDescent="0.25">
      <c r="A127" s="9"/>
      <c r="B127" s="61"/>
      <c r="D127" s="17"/>
      <c r="E127" s="17"/>
      <c r="G127" s="17"/>
      <c r="H127" s="17"/>
      <c r="I127" s="17"/>
      <c r="J127" s="43"/>
      <c r="K127" s="17"/>
      <c r="L127" s="17"/>
      <c r="M127" s="17"/>
      <c r="P127" s="17"/>
      <c r="Q127" s="17"/>
      <c r="R127" s="43"/>
      <c r="S127" s="17"/>
      <c r="T127" s="17"/>
      <c r="U127" s="17"/>
      <c r="V127" s="43"/>
      <c r="W127" s="17"/>
      <c r="X127" s="17"/>
    </row>
    <row r="128" spans="1:26" x14ac:dyDescent="0.25">
      <c r="D128" s="17"/>
      <c r="E128" s="17"/>
      <c r="G128" s="17"/>
      <c r="H128" s="17"/>
      <c r="I128" s="17"/>
      <c r="J128" s="43"/>
      <c r="K128" s="17"/>
      <c r="L128" s="17"/>
      <c r="M128" s="17"/>
      <c r="P128" s="17"/>
      <c r="Q128" s="17"/>
      <c r="R128" s="43"/>
      <c r="S128" s="17"/>
      <c r="T128" s="17"/>
      <c r="U128" s="17"/>
      <c r="V128" s="43"/>
      <c r="W128" s="17"/>
      <c r="X128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","324", " - ", "Textbook Rental")</f>
        <v>Department 324 - Textbook Rental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2081.4899999999998</v>
      </c>
      <c r="E12" s="4"/>
      <c r="F12" s="12"/>
      <c r="G12" s="4"/>
      <c r="H12" s="4">
        <f>SUM(OSRRefH13x_0)</f>
        <v>1533.3899999999999</v>
      </c>
      <c r="I12" s="4"/>
      <c r="J12" s="12"/>
      <c r="K12" s="4"/>
      <c r="L12" s="4">
        <f t="shared" ref="L12:L15" si="0">+D12-H12</f>
        <v>548.09999999999991</v>
      </c>
      <c r="M12" s="4"/>
      <c r="N12" s="12">
        <f t="shared" ref="N12:N15" si="1">IF(H12=0,0,L12/H12)</f>
        <v>0.35744331187760447</v>
      </c>
      <c r="O12" s="10"/>
      <c r="P12" s="4">
        <f>SUM(OSRRefP13x_0)</f>
        <v>472121.94000000006</v>
      </c>
      <c r="Q12" s="4"/>
      <c r="R12" s="12"/>
      <c r="S12" s="4"/>
      <c r="T12" s="4">
        <f>SUM(OSRRefT13x_0)</f>
        <v>902819.08000000007</v>
      </c>
      <c r="U12" s="4"/>
      <c r="V12" s="12"/>
      <c r="W12" s="4"/>
      <c r="X12" s="4">
        <f t="shared" ref="X12:X15" si="2">+P12-T12</f>
        <v>-430697.14</v>
      </c>
      <c r="Y12" s="4"/>
      <c r="Z12" s="12">
        <f t="shared" ref="Z12:Z15" si="3">IF(T12=0,0,X12/T12)</f>
        <v>-0.47705808344236583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--481.05</f>
        <v>481.05</v>
      </c>
      <c r="E13" s="2"/>
      <c r="F13" s="19"/>
      <c r="G13" s="2"/>
      <c r="H13" s="2">
        <f>--648.4</f>
        <v>648.4</v>
      </c>
      <c r="I13" s="2"/>
      <c r="J13" s="19"/>
      <c r="K13" s="2"/>
      <c r="L13" s="2">
        <f t="shared" si="0"/>
        <v>-167.34999999999997</v>
      </c>
      <c r="M13" s="2"/>
      <c r="N13" s="19">
        <f t="shared" si="1"/>
        <v>-0.25809685379395431</v>
      </c>
      <c r="O13" s="11"/>
      <c r="P13" s="2">
        <f>--172710.01</f>
        <v>172710.01</v>
      </c>
      <c r="Q13" s="2"/>
      <c r="R13" s="19"/>
      <c r="S13" s="2"/>
      <c r="T13" s="2">
        <f>--257018.71</f>
        <v>257018.71</v>
      </c>
      <c r="U13" s="2"/>
      <c r="V13" s="19"/>
      <c r="W13" s="2"/>
      <c r="X13" s="2">
        <f t="shared" si="2"/>
        <v>-84308.699999999983</v>
      </c>
      <c r="Y13" s="2"/>
      <c r="Z13" s="19">
        <f t="shared" si="3"/>
        <v>-0.32802553557287711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--266.83</f>
        <v>266.83</v>
      </c>
      <c r="E14" s="2"/>
      <c r="F14" s="19"/>
      <c r="G14" s="2"/>
      <c r="H14" s="2">
        <f>--426.1</f>
        <v>426.1</v>
      </c>
      <c r="I14" s="2"/>
      <c r="J14" s="19"/>
      <c r="K14" s="2"/>
      <c r="L14" s="2">
        <f t="shared" si="0"/>
        <v>-159.27000000000004</v>
      </c>
      <c r="M14" s="2"/>
      <c r="N14" s="19">
        <f t="shared" si="1"/>
        <v>-0.37378549636235631</v>
      </c>
      <c r="O14" s="11"/>
      <c r="P14" s="2">
        <f>--133598.51</f>
        <v>133598.51</v>
      </c>
      <c r="Q14" s="2"/>
      <c r="R14" s="19"/>
      <c r="S14" s="2"/>
      <c r="T14" s="2">
        <f>--309959.81</f>
        <v>309959.81</v>
      </c>
      <c r="U14" s="2"/>
      <c r="V14" s="19"/>
      <c r="W14" s="2"/>
      <c r="X14" s="2">
        <f t="shared" si="2"/>
        <v>-176361.3</v>
      </c>
      <c r="Y14" s="2"/>
      <c r="Z14" s="19">
        <f t="shared" si="3"/>
        <v>-0.56898118501234074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--1333.61</f>
        <v>1333.61</v>
      </c>
      <c r="E15" s="2"/>
      <c r="F15" s="19"/>
      <c r="G15" s="2"/>
      <c r="H15" s="2">
        <f>--458.89</f>
        <v>458.89</v>
      </c>
      <c r="I15" s="2"/>
      <c r="J15" s="19"/>
      <c r="K15" s="2"/>
      <c r="L15" s="2">
        <f t="shared" si="0"/>
        <v>874.71999999999991</v>
      </c>
      <c r="M15" s="2"/>
      <c r="N15" s="19">
        <f t="shared" si="1"/>
        <v>1.9061648761141012</v>
      </c>
      <c r="O15" s="11"/>
      <c r="P15" s="2">
        <f>--165813.42</f>
        <v>165813.42000000001</v>
      </c>
      <c r="Q15" s="2"/>
      <c r="R15" s="19"/>
      <c r="S15" s="2"/>
      <c r="T15" s="2">
        <f>--335840.56</f>
        <v>335840.56</v>
      </c>
      <c r="U15" s="2"/>
      <c r="V15" s="19"/>
      <c r="W15" s="2"/>
      <c r="X15" s="2">
        <f t="shared" si="2"/>
        <v>-170027.13999999998</v>
      </c>
      <c r="Y15" s="2"/>
      <c r="Z15" s="19">
        <f t="shared" si="3"/>
        <v>-0.50627339354126843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375.49</v>
      </c>
      <c r="E17" s="4"/>
      <c r="F17" s="12">
        <f t="shared" ref="F17:F19" si="4">IF(D$12=0,0,D17/D$12)</f>
        <v>0.18039481333083515</v>
      </c>
      <c r="G17" s="4"/>
      <c r="H17" s="4">
        <f>SUM(OSRRefH16x_0)</f>
        <v>567.09</v>
      </c>
      <c r="I17" s="4"/>
      <c r="J17" s="12">
        <f t="shared" ref="J17:J19" si="5">IF(H$12=0,0,H17/H$12)</f>
        <v>0.36982763680472686</v>
      </c>
      <c r="K17" s="4"/>
      <c r="L17" s="4">
        <f t="shared" ref="L17:L19" si="6">+D17-H17</f>
        <v>-191.60000000000002</v>
      </c>
      <c r="M17" s="4"/>
      <c r="N17" s="12">
        <f t="shared" ref="N17:N19" si="7">IF(H17=0,0,L17/H17)</f>
        <v>-0.33786524184873656</v>
      </c>
      <c r="O17" s="10"/>
      <c r="P17" s="4">
        <f>SUM(OSRRefP16x_0)</f>
        <v>344161.82999999996</v>
      </c>
      <c r="Q17" s="4"/>
      <c r="R17" s="12">
        <f t="shared" ref="R17:R19" si="8">IF(P$12=0,0,P17/P$12)</f>
        <v>0.72896809243815253</v>
      </c>
      <c r="S17" s="4"/>
      <c r="T17" s="4">
        <f>SUM(OSRRefT16x_0)</f>
        <v>683340.3600000001</v>
      </c>
      <c r="U17" s="4"/>
      <c r="V17" s="12">
        <f t="shared" ref="V17:V19" si="9">IF(T$12=0,0,T17/T$12)</f>
        <v>0.75689623218862412</v>
      </c>
      <c r="W17" s="4"/>
      <c r="X17" s="4">
        <f t="shared" ref="X17:X19" si="10">+P17-T17</f>
        <v>-339178.53000000014</v>
      </c>
      <c r="Y17" s="4"/>
      <c r="Z17" s="12">
        <f t="shared" ref="Z17:Z19" si="11">IF(T17=0,0,X17/T17)</f>
        <v>-0.49635372042125553</v>
      </c>
    </row>
    <row r="18" spans="1:26" s="24" customFormat="1" hidden="1" outlineLevel="1" x14ac:dyDescent="0.25">
      <c r="A18" s="44"/>
      <c r="B18" s="11" t="str">
        <f>CONCATENATE("          ", "5001", " - ", "PURCHASES @ COST-NEW TEXT")</f>
        <v xml:space="preserve">          5001 - PURCHASES @ COST-NEW TEXT</v>
      </c>
      <c r="C18" s="11"/>
      <c r="D18" s="2">
        <v>-71.819999999999993</v>
      </c>
      <c r="E18" s="2"/>
      <c r="F18" s="19">
        <f t="shared" si="4"/>
        <v>-3.4504129253563554E-2</v>
      </c>
      <c r="G18" s="2"/>
      <c r="H18" s="2">
        <v>768.59</v>
      </c>
      <c r="I18" s="2"/>
      <c r="J18" s="19">
        <f t="shared" si="5"/>
        <v>0.50123582389346488</v>
      </c>
      <c r="K18" s="2"/>
      <c r="L18" s="2">
        <f t="shared" si="6"/>
        <v>-840.41000000000008</v>
      </c>
      <c r="M18" s="2"/>
      <c r="N18" s="19">
        <f t="shared" si="7"/>
        <v>-1.0934438387176519</v>
      </c>
      <c r="O18" s="11"/>
      <c r="P18" s="2">
        <v>204380.03999999998</v>
      </c>
      <c r="Q18" s="2"/>
      <c r="R18" s="19">
        <f t="shared" si="8"/>
        <v>0.43289672155460507</v>
      </c>
      <c r="S18" s="2"/>
      <c r="T18" s="2">
        <v>309068.86000000004</v>
      </c>
      <c r="U18" s="2"/>
      <c r="V18" s="19">
        <f t="shared" si="9"/>
        <v>0.34233753677425605</v>
      </c>
      <c r="W18" s="2"/>
      <c r="X18" s="2">
        <f t="shared" si="10"/>
        <v>-104688.82000000007</v>
      </c>
      <c r="Y18" s="2"/>
      <c r="Z18" s="19">
        <f t="shared" si="11"/>
        <v>-0.33872328645467564</v>
      </c>
    </row>
    <row r="19" spans="1:26" s="24" customFormat="1" hidden="1" outlineLevel="1" x14ac:dyDescent="0.25">
      <c r="A19" s="44"/>
      <c r="B19" s="11" t="str">
        <f>CONCATENATE("          ", "5002", " - ", "PURCHASES @ COST-USED TEXT")</f>
        <v xml:space="preserve">          5002 - PURCHASES @ COST-USED TEXT</v>
      </c>
      <c r="C19" s="11"/>
      <c r="D19" s="2">
        <v>447.31</v>
      </c>
      <c r="E19" s="2"/>
      <c r="F19" s="19">
        <f t="shared" si="4"/>
        <v>0.21489894258439871</v>
      </c>
      <c r="G19" s="2"/>
      <c r="H19" s="2">
        <v>-201.5</v>
      </c>
      <c r="I19" s="2"/>
      <c r="J19" s="19">
        <f t="shared" si="5"/>
        <v>-0.13140818708873803</v>
      </c>
      <c r="K19" s="2"/>
      <c r="L19" s="2">
        <f t="shared" si="6"/>
        <v>648.80999999999995</v>
      </c>
      <c r="M19" s="2"/>
      <c r="N19" s="19">
        <f t="shared" si="7"/>
        <v>-3.219900744416873</v>
      </c>
      <c r="O19" s="11"/>
      <c r="P19" s="2">
        <v>139781.79</v>
      </c>
      <c r="Q19" s="2"/>
      <c r="R19" s="19">
        <f t="shared" si="8"/>
        <v>0.29607137088354757</v>
      </c>
      <c r="S19" s="2"/>
      <c r="T19" s="2">
        <v>374271.5</v>
      </c>
      <c r="U19" s="2"/>
      <c r="V19" s="19">
        <f t="shared" si="9"/>
        <v>0.41455869541436802</v>
      </c>
      <c r="W19" s="2"/>
      <c r="X19" s="2">
        <f t="shared" si="10"/>
        <v>-234489.71</v>
      </c>
      <c r="Y19" s="2"/>
      <c r="Z19" s="19">
        <f t="shared" si="11"/>
        <v>-0.62652301871769556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0">
        <f>D12-D17</f>
        <v>1705.9999999999998</v>
      </c>
      <c r="E21" s="14"/>
      <c r="F21" s="22">
        <f>IF(D$12=0,0,D21/D$12)</f>
        <v>0.81960518666916482</v>
      </c>
      <c r="G21" s="14"/>
      <c r="H21" s="20">
        <f>H12-H17</f>
        <v>966.29999999999984</v>
      </c>
      <c r="I21" s="14"/>
      <c r="J21" s="22">
        <f>IF(H$12=0,0,H21/H$12)</f>
        <v>0.63017236319527314</v>
      </c>
      <c r="K21" s="15"/>
      <c r="L21" s="20">
        <f>+D21-H21</f>
        <v>739.69999999999993</v>
      </c>
      <c r="M21" s="15"/>
      <c r="N21" s="22">
        <f>IF(H21=0,0,L21/H21)</f>
        <v>0.76549725758046161</v>
      </c>
      <c r="O21" s="29"/>
      <c r="P21" s="20">
        <f>P12-P17</f>
        <v>127960.1100000001</v>
      </c>
      <c r="Q21" s="14"/>
      <c r="R21" s="22">
        <f>IF(P$12=0,0,P21/P$12)</f>
        <v>0.27103190756184742</v>
      </c>
      <c r="S21" s="14"/>
      <c r="T21" s="20">
        <f>T12-T17</f>
        <v>219478.71999999997</v>
      </c>
      <c r="U21" s="14"/>
      <c r="V21" s="22">
        <f>IF(T$12=0,0,T21/T$12)</f>
        <v>0.24310376781137585</v>
      </c>
      <c r="W21" s="15"/>
      <c r="X21" s="20">
        <f>+P21-T21</f>
        <v>-91518.60999999987</v>
      </c>
      <c r="Y21" s="15"/>
      <c r="Z21" s="22">
        <f>IF(T21=0,0,X21/T21)</f>
        <v>-0.41698170100499893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1">
        <f>SUM(0)</f>
        <v>0</v>
      </c>
      <c r="E23" s="21"/>
      <c r="F23" s="35">
        <f>IF(D$12=0,0,D23/D$12)</f>
        <v>0</v>
      </c>
      <c r="G23" s="21"/>
      <c r="H23" s="21">
        <f>SUM(0)</f>
        <v>0</v>
      </c>
      <c r="I23" s="21"/>
      <c r="J23" s="35">
        <f>IF(H$12=0,0,H23/H$12)</f>
        <v>0</v>
      </c>
      <c r="K23" s="4"/>
      <c r="L23" s="21">
        <f>+D23-H23</f>
        <v>0</v>
      </c>
      <c r="M23" s="4"/>
      <c r="N23" s="35">
        <f>IF(H23=0,0,L23/H23)</f>
        <v>0</v>
      </c>
      <c r="O23" s="10"/>
      <c r="P23" s="21">
        <f>SUM(0)</f>
        <v>0</v>
      </c>
      <c r="Q23" s="21"/>
      <c r="R23" s="35">
        <f>IF(P$12=0,0,P23/P$12)</f>
        <v>0</v>
      </c>
      <c r="S23" s="21"/>
      <c r="T23" s="21">
        <f>SUM(0)</f>
        <v>0</v>
      </c>
      <c r="U23" s="21"/>
      <c r="V23" s="35">
        <f>IF(T$12=0,0,T23/T$12)</f>
        <v>0</v>
      </c>
      <c r="W23" s="4"/>
      <c r="X23" s="21">
        <f>+P23-T23</f>
        <v>0</v>
      </c>
      <c r="Y23" s="4"/>
      <c r="Z23" s="35">
        <f>IF(T23=0,0,X23/T23)</f>
        <v>0</v>
      </c>
    </row>
    <row r="24" spans="1:26" s="53" customFormat="1" x14ac:dyDescent="0.25">
      <c r="A24" s="37"/>
      <c r="B24" s="37"/>
      <c r="C24" s="37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0</v>
      </c>
      <c r="C25" s="10"/>
      <c r="D25" s="4">
        <f>SUM(0)</f>
        <v>0</v>
      </c>
      <c r="E25" s="4"/>
      <c r="F25" s="12">
        <f>IF(D$12=0,0,D25/D$12)</f>
        <v>0</v>
      </c>
      <c r="G25" s="4"/>
      <c r="H25" s="4">
        <f>SUM(0)</f>
        <v>0</v>
      </c>
      <c r="I25" s="4"/>
      <c r="J25" s="12">
        <f>IF(H$12=0,0,H25/H$12)</f>
        <v>0</v>
      </c>
      <c r="K25" s="4"/>
      <c r="L25" s="4">
        <f>+D25-H25</f>
        <v>0</v>
      </c>
      <c r="M25" s="4"/>
      <c r="N25" s="12">
        <f>IF(H25=0,0,L25/H25)</f>
        <v>0</v>
      </c>
      <c r="O25" s="10"/>
      <c r="P25" s="4">
        <f>SUM(0)</f>
        <v>0</v>
      </c>
      <c r="Q25" s="4"/>
      <c r="R25" s="12">
        <f>IF(P$12=0,0,P25/P$12)</f>
        <v>0</v>
      </c>
      <c r="S25" s="4"/>
      <c r="T25" s="4">
        <f>SUM(0)</f>
        <v>0</v>
      </c>
      <c r="U25" s="4"/>
      <c r="V25" s="12">
        <f>IF(T$12=0,0,T25/T$12)</f>
        <v>0</v>
      </c>
      <c r="W25" s="4"/>
      <c r="X25" s="4">
        <f>+P25-T25</f>
        <v>0</v>
      </c>
      <c r="Y25" s="4"/>
      <c r="Z25" s="12">
        <f>IF(T25=0,0,X25/T25)</f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>
        <f>+D21-D23+D25</f>
        <v>1705.9999999999998</v>
      </c>
      <c r="E27" s="14"/>
      <c r="F27" s="22">
        <f>IF(D$12=0,0,D27/D$12)</f>
        <v>0.81960518666916482</v>
      </c>
      <c r="G27" s="14"/>
      <c r="H27" s="20">
        <f>+H21-H23+H25</f>
        <v>966.29999999999984</v>
      </c>
      <c r="I27" s="14"/>
      <c r="J27" s="22">
        <f>IF(H$12=0,0,H27/H$12)</f>
        <v>0.63017236319527314</v>
      </c>
      <c r="K27" s="15"/>
      <c r="L27" s="20">
        <f>+D27-H27</f>
        <v>739.69999999999993</v>
      </c>
      <c r="M27" s="15"/>
      <c r="N27" s="22">
        <f>IF(H27=0,0,L27/H27)</f>
        <v>0.76549725758046161</v>
      </c>
      <c r="O27" s="29"/>
      <c r="P27" s="20">
        <f>+P21-P23+P25</f>
        <v>127960.1100000001</v>
      </c>
      <c r="Q27" s="14"/>
      <c r="R27" s="22">
        <f>IF(P$12=0,0,P27/P$12)</f>
        <v>0.27103190756184742</v>
      </c>
      <c r="S27" s="14"/>
      <c r="T27" s="20">
        <f>+T21-T23+T25</f>
        <v>219478.71999999997</v>
      </c>
      <c r="U27" s="14"/>
      <c r="V27" s="22">
        <f>IF(T$12=0,0,T27/T$12)</f>
        <v>0.24310376781137585</v>
      </c>
      <c r="W27" s="15"/>
      <c r="X27" s="20">
        <f>+P27-T27</f>
        <v>-91518.60999999987</v>
      </c>
      <c r="Y27" s="15"/>
      <c r="Z27" s="22">
        <f>IF(T27=0,0,X27/T27)</f>
        <v>-0.41698170100499893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>
        <v>-26807.040000000001</v>
      </c>
      <c r="E29" s="4"/>
      <c r="F29" s="12">
        <f>IF(D$12=0,0,D29/D$12)</f>
        <v>-12.878774339535623</v>
      </c>
      <c r="G29" s="4"/>
      <c r="H29" s="4">
        <v>4876.71</v>
      </c>
      <c r="I29" s="4"/>
      <c r="J29" s="12">
        <f>IF(H$12=0,0,H29/H$12)</f>
        <v>3.180345508970321</v>
      </c>
      <c r="K29" s="4"/>
      <c r="L29" s="4">
        <f>+D29-H29</f>
        <v>-31683.75</v>
      </c>
      <c r="M29" s="4"/>
      <c r="N29" s="12">
        <f>IF(H29=0,0,L29/H29)</f>
        <v>-6.4969518384320573</v>
      </c>
      <c r="O29" s="10"/>
      <c r="P29" s="4">
        <v>75013.84</v>
      </c>
      <c r="Q29" s="4"/>
      <c r="R29" s="12">
        <f>IF(P$12=0,0,P29/P$12)</f>
        <v>0.15888657917486315</v>
      </c>
      <c r="S29" s="4"/>
      <c r="T29" s="4">
        <v>95602.43</v>
      </c>
      <c r="U29" s="4"/>
      <c r="V29" s="12">
        <f>IF(T$12=0,0,T29/T$12)</f>
        <v>0.10589323167605184</v>
      </c>
      <c r="W29" s="4"/>
      <c r="X29" s="4">
        <f>+P29-T29</f>
        <v>-20588.589999999997</v>
      </c>
      <c r="Y29" s="4"/>
      <c r="Z29" s="12">
        <f>IF(T29=0,0,X29/T29)</f>
        <v>-0.21535634606777251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>
        <f>+D27-D29</f>
        <v>28513.040000000001</v>
      </c>
      <c r="E31" s="14"/>
      <c r="F31" s="34">
        <f>IF(D$12=0,0,D31/D$12)</f>
        <v>13.698379526204787</v>
      </c>
      <c r="G31" s="14"/>
      <c r="H31" s="31">
        <f>+H27-H29</f>
        <v>-3910.4100000000003</v>
      </c>
      <c r="I31" s="14"/>
      <c r="J31" s="34">
        <f>IF(H$12=0,0,H31/H$12)</f>
        <v>-2.5501731457750481</v>
      </c>
      <c r="K31" s="15"/>
      <c r="L31" s="31">
        <f>D31-H31</f>
        <v>32423.45</v>
      </c>
      <c r="M31" s="15"/>
      <c r="N31" s="34">
        <f>IF(H31=0,0,L31/H31)</f>
        <v>-8.2915730064110917</v>
      </c>
      <c r="O31" s="29"/>
      <c r="P31" s="31">
        <f>+P27-P29</f>
        <v>52946.270000000106</v>
      </c>
      <c r="Q31" s="14"/>
      <c r="R31" s="34">
        <f>IF(P$12=0,0,P31/P$12)</f>
        <v>0.11214532838698431</v>
      </c>
      <c r="S31" s="14"/>
      <c r="T31" s="31">
        <f>+T27-T29</f>
        <v>123876.28999999998</v>
      </c>
      <c r="U31" s="14"/>
      <c r="V31" s="34">
        <f>IF(T$12=0,0,T31/T$12)</f>
        <v>0.137210536135324</v>
      </c>
      <c r="W31" s="15"/>
      <c r="X31" s="31">
        <f>P31-T31</f>
        <v>-70930.019999999873</v>
      </c>
      <c r="Y31" s="15"/>
      <c r="Z31" s="34">
        <f>IF(T31=0,0,X31/T31)</f>
        <v>-0.57258753874530699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8" t="s">
        <v>5</v>
      </c>
      <c r="C34" s="28"/>
      <c r="D34" s="32">
        <f>SUM(D31:D33)</f>
        <v>28513.040000000001</v>
      </c>
      <c r="E34" s="14"/>
      <c r="F34" s="30">
        <f>IF(D$12=0,0,D34/D$12)</f>
        <v>13.698379526204787</v>
      </c>
      <c r="G34" s="14"/>
      <c r="H34" s="32">
        <f>SUM(H31:H33)</f>
        <v>-3910.4100000000003</v>
      </c>
      <c r="I34" s="14"/>
      <c r="J34" s="30">
        <f>IF(H$12=0,0,H34/H$12)</f>
        <v>-2.5501731457750481</v>
      </c>
      <c r="K34" s="15"/>
      <c r="L34" s="32">
        <f>+D34-H34</f>
        <v>32423.45</v>
      </c>
      <c r="M34" s="15"/>
      <c r="N34" s="30">
        <f>IF(H34=0,0,L34/H34)</f>
        <v>-8.2915730064110917</v>
      </c>
      <c r="O34" s="29"/>
      <c r="P34" s="32">
        <f>SUM(P31:P33)</f>
        <v>52946.270000000106</v>
      </c>
      <c r="Q34" s="14"/>
      <c r="R34" s="30">
        <f>IF(P$12=0,0,P34/P$12)</f>
        <v>0.11214532838698431</v>
      </c>
      <c r="S34" s="14"/>
      <c r="T34" s="32">
        <f>SUM(T31:T33)</f>
        <v>123876.28999999998</v>
      </c>
      <c r="U34" s="14"/>
      <c r="V34" s="30">
        <f>IF(T$12=0,0,T34/T$12)</f>
        <v>0.137210536135324</v>
      </c>
      <c r="W34" s="15"/>
      <c r="X34" s="32">
        <f>+P34-T34</f>
        <v>-70930.019999999873</v>
      </c>
      <c r="Y34" s="15"/>
      <c r="Z34" s="30">
        <f>IF(T34=0,0,X34/T34)</f>
        <v>-0.57258753874530699</v>
      </c>
    </row>
    <row r="35" spans="1:26" ht="15.75" thickTop="1" x14ac:dyDescent="0.25">
      <c r="A35" s="9"/>
      <c r="C35" s="9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6" x14ac:dyDescent="0.25">
      <c r="A36" s="9"/>
      <c r="B36" s="54">
        <v>44174.685795717596</v>
      </c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  <row r="37" spans="1:26" x14ac:dyDescent="0.25">
      <c r="A37" s="9"/>
      <c r="B37" s="56" t="s">
        <v>313</v>
      </c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1"/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7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302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100850.61000000003</v>
      </c>
      <c r="E12" s="4"/>
      <c r="F12" s="12"/>
      <c r="G12" s="4"/>
      <c r="H12" s="4">
        <f>SUM(OSRRefH13x_0)</f>
        <v>329390.36</v>
      </c>
      <c r="I12" s="4"/>
      <c r="J12" s="12"/>
      <c r="K12" s="4"/>
      <c r="L12" s="4">
        <f t="shared" ref="L12:L53" si="0">+D12-H12</f>
        <v>-228539.74999999994</v>
      </c>
      <c r="M12" s="4"/>
      <c r="N12" s="12">
        <f t="shared" ref="N12:N53" si="1">IF(H12=0,0,L12/H12)</f>
        <v>-0.693826467781267</v>
      </c>
      <c r="O12" s="10"/>
      <c r="P12" s="4">
        <f>SUM(OSRRefP13x_0)</f>
        <v>815867.91000000015</v>
      </c>
      <c r="Q12" s="4"/>
      <c r="R12" s="12"/>
      <c r="S12" s="4"/>
      <c r="T12" s="4">
        <f>SUM(OSRRefT13x_0)</f>
        <v>1451786.3200000003</v>
      </c>
      <c r="U12" s="4"/>
      <c r="V12" s="12"/>
      <c r="W12" s="4"/>
      <c r="X12" s="4">
        <f t="shared" ref="X12:X53" si="2">+P12-T12</f>
        <v>-635918.41000000015</v>
      </c>
      <c r="Y12" s="4"/>
      <c r="Z12" s="12">
        <f t="shared" ref="Z12:Z53" si="3">IF(T12=0,0,X12/T12)</f>
        <v>-0.43802479830502883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-9309.28</f>
        <v>-9309.2800000000007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-9309.2800000000007</v>
      </c>
      <c r="M13" s="2"/>
      <c r="N13" s="19">
        <f t="shared" si="1"/>
        <v>0</v>
      </c>
      <c r="O13" s="11"/>
      <c r="P13" s="2">
        <f>-49293.69</f>
        <v>-49293.69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-49293.69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--18.37</f>
        <v>18.37</v>
      </c>
      <c r="E14" s="2"/>
      <c r="F14" s="19"/>
      <c r="G14" s="2"/>
      <c r="H14" s="2">
        <f>--22.91</f>
        <v>22.91</v>
      </c>
      <c r="I14" s="2"/>
      <c r="J14" s="19"/>
      <c r="K14" s="2"/>
      <c r="L14" s="2">
        <f t="shared" si="0"/>
        <v>-4.5399999999999991</v>
      </c>
      <c r="M14" s="2"/>
      <c r="N14" s="19">
        <f t="shared" si="1"/>
        <v>-0.19816673941510254</v>
      </c>
      <c r="O14" s="11"/>
      <c r="P14" s="2">
        <f>--279.69</f>
        <v>279.69</v>
      </c>
      <c r="Q14" s="2"/>
      <c r="R14" s="19"/>
      <c r="S14" s="2"/>
      <c r="T14" s="2">
        <f>--123.19</f>
        <v>123.19</v>
      </c>
      <c r="U14" s="2"/>
      <c r="V14" s="19"/>
      <c r="W14" s="2"/>
      <c r="X14" s="2">
        <f t="shared" si="2"/>
        <v>156.5</v>
      </c>
      <c r="Y14" s="2"/>
      <c r="Z14" s="19">
        <f t="shared" si="3"/>
        <v>1.2703953242958033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--1716.97</f>
        <v>1716.97</v>
      </c>
      <c r="E15" s="2"/>
      <c r="F15" s="19"/>
      <c r="G15" s="2"/>
      <c r="H15" s="2">
        <f t="shared" ref="H15:H18" si="4">0</f>
        <v>0</v>
      </c>
      <c r="I15" s="2"/>
      <c r="J15" s="19"/>
      <c r="K15" s="2"/>
      <c r="L15" s="2">
        <f t="shared" si="0"/>
        <v>1716.97</v>
      </c>
      <c r="M15" s="2"/>
      <c r="N15" s="19">
        <f t="shared" si="1"/>
        <v>0</v>
      </c>
      <c r="O15" s="11"/>
      <c r="P15" s="2">
        <f>--28730.15</f>
        <v>28730.15</v>
      </c>
      <c r="Q15" s="2"/>
      <c r="R15" s="19"/>
      <c r="S15" s="2"/>
      <c r="T15" s="2">
        <f>--47.91</f>
        <v>47.91</v>
      </c>
      <c r="U15" s="2"/>
      <c r="V15" s="19"/>
      <c r="W15" s="2"/>
      <c r="X15" s="2">
        <f t="shared" si="2"/>
        <v>28682.240000000002</v>
      </c>
      <c r="Y15" s="2"/>
      <c r="Z15" s="19">
        <f t="shared" si="3"/>
        <v>598.66917136297229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--1730.73</f>
        <v>1730.73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1730.73</v>
      </c>
      <c r="M16" s="2"/>
      <c r="N16" s="19">
        <f t="shared" si="1"/>
        <v>0</v>
      </c>
      <c r="O16" s="11"/>
      <c r="P16" s="2">
        <f>--3520.53</f>
        <v>3520.53</v>
      </c>
      <c r="Q16" s="2"/>
      <c r="R16" s="19"/>
      <c r="S16" s="2"/>
      <c r="T16" s="2">
        <f t="shared" ref="T16:T18" si="5">0</f>
        <v>0</v>
      </c>
      <c r="U16" s="2"/>
      <c r="V16" s="19"/>
      <c r="W16" s="2"/>
      <c r="X16" s="2">
        <f t="shared" si="2"/>
        <v>3520.53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>--194.65</f>
        <v>194.65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194.65</v>
      </c>
      <c r="M17" s="2"/>
      <c r="N17" s="19">
        <f t="shared" si="1"/>
        <v>0</v>
      </c>
      <c r="O17" s="11"/>
      <c r="P17" s="2">
        <f>--1488.06</f>
        <v>1488.06</v>
      </c>
      <c r="Q17" s="2"/>
      <c r="R17" s="19"/>
      <c r="S17" s="2"/>
      <c r="T17" s="2">
        <f t="shared" si="5"/>
        <v>0</v>
      </c>
      <c r="U17" s="2"/>
      <c r="V17" s="19"/>
      <c r="W17" s="2"/>
      <c r="X17" s="2">
        <f t="shared" si="2"/>
        <v>1488.06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--6.78</f>
        <v>6.78</v>
      </c>
      <c r="Q18" s="2"/>
      <c r="R18" s="19"/>
      <c r="S18" s="2"/>
      <c r="T18" s="2">
        <f t="shared" si="5"/>
        <v>0</v>
      </c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>--40927.79</f>
        <v>40927.79</v>
      </c>
      <c r="E19" s="2"/>
      <c r="F19" s="19"/>
      <c r="G19" s="2"/>
      <c r="H19" s="2">
        <f>--249896.49</f>
        <v>249896.49</v>
      </c>
      <c r="I19" s="2"/>
      <c r="J19" s="19"/>
      <c r="K19" s="2"/>
      <c r="L19" s="2">
        <f t="shared" si="0"/>
        <v>-208968.69999999998</v>
      </c>
      <c r="M19" s="2"/>
      <c r="N19" s="19">
        <f t="shared" si="1"/>
        <v>-0.83622102895482842</v>
      </c>
      <c r="O19" s="11"/>
      <c r="P19" s="2">
        <f>--423732.7</f>
        <v>423732.7</v>
      </c>
      <c r="Q19" s="2"/>
      <c r="R19" s="19"/>
      <c r="S19" s="2"/>
      <c r="T19" s="2">
        <f>--1098136.94</f>
        <v>1098136.94</v>
      </c>
      <c r="U19" s="2"/>
      <c r="V19" s="19"/>
      <c r="W19" s="2"/>
      <c r="X19" s="2">
        <f t="shared" si="2"/>
        <v>-674404.24</v>
      </c>
      <c r="Y19" s="2"/>
      <c r="Z19" s="19">
        <f t="shared" si="3"/>
        <v>-0.61413491836455303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>--11990.22</f>
        <v>11990.22</v>
      </c>
      <c r="E20" s="2"/>
      <c r="F20" s="19"/>
      <c r="G20" s="2"/>
      <c r="H20" s="2">
        <f>--29139.65</f>
        <v>29139.65</v>
      </c>
      <c r="I20" s="2"/>
      <c r="J20" s="19"/>
      <c r="K20" s="2"/>
      <c r="L20" s="2">
        <f t="shared" si="0"/>
        <v>-17149.43</v>
      </c>
      <c r="M20" s="2"/>
      <c r="N20" s="19">
        <f t="shared" si="1"/>
        <v>-0.5885255999986273</v>
      </c>
      <c r="O20" s="11"/>
      <c r="P20" s="2">
        <f>--104708.12</f>
        <v>104708.12</v>
      </c>
      <c r="Q20" s="2"/>
      <c r="R20" s="19"/>
      <c r="S20" s="2"/>
      <c r="T20" s="2">
        <f>--161179.3</f>
        <v>161179.29999999999</v>
      </c>
      <c r="U20" s="2"/>
      <c r="V20" s="19"/>
      <c r="W20" s="2"/>
      <c r="X20" s="2">
        <f t="shared" si="2"/>
        <v>-56471.179999999993</v>
      </c>
      <c r="Y20" s="2"/>
      <c r="Z20" s="19">
        <f t="shared" si="3"/>
        <v>-0.35036248451258939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--1693.2</f>
        <v>1693.2</v>
      </c>
      <c r="E21" s="2"/>
      <c r="F21" s="19"/>
      <c r="G21" s="2"/>
      <c r="H21" s="2">
        <f>--22690.4</f>
        <v>22690.400000000001</v>
      </c>
      <c r="I21" s="2"/>
      <c r="J21" s="19"/>
      <c r="K21" s="2"/>
      <c r="L21" s="2">
        <f t="shared" si="0"/>
        <v>-20997.200000000001</v>
      </c>
      <c r="M21" s="2"/>
      <c r="N21" s="19">
        <f t="shared" si="1"/>
        <v>-0.92537813348376408</v>
      </c>
      <c r="O21" s="11"/>
      <c r="P21" s="2">
        <f>--44989.3</f>
        <v>44989.3</v>
      </c>
      <c r="Q21" s="2"/>
      <c r="R21" s="19"/>
      <c r="S21" s="2"/>
      <c r="T21" s="2">
        <f>--115082.55</f>
        <v>115082.55</v>
      </c>
      <c r="U21" s="2"/>
      <c r="V21" s="19"/>
      <c r="W21" s="2"/>
      <c r="X21" s="2">
        <f t="shared" si="2"/>
        <v>-70093.25</v>
      </c>
      <c r="Y21" s="2"/>
      <c r="Z21" s="19">
        <f t="shared" si="3"/>
        <v>-0.60906931589541591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>--16932.18</f>
        <v>16932.18</v>
      </c>
      <c r="E22" s="2"/>
      <c r="F22" s="19"/>
      <c r="G22" s="2"/>
      <c r="H22" s="2">
        <f>--4298.47</f>
        <v>4298.47</v>
      </c>
      <c r="I22" s="2"/>
      <c r="J22" s="19"/>
      <c r="K22" s="2"/>
      <c r="L22" s="2">
        <f t="shared" si="0"/>
        <v>12633.71</v>
      </c>
      <c r="M22" s="2"/>
      <c r="N22" s="19">
        <f t="shared" si="1"/>
        <v>2.9391178721731217</v>
      </c>
      <c r="O22" s="11"/>
      <c r="P22" s="2">
        <f>--57170.24</f>
        <v>57170.239999999998</v>
      </c>
      <c r="Q22" s="2"/>
      <c r="R22" s="19"/>
      <c r="S22" s="2"/>
      <c r="T22" s="2">
        <f>--4721.04</f>
        <v>4721.04</v>
      </c>
      <c r="U22" s="2"/>
      <c r="V22" s="19"/>
      <c r="W22" s="2"/>
      <c r="X22" s="2">
        <f t="shared" si="2"/>
        <v>52449.2</v>
      </c>
      <c r="Y22" s="2"/>
      <c r="Z22" s="19">
        <f t="shared" si="3"/>
        <v>11.109670750512599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>--2517.35</f>
        <v>2517.35</v>
      </c>
      <c r="E23" s="2"/>
      <c r="F23" s="19"/>
      <c r="G23" s="2"/>
      <c r="H23" s="2">
        <f>--8230.63</f>
        <v>8230.6299999999992</v>
      </c>
      <c r="I23" s="2"/>
      <c r="J23" s="19"/>
      <c r="K23" s="2"/>
      <c r="L23" s="2">
        <f t="shared" si="0"/>
        <v>-5713.2799999999988</v>
      </c>
      <c r="M23" s="2"/>
      <c r="N23" s="19">
        <f t="shared" si="1"/>
        <v>-0.69414856456917629</v>
      </c>
      <c r="O23" s="11"/>
      <c r="P23" s="2">
        <f>--15006.51</f>
        <v>15006.51</v>
      </c>
      <c r="Q23" s="2"/>
      <c r="R23" s="19"/>
      <c r="S23" s="2"/>
      <c r="T23" s="2">
        <f>--41297.78</f>
        <v>41297.78</v>
      </c>
      <c r="U23" s="2"/>
      <c r="V23" s="19"/>
      <c r="W23" s="2"/>
      <c r="X23" s="2">
        <f t="shared" si="2"/>
        <v>-26291.269999999997</v>
      </c>
      <c r="Y23" s="2"/>
      <c r="Z23" s="19">
        <f t="shared" si="3"/>
        <v>-0.63662671455947506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--11255.56</f>
        <v>11255.56</v>
      </c>
      <c r="E24" s="2"/>
      <c r="F24" s="19"/>
      <c r="G24" s="2"/>
      <c r="H24" s="2">
        <f>--18665.34</f>
        <v>18665.34</v>
      </c>
      <c r="I24" s="2"/>
      <c r="J24" s="19"/>
      <c r="K24" s="2"/>
      <c r="L24" s="2">
        <f t="shared" si="0"/>
        <v>-7409.7800000000007</v>
      </c>
      <c r="M24" s="2"/>
      <c r="N24" s="19">
        <f t="shared" si="1"/>
        <v>-0.39698071398645834</v>
      </c>
      <c r="O24" s="11"/>
      <c r="P24" s="2">
        <f>--108212.17</f>
        <v>108212.17</v>
      </c>
      <c r="Q24" s="2"/>
      <c r="R24" s="19"/>
      <c r="S24" s="2"/>
      <c r="T24" s="2">
        <f>--54518.44</f>
        <v>54518.44</v>
      </c>
      <c r="U24" s="2"/>
      <c r="V24" s="19"/>
      <c r="W24" s="2"/>
      <c r="X24" s="2">
        <f t="shared" si="2"/>
        <v>53693.729999999996</v>
      </c>
      <c r="Y24" s="2"/>
      <c r="Z24" s="19">
        <f t="shared" si="3"/>
        <v>0.98487282468097026</v>
      </c>
    </row>
    <row r="25" spans="1:26" s="24" customFormat="1" hidden="1" outlineLevel="1" x14ac:dyDescent="0.25">
      <c r="A25" s="44"/>
      <c r="B25" s="11" t="str">
        <f>CONCATENATE("          ", "4092", " - ", "TAXABLE SALES-GRAD MERCH")</f>
        <v xml:space="preserve">          4092 - TAXABLE SALES-GRAD MERCH</v>
      </c>
      <c r="C25" s="11"/>
      <c r="D25" s="2">
        <f t="shared" ref="D25:D27" si="6">0</f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ref="P25:P26" si="7">0</f>
        <v>0</v>
      </c>
      <c r="Q25" s="2"/>
      <c r="R25" s="19"/>
      <c r="S25" s="2"/>
      <c r="T25" s="2">
        <f>-39.95</f>
        <v>-39.950000000000003</v>
      </c>
      <c r="U25" s="2"/>
      <c r="V25" s="19"/>
      <c r="W25" s="2"/>
      <c r="X25" s="2">
        <f t="shared" si="2"/>
        <v>39.950000000000003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"4095", " - ", "TAXABLE SALES-CUSTOMER SERVICE")</f>
        <v xml:space="preserve">          4095 - TAXABLE SALES-CUSTOMER SERVICE</v>
      </c>
      <c r="C26" s="11"/>
      <c r="D26" s="2">
        <f t="shared" si="6"/>
        <v>0</v>
      </c>
      <c r="E26" s="2"/>
      <c r="F26" s="19"/>
      <c r="G26" s="2"/>
      <c r="H26" s="2">
        <f>--0.99</f>
        <v>0.99</v>
      </c>
      <c r="I26" s="2"/>
      <c r="J26" s="19"/>
      <c r="K26" s="2"/>
      <c r="L26" s="2">
        <f t="shared" si="0"/>
        <v>-0.99</v>
      </c>
      <c r="M26" s="2"/>
      <c r="N26" s="19">
        <f t="shared" si="1"/>
        <v>-1</v>
      </c>
      <c r="O26" s="11"/>
      <c r="P26" s="2">
        <f t="shared" si="7"/>
        <v>0</v>
      </c>
      <c r="Q26" s="2"/>
      <c r="R26" s="19"/>
      <c r="S26" s="2"/>
      <c r="T26" s="2">
        <f>--27.72</f>
        <v>27.72</v>
      </c>
      <c r="U26" s="2"/>
      <c r="V26" s="19"/>
      <c r="W26" s="2"/>
      <c r="X26" s="2">
        <f t="shared" si="2"/>
        <v>-27.72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"4126", " - ", "NON-TAXABLE SALES-WRITING INST")</f>
        <v xml:space="preserve">          4126 - NON-TAXABLE SALES-WRITING INST</v>
      </c>
      <c r="C27" s="11"/>
      <c r="D27" s="2">
        <f t="shared" si="6"/>
        <v>0</v>
      </c>
      <c r="E27" s="2"/>
      <c r="F27" s="19"/>
      <c r="G27" s="2"/>
      <c r="H27" s="2">
        <f t="shared" ref="H27:H33" si="8"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--52.68</f>
        <v>52.68</v>
      </c>
      <c r="Q27" s="2"/>
      <c r="R27" s="19"/>
      <c r="S27" s="2"/>
      <c r="T27" s="2">
        <f t="shared" ref="T27:T33" si="9">0</f>
        <v>0</v>
      </c>
      <c r="U27" s="2"/>
      <c r="V27" s="19"/>
      <c r="W27" s="2"/>
      <c r="X27" s="2">
        <f t="shared" si="2"/>
        <v>52.68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"4127", " - ", "NON-TAXABLE SALES-SCHOOL SUPPL")</f>
        <v xml:space="preserve">          4127 - NON-TAXABLE SALES-SCHOOL SUPPL</v>
      </c>
      <c r="C28" s="11"/>
      <c r="D28" s="2">
        <f>--114.89</f>
        <v>114.89</v>
      </c>
      <c r="E28" s="2"/>
      <c r="F28" s="19"/>
      <c r="G28" s="2"/>
      <c r="H28" s="2">
        <f t="shared" si="8"/>
        <v>0</v>
      </c>
      <c r="I28" s="2"/>
      <c r="J28" s="19"/>
      <c r="K28" s="2"/>
      <c r="L28" s="2">
        <f t="shared" si="0"/>
        <v>114.89</v>
      </c>
      <c r="M28" s="2"/>
      <c r="N28" s="19">
        <f t="shared" si="1"/>
        <v>0</v>
      </c>
      <c r="O28" s="11"/>
      <c r="P28" s="2">
        <f>--2946.58</f>
        <v>2946.58</v>
      </c>
      <c r="Q28" s="2"/>
      <c r="R28" s="19"/>
      <c r="S28" s="2"/>
      <c r="T28" s="2">
        <f t="shared" si="9"/>
        <v>0</v>
      </c>
      <c r="U28" s="2"/>
      <c r="V28" s="19"/>
      <c r="W28" s="2"/>
      <c r="X28" s="2">
        <f t="shared" si="2"/>
        <v>2946.58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"4128", " - ", "NON-TAXABLE SALES-ART/TECH")</f>
        <v xml:space="preserve">          4128 - NON-TAXABLE SALES-ART/TECH</v>
      </c>
      <c r="C29" s="11"/>
      <c r="D29" s="2">
        <f>--24.78</f>
        <v>24.78</v>
      </c>
      <c r="E29" s="2"/>
      <c r="F29" s="19"/>
      <c r="G29" s="2"/>
      <c r="H29" s="2">
        <f t="shared" si="8"/>
        <v>0</v>
      </c>
      <c r="I29" s="2"/>
      <c r="J29" s="19"/>
      <c r="K29" s="2"/>
      <c r="L29" s="2">
        <f t="shared" si="0"/>
        <v>24.78</v>
      </c>
      <c r="M29" s="2"/>
      <c r="N29" s="19">
        <f t="shared" si="1"/>
        <v>0</v>
      </c>
      <c r="O29" s="11"/>
      <c r="P29" s="2">
        <f>--24.78</f>
        <v>24.78</v>
      </c>
      <c r="Q29" s="2"/>
      <c r="R29" s="19"/>
      <c r="S29" s="2"/>
      <c r="T29" s="2">
        <f t="shared" si="9"/>
        <v>0</v>
      </c>
      <c r="U29" s="2"/>
      <c r="V29" s="19"/>
      <c r="W29" s="2"/>
      <c r="X29" s="2">
        <f t="shared" si="2"/>
        <v>24.78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"4131", " - ", "NON-TAXABLE SALES-FOOD")</f>
        <v xml:space="preserve">          4131 - NON-TAXABLE SALES-FOOD</v>
      </c>
      <c r="C30" s="11"/>
      <c r="D30" s="2">
        <f>--983.89</f>
        <v>983.89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983.89</v>
      </c>
      <c r="M30" s="2"/>
      <c r="N30" s="19">
        <f t="shared" si="1"/>
        <v>0</v>
      </c>
      <c r="O30" s="11"/>
      <c r="P30" s="2">
        <f>--4662.17</f>
        <v>4662.17</v>
      </c>
      <c r="Q30" s="2"/>
      <c r="R30" s="19"/>
      <c r="S30" s="2"/>
      <c r="T30" s="2">
        <f t="shared" si="9"/>
        <v>0</v>
      </c>
      <c r="U30" s="2"/>
      <c r="V30" s="19"/>
      <c r="W30" s="2"/>
      <c r="X30" s="2">
        <f t="shared" si="2"/>
        <v>4662.17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"4132", " - ", "NON-TAXABLE SALES-JUICE")</f>
        <v xml:space="preserve">          4132 - NON-TAXABLE SALES-JUICE</v>
      </c>
      <c r="C31" s="11"/>
      <c r="D31" s="2">
        <f t="shared" ref="D31:D34" si="10">0</f>
        <v>0</v>
      </c>
      <c r="E31" s="2"/>
      <c r="F31" s="19"/>
      <c r="G31" s="2"/>
      <c r="H31" s="2">
        <f t="shared" si="8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--22.49</f>
        <v>22.49</v>
      </c>
      <c r="Q31" s="2"/>
      <c r="R31" s="19"/>
      <c r="S31" s="2"/>
      <c r="T31" s="2">
        <f t="shared" si="9"/>
        <v>0</v>
      </c>
      <c r="U31" s="2"/>
      <c r="V31" s="19"/>
      <c r="W31" s="2"/>
      <c r="X31" s="2">
        <f t="shared" si="2"/>
        <v>22.49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"4133", " - ", "NON-TAXABLE SALES-CANDY")</f>
        <v xml:space="preserve">          4133 - NON-TAXABLE SALES-CANDY</v>
      </c>
      <c r="C32" s="11"/>
      <c r="D32" s="2">
        <f t="shared" si="10"/>
        <v>0</v>
      </c>
      <c r="E32" s="2"/>
      <c r="F32" s="19"/>
      <c r="G32" s="2"/>
      <c r="H32" s="2">
        <f t="shared" si="8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--80.71</f>
        <v>80.709999999999994</v>
      </c>
      <c r="Q32" s="2"/>
      <c r="R32" s="19"/>
      <c r="S32" s="2"/>
      <c r="T32" s="2">
        <f t="shared" si="9"/>
        <v>0</v>
      </c>
      <c r="U32" s="2"/>
      <c r="V32" s="19"/>
      <c r="W32" s="2"/>
      <c r="X32" s="2">
        <f t="shared" si="2"/>
        <v>80.709999999999994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"4134", " - ", "NON-TAXABLE SALES-SODA")</f>
        <v xml:space="preserve">          4134 - NON-TAXABLE SALES-SODA</v>
      </c>
      <c r="C33" s="11"/>
      <c r="D33" s="2">
        <f t="shared" si="10"/>
        <v>0</v>
      </c>
      <c r="E33" s="2"/>
      <c r="F33" s="19"/>
      <c r="G33" s="2"/>
      <c r="H33" s="2">
        <f t="shared" si="8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--45.53</f>
        <v>45.53</v>
      </c>
      <c r="Q33" s="2"/>
      <c r="R33" s="19"/>
      <c r="S33" s="2"/>
      <c r="T33" s="2">
        <f t="shared" si="9"/>
        <v>0</v>
      </c>
      <c r="U33" s="2"/>
      <c r="V33" s="19"/>
      <c r="W33" s="2"/>
      <c r="X33" s="2">
        <f t="shared" si="2"/>
        <v>45.53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"4137", " - ", "NON-TAXABLE SALES-WATER")</f>
        <v xml:space="preserve">          4137 - NON-TAXABLE SALES-WATER</v>
      </c>
      <c r="C34" s="11"/>
      <c r="D34" s="2">
        <f t="shared" si="10"/>
        <v>0</v>
      </c>
      <c r="E34" s="2"/>
      <c r="F34" s="19"/>
      <c r="G34" s="2"/>
      <c r="H34" s="2">
        <f>--1.5</f>
        <v>1.5</v>
      </c>
      <c r="I34" s="2"/>
      <c r="J34" s="19"/>
      <c r="K34" s="2"/>
      <c r="L34" s="2">
        <f t="shared" si="0"/>
        <v>-1.5</v>
      </c>
      <c r="M34" s="2"/>
      <c r="N34" s="19">
        <f t="shared" si="1"/>
        <v>-1</v>
      </c>
      <c r="O34" s="11"/>
      <c r="P34" s="2">
        <f>--68.25</f>
        <v>68.25</v>
      </c>
      <c r="Q34" s="2"/>
      <c r="R34" s="19"/>
      <c r="S34" s="2"/>
      <c r="T34" s="2">
        <f>--87</f>
        <v>87</v>
      </c>
      <c r="U34" s="2"/>
      <c r="V34" s="19"/>
      <c r="W34" s="2"/>
      <c r="X34" s="2">
        <f t="shared" si="2"/>
        <v>-18.75</v>
      </c>
      <c r="Y34" s="2"/>
      <c r="Z34" s="19">
        <f t="shared" si="3"/>
        <v>-0.21551724137931033</v>
      </c>
    </row>
    <row r="35" spans="1:26" s="24" customFormat="1" hidden="1" outlineLevel="1" x14ac:dyDescent="0.25">
      <c r="A35" s="44"/>
      <c r="B35" s="11" t="str">
        <f>CONCATENATE("          ", "4140", " - ", "NON-TAXABLE SALES-LOGO CLOTHIN")</f>
        <v xml:space="preserve">          4140 - NON-TAXABLE SALES-LOGO CLOTHIN</v>
      </c>
      <c r="C35" s="11"/>
      <c r="D35" s="2">
        <f>--19704.79</f>
        <v>19704.79</v>
      </c>
      <c r="E35" s="2"/>
      <c r="F35" s="19"/>
      <c r="G35" s="2"/>
      <c r="H35" s="2">
        <f>--7373.27</f>
        <v>7373.27</v>
      </c>
      <c r="I35" s="2"/>
      <c r="J35" s="19"/>
      <c r="K35" s="2"/>
      <c r="L35" s="2">
        <f t="shared" si="0"/>
        <v>12331.52</v>
      </c>
      <c r="M35" s="2"/>
      <c r="N35" s="19">
        <f t="shared" si="1"/>
        <v>1.6724628285685998</v>
      </c>
      <c r="O35" s="11"/>
      <c r="P35" s="2">
        <f>--50320.27</f>
        <v>50320.27</v>
      </c>
      <c r="Q35" s="2"/>
      <c r="R35" s="19"/>
      <c r="S35" s="2"/>
      <c r="T35" s="2">
        <f>--20008.79</f>
        <v>20008.79</v>
      </c>
      <c r="U35" s="2"/>
      <c r="V35" s="19"/>
      <c r="W35" s="2"/>
      <c r="X35" s="2">
        <f t="shared" si="2"/>
        <v>30311.479999999996</v>
      </c>
      <c r="Y35" s="2"/>
      <c r="Z35" s="19">
        <f t="shared" si="3"/>
        <v>1.514908197847046</v>
      </c>
    </row>
    <row r="36" spans="1:26" s="24" customFormat="1" hidden="1" outlineLevel="1" x14ac:dyDescent="0.25">
      <c r="A36" s="44"/>
      <c r="B36" s="11" t="str">
        <f>CONCATENATE("          ", "4141", " - ", "NON-TAXABLE SALES-LOGO GIFTS")</f>
        <v xml:space="preserve">          4141 - NON-TAXABLE SALES-LOGO GIFTS</v>
      </c>
      <c r="C36" s="11"/>
      <c r="D36" s="2">
        <f>--806.32</f>
        <v>806.32</v>
      </c>
      <c r="E36" s="2"/>
      <c r="F36" s="19"/>
      <c r="G36" s="2"/>
      <c r="H36" s="2">
        <f>--434.35</f>
        <v>434.35</v>
      </c>
      <c r="I36" s="2"/>
      <c r="J36" s="19"/>
      <c r="K36" s="2"/>
      <c r="L36" s="2">
        <f t="shared" si="0"/>
        <v>371.97</v>
      </c>
      <c r="M36" s="2"/>
      <c r="N36" s="19">
        <f t="shared" si="1"/>
        <v>0.85638310118567973</v>
      </c>
      <c r="O36" s="11"/>
      <c r="P36" s="2">
        <f>--3677.52</f>
        <v>3677.52</v>
      </c>
      <c r="Q36" s="2"/>
      <c r="R36" s="19"/>
      <c r="S36" s="2"/>
      <c r="T36" s="2">
        <f>--1677.53</f>
        <v>1677.53</v>
      </c>
      <c r="U36" s="2"/>
      <c r="V36" s="19"/>
      <c r="W36" s="2"/>
      <c r="X36" s="2">
        <f t="shared" si="2"/>
        <v>1999.99</v>
      </c>
      <c r="Y36" s="2"/>
      <c r="Z36" s="19">
        <f t="shared" si="3"/>
        <v>1.1922230899000317</v>
      </c>
    </row>
    <row r="37" spans="1:26" s="24" customFormat="1" hidden="1" outlineLevel="1" x14ac:dyDescent="0.25">
      <c r="A37" s="44"/>
      <c r="B37" s="11" t="str">
        <f>CONCATENATE("          ", "4142", " - ", "NON-TAXABLE SALES-EVERYDAY GIF")</f>
        <v xml:space="preserve">          4142 - NON-TAXABLE SALES-EVERYDAY GIF</v>
      </c>
      <c r="C37" s="11"/>
      <c r="D37" s="2">
        <f>--28.17</f>
        <v>28.17</v>
      </c>
      <c r="E37" s="2"/>
      <c r="F37" s="19"/>
      <c r="G37" s="2"/>
      <c r="H37" s="2">
        <f>--844.52</f>
        <v>844.52</v>
      </c>
      <c r="I37" s="2"/>
      <c r="J37" s="19"/>
      <c r="K37" s="2"/>
      <c r="L37" s="2">
        <f t="shared" si="0"/>
        <v>-816.35</v>
      </c>
      <c r="M37" s="2"/>
      <c r="N37" s="19">
        <f t="shared" si="1"/>
        <v>-0.96664377397811785</v>
      </c>
      <c r="O37" s="11"/>
      <c r="P37" s="2">
        <f>--1097.6</f>
        <v>1097.5999999999999</v>
      </c>
      <c r="Q37" s="2"/>
      <c r="R37" s="19"/>
      <c r="S37" s="2"/>
      <c r="T37" s="2">
        <f>--2415.83</f>
        <v>2415.83</v>
      </c>
      <c r="U37" s="2"/>
      <c r="V37" s="19"/>
      <c r="W37" s="2"/>
      <c r="X37" s="2">
        <f t="shared" si="2"/>
        <v>-1318.23</v>
      </c>
      <c r="Y37" s="2"/>
      <c r="Z37" s="19">
        <f t="shared" si="3"/>
        <v>-0.54566339518923102</v>
      </c>
    </row>
    <row r="38" spans="1:26" s="24" customFormat="1" hidden="1" outlineLevel="1" x14ac:dyDescent="0.25">
      <c r="A38" s="44"/>
      <c r="B38" s="11" t="str">
        <f>CONCATENATE("          ", "4143", " - ", "NON-TAXABLE SALES-CARDS")</f>
        <v xml:space="preserve">          4143 - NON-TAXABLE SALES-CARDS</v>
      </c>
      <c r="C38" s="11"/>
      <c r="D38" s="2">
        <f>--9.99</f>
        <v>9.99</v>
      </c>
      <c r="E38" s="2"/>
      <c r="F38" s="19"/>
      <c r="G38" s="2"/>
      <c r="H38" s="2">
        <f>0</f>
        <v>0</v>
      </c>
      <c r="I38" s="2"/>
      <c r="J38" s="19"/>
      <c r="K38" s="2"/>
      <c r="L38" s="2">
        <f t="shared" si="0"/>
        <v>9.99</v>
      </c>
      <c r="M38" s="2"/>
      <c r="N38" s="19">
        <f t="shared" si="1"/>
        <v>0</v>
      </c>
      <c r="O38" s="11"/>
      <c r="P38" s="2">
        <f>--39.96</f>
        <v>39.96</v>
      </c>
      <c r="Q38" s="2"/>
      <c r="R38" s="19"/>
      <c r="S38" s="2"/>
      <c r="T38" s="2">
        <f>0</f>
        <v>0</v>
      </c>
      <c r="U38" s="2"/>
      <c r="V38" s="19"/>
      <c r="W38" s="2"/>
      <c r="X38" s="2">
        <f t="shared" si="2"/>
        <v>39.96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"4144", " - ", "NON-TAXABLE SALES-ACCESSORIES")</f>
        <v xml:space="preserve">          4144 - NON-TAXABLE SALES-ACCESSORIES</v>
      </c>
      <c r="C39" s="11"/>
      <c r="D39" s="2">
        <f>--19.95</f>
        <v>19.95</v>
      </c>
      <c r="E39" s="2"/>
      <c r="F39" s="19"/>
      <c r="G39" s="2"/>
      <c r="H39" s="2">
        <f>--29.95</f>
        <v>29.95</v>
      </c>
      <c r="I39" s="2"/>
      <c r="J39" s="19"/>
      <c r="K39" s="2"/>
      <c r="L39" s="2">
        <f t="shared" si="0"/>
        <v>-10</v>
      </c>
      <c r="M39" s="2"/>
      <c r="N39" s="19">
        <f t="shared" si="1"/>
        <v>-0.333889816360601</v>
      </c>
      <c r="O39" s="11"/>
      <c r="P39" s="2">
        <f>--389.7</f>
        <v>389.7</v>
      </c>
      <c r="Q39" s="2"/>
      <c r="R39" s="19"/>
      <c r="S39" s="2"/>
      <c r="T39" s="2">
        <f>--241.56</f>
        <v>241.56</v>
      </c>
      <c r="U39" s="2"/>
      <c r="V39" s="19"/>
      <c r="W39" s="2"/>
      <c r="X39" s="2">
        <f t="shared" si="2"/>
        <v>148.13999999999999</v>
      </c>
      <c r="Y39" s="2"/>
      <c r="Z39" s="19">
        <f t="shared" si="3"/>
        <v>0.61326378539493287</v>
      </c>
    </row>
    <row r="40" spans="1:26" s="24" customFormat="1" hidden="1" outlineLevel="1" x14ac:dyDescent="0.25">
      <c r="A40" s="44"/>
      <c r="B40" s="11" t="str">
        <f>CONCATENATE("          ", "4145", " - ", "NON-TAXABLE SALES-SPECIAL ORDE")</f>
        <v xml:space="preserve">          4145 - NON-TAXABLE SALES-SPECIAL ORDE</v>
      </c>
      <c r="C40" s="11"/>
      <c r="D40" s="2">
        <f>--2800</f>
        <v>2800</v>
      </c>
      <c r="E40" s="2"/>
      <c r="F40" s="19"/>
      <c r="G40" s="2"/>
      <c r="H40" s="2">
        <f>--50</f>
        <v>50</v>
      </c>
      <c r="I40" s="2"/>
      <c r="J40" s="19"/>
      <c r="K40" s="2"/>
      <c r="L40" s="2">
        <f t="shared" si="0"/>
        <v>2750</v>
      </c>
      <c r="M40" s="2"/>
      <c r="N40" s="19">
        <f t="shared" si="1"/>
        <v>55</v>
      </c>
      <c r="O40" s="11"/>
      <c r="P40" s="2">
        <f>--38646</f>
        <v>38646</v>
      </c>
      <c r="Q40" s="2"/>
      <c r="R40" s="19"/>
      <c r="S40" s="2"/>
      <c r="T40" s="2">
        <f>--140</f>
        <v>140</v>
      </c>
      <c r="U40" s="2"/>
      <c r="V40" s="19"/>
      <c r="W40" s="2"/>
      <c r="X40" s="2">
        <f t="shared" si="2"/>
        <v>38506</v>
      </c>
      <c r="Y40" s="2"/>
      <c r="Z40" s="19">
        <f t="shared" si="3"/>
        <v>275.04285714285714</v>
      </c>
    </row>
    <row r="41" spans="1:26" s="24" customFormat="1" hidden="1" outlineLevel="1" x14ac:dyDescent="0.25">
      <c r="A41" s="44"/>
      <c r="B41" s="11" t="str">
        <f>CONCATENATE("          ", "4226", " - ", "SALES RETURN TAXABLE-WRITING I")</f>
        <v xml:space="preserve">          4226 - SALES RETURN TAXABLE-WRITING I</v>
      </c>
      <c r="C41" s="11"/>
      <c r="D41" s="2">
        <f>0</f>
        <v>0</v>
      </c>
      <c r="E41" s="2"/>
      <c r="F41" s="19"/>
      <c r="G41" s="2"/>
      <c r="H41" s="2">
        <f t="shared" ref="H41:H43" si="11">0</f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-34.23</f>
        <v>-34.229999999999997</v>
      </c>
      <c r="Q41" s="2"/>
      <c r="R41" s="19"/>
      <c r="S41" s="2"/>
      <c r="T41" s="2">
        <f>-134.8</f>
        <v>-134.80000000000001</v>
      </c>
      <c r="U41" s="2"/>
      <c r="V41" s="19"/>
      <c r="W41" s="2"/>
      <c r="X41" s="2">
        <f t="shared" si="2"/>
        <v>100.57000000000002</v>
      </c>
      <c r="Y41" s="2"/>
      <c r="Z41" s="19">
        <f t="shared" si="3"/>
        <v>-0.74606824925816029</v>
      </c>
    </row>
    <row r="42" spans="1:26" s="24" customFormat="1" hidden="1" outlineLevel="1" x14ac:dyDescent="0.25">
      <c r="A42" s="44"/>
      <c r="B42" s="11" t="str">
        <f>CONCATENATE("          ", "4227", " - ", "SALES RETURN TAXABLE-SCHOOL SU")</f>
        <v xml:space="preserve">          4227 - SALES RETURN TAXABLE-SCHOOL SU</v>
      </c>
      <c r="C42" s="11"/>
      <c r="D42" s="2">
        <f>-31.98</f>
        <v>-31.98</v>
      </c>
      <c r="E42" s="2"/>
      <c r="F42" s="19"/>
      <c r="G42" s="2"/>
      <c r="H42" s="2">
        <f t="shared" si="11"/>
        <v>0</v>
      </c>
      <c r="I42" s="2"/>
      <c r="J42" s="19"/>
      <c r="K42" s="2"/>
      <c r="L42" s="2">
        <f t="shared" si="0"/>
        <v>-31.98</v>
      </c>
      <c r="M42" s="2"/>
      <c r="N42" s="19">
        <f t="shared" si="1"/>
        <v>0</v>
      </c>
      <c r="O42" s="11"/>
      <c r="P42" s="2">
        <f>-450.67</f>
        <v>-450.67</v>
      </c>
      <c r="Q42" s="2"/>
      <c r="R42" s="19"/>
      <c r="S42" s="2"/>
      <c r="T42" s="2">
        <f t="shared" ref="T42:T43" si="12">0</f>
        <v>0</v>
      </c>
      <c r="U42" s="2"/>
      <c r="V42" s="19"/>
      <c r="W42" s="2"/>
      <c r="X42" s="2">
        <f t="shared" si="2"/>
        <v>-450.67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"4228", " - ", "SALES RETURN TAXABLE-ART/TECH")</f>
        <v xml:space="preserve">          4228 - SALES RETURN TAXABLE-ART/TECH</v>
      </c>
      <c r="C43" s="11"/>
      <c r="D43" s="2">
        <f>-32.49</f>
        <v>-32.49</v>
      </c>
      <c r="E43" s="2"/>
      <c r="F43" s="19"/>
      <c r="G43" s="2"/>
      <c r="H43" s="2">
        <f t="shared" si="11"/>
        <v>0</v>
      </c>
      <c r="I43" s="2"/>
      <c r="J43" s="19"/>
      <c r="K43" s="2"/>
      <c r="L43" s="2">
        <f t="shared" si="0"/>
        <v>-32.49</v>
      </c>
      <c r="M43" s="2"/>
      <c r="N43" s="19">
        <f t="shared" si="1"/>
        <v>0</v>
      </c>
      <c r="O43" s="11"/>
      <c r="P43" s="2">
        <f>-32.49</f>
        <v>-32.49</v>
      </c>
      <c r="Q43" s="2"/>
      <c r="R43" s="19"/>
      <c r="S43" s="2"/>
      <c r="T43" s="2">
        <f t="shared" si="12"/>
        <v>0</v>
      </c>
      <c r="U43" s="2"/>
      <c r="V43" s="19"/>
      <c r="W43" s="2"/>
      <c r="X43" s="2">
        <f t="shared" si="2"/>
        <v>-32.49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"4240", " - ", "SALES RETURN TAXABLE-LOGO CLOT")</f>
        <v xml:space="preserve">          4240 - SALES RETURN TAXABLE-LOGO CLOT</v>
      </c>
      <c r="C44" s="11"/>
      <c r="D44" s="2">
        <f>-1729.15</f>
        <v>-1729.15</v>
      </c>
      <c r="E44" s="2"/>
      <c r="F44" s="19"/>
      <c r="G44" s="2"/>
      <c r="H44" s="2">
        <f>-10814.23</f>
        <v>-10814.23</v>
      </c>
      <c r="I44" s="2"/>
      <c r="J44" s="19"/>
      <c r="K44" s="2"/>
      <c r="L44" s="2">
        <f t="shared" si="0"/>
        <v>9085.08</v>
      </c>
      <c r="M44" s="2"/>
      <c r="N44" s="19">
        <f t="shared" si="1"/>
        <v>-0.84010419604539577</v>
      </c>
      <c r="O44" s="11"/>
      <c r="P44" s="2">
        <f>-15578.67</f>
        <v>-15578.67</v>
      </c>
      <c r="Q44" s="2"/>
      <c r="R44" s="19"/>
      <c r="S44" s="2"/>
      <c r="T44" s="2">
        <f>-41109.03</f>
        <v>-41109.03</v>
      </c>
      <c r="U44" s="2"/>
      <c r="V44" s="19"/>
      <c r="W44" s="2"/>
      <c r="X44" s="2">
        <f t="shared" si="2"/>
        <v>25530.36</v>
      </c>
      <c r="Y44" s="2"/>
      <c r="Z44" s="19">
        <f t="shared" si="3"/>
        <v>-0.62104019481851069</v>
      </c>
    </row>
    <row r="45" spans="1:26" s="24" customFormat="1" hidden="1" outlineLevel="1" x14ac:dyDescent="0.25">
      <c r="A45" s="44"/>
      <c r="B45" s="11" t="str">
        <f>CONCATENATE("          ", "4241", " - ", "SALES RETURN TAXABLE-LOGO GIFT")</f>
        <v xml:space="preserve">          4241 - SALES RETURN TAXABLE-LOGO GIFT</v>
      </c>
      <c r="C45" s="11"/>
      <c r="D45" s="2">
        <f>-94.79</f>
        <v>-94.79</v>
      </c>
      <c r="E45" s="2"/>
      <c r="F45" s="19"/>
      <c r="G45" s="2"/>
      <c r="H45" s="2">
        <f>-491.64</f>
        <v>-491.64</v>
      </c>
      <c r="I45" s="2"/>
      <c r="J45" s="19"/>
      <c r="K45" s="2"/>
      <c r="L45" s="2">
        <f t="shared" si="0"/>
        <v>396.84999999999997</v>
      </c>
      <c r="M45" s="2"/>
      <c r="N45" s="19">
        <f t="shared" si="1"/>
        <v>-0.80719632251240736</v>
      </c>
      <c r="O45" s="11"/>
      <c r="P45" s="2">
        <f>-1974.65</f>
        <v>-1974.65</v>
      </c>
      <c r="Q45" s="2"/>
      <c r="R45" s="19"/>
      <c r="S45" s="2"/>
      <c r="T45" s="2">
        <f>-2574.84</f>
        <v>-2574.84</v>
      </c>
      <c r="U45" s="2"/>
      <c r="V45" s="19"/>
      <c r="W45" s="2"/>
      <c r="X45" s="2">
        <f t="shared" si="2"/>
        <v>600.19000000000005</v>
      </c>
      <c r="Y45" s="2"/>
      <c r="Z45" s="19">
        <f t="shared" si="3"/>
        <v>-0.23309797890354353</v>
      </c>
    </row>
    <row r="46" spans="1:26" s="24" customFormat="1" hidden="1" outlineLevel="1" x14ac:dyDescent="0.25">
      <c r="A46" s="44"/>
      <c r="B46" s="11" t="str">
        <f>CONCATENATE("          ", "4242", " - ", "SALES RETURN TAXABLE-EVERYDAY")</f>
        <v xml:space="preserve">          4242 - SALES RETURN TAXABLE-EVERYDAY</v>
      </c>
      <c r="C46" s="11"/>
      <c r="D46" s="2">
        <f>-7.48</f>
        <v>-7.48</v>
      </c>
      <c r="E46" s="2"/>
      <c r="F46" s="19"/>
      <c r="G46" s="2"/>
      <c r="H46" s="2">
        <f>-532.3</f>
        <v>-532.29999999999995</v>
      </c>
      <c r="I46" s="2"/>
      <c r="J46" s="19"/>
      <c r="K46" s="2"/>
      <c r="L46" s="2">
        <f t="shared" si="0"/>
        <v>524.81999999999994</v>
      </c>
      <c r="M46" s="2"/>
      <c r="N46" s="19">
        <f t="shared" si="1"/>
        <v>-0.98594777381176024</v>
      </c>
      <c r="O46" s="11"/>
      <c r="P46" s="2">
        <f>-1328.99</f>
        <v>-1328.99</v>
      </c>
      <c r="Q46" s="2"/>
      <c r="R46" s="19"/>
      <c r="S46" s="2"/>
      <c r="T46" s="2">
        <f>-1675.67</f>
        <v>-1675.67</v>
      </c>
      <c r="U46" s="2"/>
      <c r="V46" s="19"/>
      <c r="W46" s="2"/>
      <c r="X46" s="2">
        <f t="shared" si="2"/>
        <v>346.68000000000006</v>
      </c>
      <c r="Y46" s="2"/>
      <c r="Z46" s="19">
        <f t="shared" si="3"/>
        <v>-0.20689037817708741</v>
      </c>
    </row>
    <row r="47" spans="1:26" s="24" customFormat="1" hidden="1" outlineLevel="1" x14ac:dyDescent="0.25">
      <c r="A47" s="44"/>
      <c r="B47" s="11" t="str">
        <f>CONCATENATE("          ", "4243", " - ", "SALES RETURN TAXABLE-CARDS")</f>
        <v xml:space="preserve">          4243 - SALES RETURN TAXABLE-CARDS</v>
      </c>
      <c r="C47" s="11"/>
      <c r="D47" s="2">
        <f>-829.54</f>
        <v>-829.54</v>
      </c>
      <c r="E47" s="2"/>
      <c r="F47" s="19"/>
      <c r="G47" s="2"/>
      <c r="H47" s="2">
        <f>-316.34</f>
        <v>-316.33999999999997</v>
      </c>
      <c r="I47" s="2"/>
      <c r="J47" s="19"/>
      <c r="K47" s="2"/>
      <c r="L47" s="2">
        <f t="shared" si="0"/>
        <v>-513.20000000000005</v>
      </c>
      <c r="M47" s="2"/>
      <c r="N47" s="19">
        <f t="shared" si="1"/>
        <v>1.6223051147499528</v>
      </c>
      <c r="O47" s="11"/>
      <c r="P47" s="2">
        <f>-1812.46</f>
        <v>-1812.46</v>
      </c>
      <c r="Q47" s="2"/>
      <c r="R47" s="19"/>
      <c r="S47" s="2"/>
      <c r="T47" s="2">
        <f>-320.84</f>
        <v>-320.83999999999997</v>
      </c>
      <c r="U47" s="2"/>
      <c r="V47" s="19"/>
      <c r="W47" s="2"/>
      <c r="X47" s="2">
        <f t="shared" si="2"/>
        <v>-1491.6200000000001</v>
      </c>
      <c r="Y47" s="2"/>
      <c r="Z47" s="19">
        <f t="shared" si="3"/>
        <v>4.6491085899513784</v>
      </c>
    </row>
    <row r="48" spans="1:26" s="24" customFormat="1" hidden="1" outlineLevel="1" x14ac:dyDescent="0.25">
      <c r="A48" s="44"/>
      <c r="B48" s="11" t="str">
        <f>CONCATENATE("          ", "4244", " - ", "SALES RETURN TAXABLE-ACCESSORI")</f>
        <v xml:space="preserve">          4244 - SALES RETURN TAXABLE-ACCESSORI</v>
      </c>
      <c r="C48" s="11"/>
      <c r="D48" s="2">
        <f>-179.95</f>
        <v>-179.95</v>
      </c>
      <c r="E48" s="2"/>
      <c r="F48" s="19"/>
      <c r="G48" s="2"/>
      <c r="H48" s="2">
        <f>-96.7</f>
        <v>-96.7</v>
      </c>
      <c r="I48" s="2"/>
      <c r="J48" s="19"/>
      <c r="K48" s="2"/>
      <c r="L48" s="2">
        <f t="shared" si="0"/>
        <v>-83.249999999999986</v>
      </c>
      <c r="M48" s="2"/>
      <c r="N48" s="19">
        <f t="shared" si="1"/>
        <v>0.86091003102378472</v>
      </c>
      <c r="O48" s="11"/>
      <c r="P48" s="2">
        <f>-590.94</f>
        <v>-590.94000000000005</v>
      </c>
      <c r="Q48" s="2"/>
      <c r="R48" s="19"/>
      <c r="S48" s="2"/>
      <c r="T48" s="2">
        <f>-1529.06</f>
        <v>-1529.06</v>
      </c>
      <c r="U48" s="2"/>
      <c r="V48" s="19"/>
      <c r="W48" s="2"/>
      <c r="X48" s="2">
        <f t="shared" si="2"/>
        <v>938.11999999999989</v>
      </c>
      <c r="Y48" s="2"/>
      <c r="Z48" s="19">
        <f t="shared" si="3"/>
        <v>-0.61352726511713074</v>
      </c>
    </row>
    <row r="49" spans="1:26" s="24" customFormat="1" hidden="1" outlineLevel="1" x14ac:dyDescent="0.25">
      <c r="A49" s="44"/>
      <c r="B49" s="11" t="str">
        <f>CONCATENATE("          ", "4245", " - ", "SALES RETURN TAXABLE-SPECIAL O")</f>
        <v xml:space="preserve">          4245 - SALES RETURN TAXABLE-SPECIAL O</v>
      </c>
      <c r="C49" s="11"/>
      <c r="D49" s="2">
        <f>-45.89</f>
        <v>-45.89</v>
      </c>
      <c r="E49" s="2"/>
      <c r="F49" s="19"/>
      <c r="G49" s="2"/>
      <c r="H49" s="2">
        <f t="shared" ref="H49:H50" si="13">0</f>
        <v>0</v>
      </c>
      <c r="I49" s="2"/>
      <c r="J49" s="19"/>
      <c r="K49" s="2"/>
      <c r="L49" s="2">
        <f t="shared" si="0"/>
        <v>-45.89</v>
      </c>
      <c r="M49" s="2"/>
      <c r="N49" s="19">
        <f t="shared" si="1"/>
        <v>0</v>
      </c>
      <c r="O49" s="11"/>
      <c r="P49" s="2">
        <f>-1592.82</f>
        <v>-1592.82</v>
      </c>
      <c r="Q49" s="2"/>
      <c r="R49" s="19"/>
      <c r="S49" s="2"/>
      <c r="T49" s="2">
        <f>-91.96</f>
        <v>-91.96</v>
      </c>
      <c r="U49" s="2"/>
      <c r="V49" s="19"/>
      <c r="W49" s="2"/>
      <c r="X49" s="2">
        <f t="shared" si="2"/>
        <v>-1500.86</v>
      </c>
      <c r="Y49" s="2"/>
      <c r="Z49" s="19">
        <f t="shared" si="3"/>
        <v>16.320791648542844</v>
      </c>
    </row>
    <row r="50" spans="1:26" s="24" customFormat="1" hidden="1" outlineLevel="1" x14ac:dyDescent="0.25">
      <c r="A50" s="44"/>
      <c r="B50" s="11" t="str">
        <f>CONCATENATE("          ", "4295", " - ", "SALES RETURN TAXABLE-CUSTOMER")</f>
        <v xml:space="preserve">          4295 - SALES RETURN TAXABLE-CUSTOMER</v>
      </c>
      <c r="C50" s="11"/>
      <c r="D50" s="2">
        <f>0</f>
        <v>0</v>
      </c>
      <c r="E50" s="2"/>
      <c r="F50" s="19"/>
      <c r="G50" s="2"/>
      <c r="H50" s="2">
        <f t="shared" si="13"/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0</f>
        <v>0</v>
      </c>
      <c r="Q50" s="2"/>
      <c r="R50" s="19"/>
      <c r="S50" s="2"/>
      <c r="T50" s="2">
        <f>--0.99</f>
        <v>0.99</v>
      </c>
      <c r="U50" s="2"/>
      <c r="V50" s="19"/>
      <c r="W50" s="2"/>
      <c r="X50" s="2">
        <f t="shared" si="2"/>
        <v>-0.99</v>
      </c>
      <c r="Y50" s="2"/>
      <c r="Z50" s="19">
        <f t="shared" si="3"/>
        <v>-1</v>
      </c>
    </row>
    <row r="51" spans="1:26" s="24" customFormat="1" hidden="1" outlineLevel="1" x14ac:dyDescent="0.25">
      <c r="A51" s="44"/>
      <c r="B51" s="11" t="str">
        <f>CONCATENATE("          ", "4340", " - ", "SALES RETURN NON TAXABLE-LOGO")</f>
        <v xml:space="preserve">          4340 - SALES RETURN NON TAXABLE-LOGO</v>
      </c>
      <c r="C51" s="11"/>
      <c r="D51" s="2">
        <f>-203.75</f>
        <v>-203.75</v>
      </c>
      <c r="E51" s="2"/>
      <c r="F51" s="19"/>
      <c r="G51" s="2"/>
      <c r="H51" s="2">
        <f>-29.95</f>
        <v>-29.95</v>
      </c>
      <c r="I51" s="2"/>
      <c r="J51" s="19"/>
      <c r="K51" s="2"/>
      <c r="L51" s="2">
        <f t="shared" si="0"/>
        <v>-173.8</v>
      </c>
      <c r="M51" s="2"/>
      <c r="N51" s="19">
        <f t="shared" si="1"/>
        <v>5.8030050083472462</v>
      </c>
      <c r="O51" s="11"/>
      <c r="P51" s="2">
        <f>-940.48</f>
        <v>-940.48</v>
      </c>
      <c r="Q51" s="2"/>
      <c r="R51" s="19"/>
      <c r="S51" s="2"/>
      <c r="T51" s="2">
        <f>-323.4</f>
        <v>-323.39999999999998</v>
      </c>
      <c r="U51" s="2"/>
      <c r="V51" s="19"/>
      <c r="W51" s="2"/>
      <c r="X51" s="2">
        <f t="shared" si="2"/>
        <v>-617.08000000000004</v>
      </c>
      <c r="Y51" s="2"/>
      <c r="Z51" s="19">
        <f t="shared" si="3"/>
        <v>1.9081014223871369</v>
      </c>
    </row>
    <row r="52" spans="1:26" s="24" customFormat="1" hidden="1" outlineLevel="1" x14ac:dyDescent="0.25">
      <c r="A52" s="44"/>
      <c r="B52" s="11" t="str">
        <f>CONCATENATE("          ", "4341", " - ", "SALES RETURN NON TAXABLE-LOGO")</f>
        <v xml:space="preserve">          4341 - SALES RETURN NON TAXABLE-LOGO</v>
      </c>
      <c r="C52" s="11"/>
      <c r="D52" s="2">
        <f>-154.89</f>
        <v>-154.88999999999999</v>
      </c>
      <c r="E52" s="2"/>
      <c r="F52" s="19"/>
      <c r="G52" s="2"/>
      <c r="H52" s="2">
        <f>0</f>
        <v>0</v>
      </c>
      <c r="I52" s="2"/>
      <c r="J52" s="19"/>
      <c r="K52" s="2"/>
      <c r="L52" s="2">
        <f t="shared" si="0"/>
        <v>-154.88999999999999</v>
      </c>
      <c r="M52" s="2"/>
      <c r="N52" s="19">
        <f t="shared" si="1"/>
        <v>0</v>
      </c>
      <c r="O52" s="11"/>
      <c r="P52" s="2">
        <f>-301.79</f>
        <v>-301.79000000000002</v>
      </c>
      <c r="Q52" s="2"/>
      <c r="R52" s="19"/>
      <c r="S52" s="2"/>
      <c r="T52" s="2">
        <f>-10.9</f>
        <v>-10.9</v>
      </c>
      <c r="U52" s="2"/>
      <c r="V52" s="19"/>
      <c r="W52" s="2"/>
      <c r="X52" s="2">
        <f t="shared" si="2"/>
        <v>-290.89000000000004</v>
      </c>
      <c r="Y52" s="2"/>
      <c r="Z52" s="19">
        <f t="shared" si="3"/>
        <v>26.687155963302754</v>
      </c>
    </row>
    <row r="53" spans="1:26" s="24" customFormat="1" hidden="1" outlineLevel="1" x14ac:dyDescent="0.25">
      <c r="A53" s="44"/>
      <c r="B53" s="11" t="str">
        <f>CONCATENATE("          ", "4342", " - ", "SALES RETURN NON TAXABLE-EVERY")</f>
        <v xml:space="preserve">          4342 - SALES RETURN NON TAXABLE-EVERY</v>
      </c>
      <c r="C53" s="11"/>
      <c r="D53" s="2">
        <f>0</f>
        <v>0</v>
      </c>
      <c r="E53" s="2"/>
      <c r="F53" s="19"/>
      <c r="G53" s="2"/>
      <c r="H53" s="2">
        <f>-6.95</f>
        <v>-6.95</v>
      </c>
      <c r="I53" s="2"/>
      <c r="J53" s="19"/>
      <c r="K53" s="2"/>
      <c r="L53" s="2">
        <f t="shared" si="0"/>
        <v>6.95</v>
      </c>
      <c r="M53" s="2"/>
      <c r="N53" s="19">
        <f t="shared" si="1"/>
        <v>-1</v>
      </c>
      <c r="O53" s="11"/>
      <c r="P53" s="2">
        <f>-118.7</f>
        <v>-118.7</v>
      </c>
      <c r="Q53" s="2"/>
      <c r="R53" s="19"/>
      <c r="S53" s="2"/>
      <c r="T53" s="2">
        <f>-109.8</f>
        <v>-109.8</v>
      </c>
      <c r="U53" s="2"/>
      <c r="V53" s="19"/>
      <c r="W53" s="2"/>
      <c r="X53" s="2">
        <f t="shared" si="2"/>
        <v>-8.9000000000000057</v>
      </c>
      <c r="Y53" s="2"/>
      <c r="Z53" s="19">
        <f t="shared" si="3"/>
        <v>8.1056466302367999E-2</v>
      </c>
    </row>
    <row r="54" spans="1:26" x14ac:dyDescent="0.2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collapsed="1" x14ac:dyDescent="0.25">
      <c r="A55" s="10"/>
      <c r="B55" s="29" t="s">
        <v>8</v>
      </c>
      <c r="C55" s="10"/>
      <c r="D55" s="4">
        <f>SUM(OSRRefD16x_0)</f>
        <v>54804</v>
      </c>
      <c r="E55" s="4"/>
      <c r="F55" s="12">
        <f t="shared" ref="F55:F82" si="14">IF(D$12=0,0,D55/D$12)</f>
        <v>0.5434176352527762</v>
      </c>
      <c r="G55" s="4"/>
      <c r="H55" s="4">
        <f>SUM(OSRRefH16x_0)</f>
        <v>154922.69000000003</v>
      </c>
      <c r="I55" s="4"/>
      <c r="J55" s="12">
        <f t="shared" ref="J55:J82" si="15">IF(H$12=0,0,H55/H$12)</f>
        <v>0.47033158468875663</v>
      </c>
      <c r="K55" s="4"/>
      <c r="L55" s="4">
        <f t="shared" ref="L55:L82" si="16">+D55-H55</f>
        <v>-100118.69000000003</v>
      </c>
      <c r="M55" s="4"/>
      <c r="N55" s="12">
        <f t="shared" ref="N55:N82" si="17">IF(H55=0,0,L55/H55)</f>
        <v>-0.64624936476380579</v>
      </c>
      <c r="O55" s="10"/>
      <c r="P55" s="4">
        <f>SUM(OSRRefP16x_0)</f>
        <v>474333.54000000004</v>
      </c>
      <c r="Q55" s="4"/>
      <c r="R55" s="12">
        <f t="shared" ref="R55:R82" si="18">IF(P$12=0,0,P55/P$12)</f>
        <v>0.58138521467280158</v>
      </c>
      <c r="S55" s="4"/>
      <c r="T55" s="4">
        <f>SUM(OSRRefT16x_0)</f>
        <v>666143.97999999986</v>
      </c>
      <c r="U55" s="4"/>
      <c r="V55" s="12">
        <f t="shared" ref="V55:V82" si="19">IF(T$12=0,0,T55/T$12)</f>
        <v>0.45884437043049126</v>
      </c>
      <c r="W55" s="4"/>
      <c r="X55" s="4">
        <f t="shared" ref="X55:X82" si="20">+P55-T55</f>
        <v>-191810.43999999983</v>
      </c>
      <c r="Y55" s="4"/>
      <c r="Z55" s="12">
        <f t="shared" ref="Z55:Z82" si="21">IF(T55=0,0,X55/T55)</f>
        <v>-0.28794141470737283</v>
      </c>
    </row>
    <row r="56" spans="1:26" s="24" customFormat="1" hidden="1" outlineLevel="1" x14ac:dyDescent="0.25">
      <c r="A56" s="44"/>
      <c r="B56" s="11" t="str">
        <f>CONCATENATE("          ", "5025", " - ", "PURCHASES @ COST-TEST FORMS")</f>
        <v xml:space="preserve">          5025 - PURCHASES @ COST-TEST FORMS</v>
      </c>
      <c r="C56" s="11"/>
      <c r="D56" s="2"/>
      <c r="E56" s="2"/>
      <c r="F56" s="19">
        <f t="shared" si="14"/>
        <v>0</v>
      </c>
      <c r="G56" s="2"/>
      <c r="H56" s="2"/>
      <c r="I56" s="2"/>
      <c r="J56" s="19">
        <f t="shared" si="15"/>
        <v>0</v>
      </c>
      <c r="K56" s="2"/>
      <c r="L56" s="2">
        <f t="shared" si="16"/>
        <v>0</v>
      </c>
      <c r="M56" s="2"/>
      <c r="N56" s="19">
        <f t="shared" si="17"/>
        <v>0</v>
      </c>
      <c r="O56" s="11"/>
      <c r="P56" s="2">
        <v>599.29</v>
      </c>
      <c r="Q56" s="2"/>
      <c r="R56" s="19">
        <f t="shared" si="18"/>
        <v>7.3454292374362394E-4</v>
      </c>
      <c r="S56" s="2"/>
      <c r="T56" s="2"/>
      <c r="U56" s="2"/>
      <c r="V56" s="19">
        <f t="shared" si="19"/>
        <v>0</v>
      </c>
      <c r="W56" s="2"/>
      <c r="X56" s="2">
        <f t="shared" si="20"/>
        <v>599.29</v>
      </c>
      <c r="Y56" s="2"/>
      <c r="Z56" s="19">
        <f t="shared" si="21"/>
        <v>0</v>
      </c>
    </row>
    <row r="57" spans="1:26" s="24" customFormat="1" hidden="1" outlineLevel="1" x14ac:dyDescent="0.25">
      <c r="A57" s="44"/>
      <c r="B57" s="11" t="str">
        <f>CONCATENATE("          ", "5026", " - ", "PURCHASES @ COST-WRITING INSTR")</f>
        <v xml:space="preserve">          5026 - PURCHASES @ COST-WRITING INSTR</v>
      </c>
      <c r="C57" s="11"/>
      <c r="D57" s="2"/>
      <c r="E57" s="2"/>
      <c r="F57" s="19">
        <f t="shared" si="14"/>
        <v>0</v>
      </c>
      <c r="G57" s="2"/>
      <c r="H57" s="2">
        <v>-0.9</v>
      </c>
      <c r="I57" s="2"/>
      <c r="J57" s="19">
        <f t="shared" si="15"/>
        <v>-2.7323203994190967E-6</v>
      </c>
      <c r="K57" s="2"/>
      <c r="L57" s="2">
        <f t="shared" si="16"/>
        <v>0.9</v>
      </c>
      <c r="M57" s="2"/>
      <c r="N57" s="19">
        <f t="shared" si="17"/>
        <v>-1</v>
      </c>
      <c r="O57" s="11"/>
      <c r="P57" s="2">
        <v>10</v>
      </c>
      <c r="Q57" s="2"/>
      <c r="R57" s="19">
        <f t="shared" si="18"/>
        <v>1.2256886044212719E-5</v>
      </c>
      <c r="S57" s="2"/>
      <c r="T57" s="2">
        <v>-37.270000000000003</v>
      </c>
      <c r="U57" s="2"/>
      <c r="V57" s="19">
        <f t="shared" si="19"/>
        <v>-2.567182200752518E-5</v>
      </c>
      <c r="W57" s="2"/>
      <c r="X57" s="2">
        <f t="shared" si="20"/>
        <v>47.27</v>
      </c>
      <c r="Y57" s="2"/>
      <c r="Z57" s="19">
        <f t="shared" si="21"/>
        <v>-1.2683123155352831</v>
      </c>
    </row>
    <row r="58" spans="1:26" s="24" customFormat="1" hidden="1" outlineLevel="1" x14ac:dyDescent="0.25">
      <c r="A58" s="44"/>
      <c r="B58" s="11" t="str">
        <f>CONCATENATE("          ", "5027", " - ", "PURCHASES @ COST-SCHOOL SUPPLI")</f>
        <v xml:space="preserve">          5027 - PURCHASES @ COST-SCHOOL SUPPLI</v>
      </c>
      <c r="C58" s="11"/>
      <c r="D58" s="2"/>
      <c r="E58" s="2"/>
      <c r="F58" s="19">
        <f t="shared" si="14"/>
        <v>0</v>
      </c>
      <c r="G58" s="2"/>
      <c r="H58" s="2">
        <v>4.29</v>
      </c>
      <c r="I58" s="2"/>
      <c r="J58" s="19">
        <f t="shared" si="15"/>
        <v>1.3024060570564361E-5</v>
      </c>
      <c r="K58" s="2"/>
      <c r="L58" s="2">
        <f t="shared" si="16"/>
        <v>-4.29</v>
      </c>
      <c r="M58" s="2"/>
      <c r="N58" s="19">
        <f t="shared" si="17"/>
        <v>-1</v>
      </c>
      <c r="O58" s="11"/>
      <c r="P58" s="2">
        <v>18175.88</v>
      </c>
      <c r="Q58" s="2"/>
      <c r="R58" s="19">
        <f t="shared" si="18"/>
        <v>2.2277968991328508E-2</v>
      </c>
      <c r="S58" s="2"/>
      <c r="T58" s="2">
        <v>51.29</v>
      </c>
      <c r="U58" s="2"/>
      <c r="V58" s="19">
        <f t="shared" si="19"/>
        <v>3.5328890549127081E-5</v>
      </c>
      <c r="W58" s="2"/>
      <c r="X58" s="2">
        <f t="shared" si="20"/>
        <v>18124.59</v>
      </c>
      <c r="Y58" s="2"/>
      <c r="Z58" s="19">
        <f t="shared" si="21"/>
        <v>353.37473191655295</v>
      </c>
    </row>
    <row r="59" spans="1:26" s="24" customFormat="1" hidden="1" outlineLevel="1" x14ac:dyDescent="0.25">
      <c r="A59" s="44"/>
      <c r="B59" s="11" t="str">
        <f>CONCATENATE("          ", "5028", " - ", "PURCHASES @ COST-ART/TECH")</f>
        <v xml:space="preserve">          5028 - PURCHASES @ COST-ART/TECH</v>
      </c>
      <c r="C59" s="11"/>
      <c r="D59" s="2"/>
      <c r="E59" s="2"/>
      <c r="F59" s="19">
        <f t="shared" si="14"/>
        <v>0</v>
      </c>
      <c r="G59" s="2"/>
      <c r="H59" s="2"/>
      <c r="I59" s="2"/>
      <c r="J59" s="19">
        <f t="shared" si="15"/>
        <v>0</v>
      </c>
      <c r="K59" s="2"/>
      <c r="L59" s="2">
        <f t="shared" si="16"/>
        <v>0</v>
      </c>
      <c r="M59" s="2"/>
      <c r="N59" s="19">
        <f t="shared" si="17"/>
        <v>0</v>
      </c>
      <c r="O59" s="11"/>
      <c r="P59" s="2">
        <v>-83.4</v>
      </c>
      <c r="Q59" s="2"/>
      <c r="R59" s="19">
        <f t="shared" si="18"/>
        <v>-1.0222242960873408E-4</v>
      </c>
      <c r="S59" s="2"/>
      <c r="T59" s="2"/>
      <c r="U59" s="2"/>
      <c r="V59" s="19">
        <f t="shared" si="19"/>
        <v>0</v>
      </c>
      <c r="W59" s="2"/>
      <c r="X59" s="2">
        <f t="shared" si="20"/>
        <v>-83.4</v>
      </c>
      <c r="Y59" s="2"/>
      <c r="Z59" s="19">
        <f t="shared" si="21"/>
        <v>0</v>
      </c>
    </row>
    <row r="60" spans="1:26" s="24" customFormat="1" hidden="1" outlineLevel="1" x14ac:dyDescent="0.25">
      <c r="A60" s="44"/>
      <c r="B60" s="11" t="str">
        <f>CONCATENATE("          ", "5031", " - ", "PURCHASES @ COST-FOOD")</f>
        <v xml:space="preserve">          5031 - PURCHASES @ COST-FOOD</v>
      </c>
      <c r="C60" s="11"/>
      <c r="D60" s="2"/>
      <c r="E60" s="2"/>
      <c r="F60" s="19">
        <f t="shared" si="14"/>
        <v>0</v>
      </c>
      <c r="G60" s="2"/>
      <c r="H60" s="2"/>
      <c r="I60" s="2"/>
      <c r="J60" s="19">
        <f t="shared" si="15"/>
        <v>0</v>
      </c>
      <c r="K60" s="2"/>
      <c r="L60" s="2">
        <f t="shared" si="16"/>
        <v>0</v>
      </c>
      <c r="M60" s="2"/>
      <c r="N60" s="19">
        <f t="shared" si="17"/>
        <v>0</v>
      </c>
      <c r="O60" s="11"/>
      <c r="P60" s="2">
        <v>5605.43</v>
      </c>
      <c r="Q60" s="2"/>
      <c r="R60" s="19">
        <f t="shared" si="18"/>
        <v>6.8705116738811299E-3</v>
      </c>
      <c r="S60" s="2"/>
      <c r="T60" s="2"/>
      <c r="U60" s="2"/>
      <c r="V60" s="19">
        <f t="shared" si="19"/>
        <v>0</v>
      </c>
      <c r="W60" s="2"/>
      <c r="X60" s="2">
        <f t="shared" si="20"/>
        <v>5605.43</v>
      </c>
      <c r="Y60" s="2"/>
      <c r="Z60" s="19">
        <f t="shared" si="21"/>
        <v>0</v>
      </c>
    </row>
    <row r="61" spans="1:26" s="24" customFormat="1" hidden="1" outlineLevel="1" x14ac:dyDescent="0.25">
      <c r="A61" s="44"/>
      <c r="B61" s="11" t="str">
        <f>CONCATENATE("          ", "5037", " - ", "PURCHASES @ COST-WATER")</f>
        <v xml:space="preserve">          5037 - PURCHASES @ COST-WATER</v>
      </c>
      <c r="C61" s="11"/>
      <c r="D61" s="2"/>
      <c r="E61" s="2"/>
      <c r="F61" s="19">
        <f t="shared" si="14"/>
        <v>0</v>
      </c>
      <c r="G61" s="2"/>
      <c r="H61" s="2"/>
      <c r="I61" s="2"/>
      <c r="J61" s="19">
        <f t="shared" si="15"/>
        <v>0</v>
      </c>
      <c r="K61" s="2"/>
      <c r="L61" s="2">
        <f t="shared" si="16"/>
        <v>0</v>
      </c>
      <c r="M61" s="2"/>
      <c r="N61" s="19">
        <f t="shared" si="17"/>
        <v>0</v>
      </c>
      <c r="O61" s="11"/>
      <c r="P61" s="2"/>
      <c r="Q61" s="2"/>
      <c r="R61" s="19">
        <f t="shared" si="18"/>
        <v>0</v>
      </c>
      <c r="S61" s="2"/>
      <c r="T61" s="2">
        <v>29.76</v>
      </c>
      <c r="U61" s="2"/>
      <c r="V61" s="19">
        <f t="shared" si="19"/>
        <v>2.049888443638179E-5</v>
      </c>
      <c r="W61" s="2"/>
      <c r="X61" s="2">
        <f t="shared" si="20"/>
        <v>-29.76</v>
      </c>
      <c r="Y61" s="2"/>
      <c r="Z61" s="19">
        <f t="shared" si="21"/>
        <v>-1</v>
      </c>
    </row>
    <row r="62" spans="1:26" s="24" customFormat="1" hidden="1" outlineLevel="1" x14ac:dyDescent="0.25">
      <c r="A62" s="44"/>
      <c r="B62" s="11" t="str">
        <f>CONCATENATE("          ", "5040", " - ", "PURCHASES @ COST-LOGO CLOTHING")</f>
        <v xml:space="preserve">          5040 - PURCHASES @ COST-LOGO CLOTHING</v>
      </c>
      <c r="C62" s="11"/>
      <c r="D62" s="2">
        <v>55124.33</v>
      </c>
      <c r="E62" s="2"/>
      <c r="F62" s="19">
        <f t="shared" si="14"/>
        <v>0.5465939174785357</v>
      </c>
      <c r="G62" s="2"/>
      <c r="H62" s="2">
        <v>105691.4</v>
      </c>
      <c r="I62" s="2"/>
      <c r="J62" s="19">
        <f t="shared" si="15"/>
        <v>0.32086974251462613</v>
      </c>
      <c r="K62" s="2"/>
      <c r="L62" s="2">
        <f t="shared" si="16"/>
        <v>-50567.069999999992</v>
      </c>
      <c r="M62" s="2"/>
      <c r="N62" s="19">
        <f t="shared" si="17"/>
        <v>-0.47844072460010934</v>
      </c>
      <c r="O62" s="11"/>
      <c r="P62" s="2">
        <v>94295.28</v>
      </c>
      <c r="Q62" s="2"/>
      <c r="R62" s="19">
        <f t="shared" si="18"/>
        <v>0.11557665014671306</v>
      </c>
      <c r="S62" s="2"/>
      <c r="T62" s="2">
        <v>618292.30999999994</v>
      </c>
      <c r="U62" s="2"/>
      <c r="V62" s="19">
        <f t="shared" si="19"/>
        <v>0.42588382428069704</v>
      </c>
      <c r="W62" s="2"/>
      <c r="X62" s="2">
        <f t="shared" si="20"/>
        <v>-523997.02999999991</v>
      </c>
      <c r="Y62" s="2"/>
      <c r="Z62" s="19">
        <f t="shared" si="21"/>
        <v>-0.84749077665222772</v>
      </c>
    </row>
    <row r="63" spans="1:26" s="24" customFormat="1" hidden="1" outlineLevel="1" x14ac:dyDescent="0.25">
      <c r="A63" s="44"/>
      <c r="B63" s="11" t="str">
        <f>CONCATENATE("          ", "5041", " - ", "PURCHASES @ COST-LOGO GIFTS")</f>
        <v xml:space="preserve">          5041 - PURCHASES @ COST-LOGO GIFTS</v>
      </c>
      <c r="C63" s="11"/>
      <c r="D63" s="2">
        <v>9354.43</v>
      </c>
      <c r="E63" s="2"/>
      <c r="F63" s="19">
        <f t="shared" si="14"/>
        <v>9.275531402338566E-2</v>
      </c>
      <c r="G63" s="2"/>
      <c r="H63" s="2">
        <v>18340.09</v>
      </c>
      <c r="I63" s="2"/>
      <c r="J63" s="19">
        <f t="shared" si="15"/>
        <v>5.567889114909131E-2</v>
      </c>
      <c r="K63" s="2"/>
      <c r="L63" s="2">
        <f t="shared" si="16"/>
        <v>-8985.66</v>
      </c>
      <c r="M63" s="2"/>
      <c r="N63" s="19">
        <f t="shared" si="17"/>
        <v>-0.48994634159374351</v>
      </c>
      <c r="O63" s="11"/>
      <c r="P63" s="2">
        <v>26641.769999999997</v>
      </c>
      <c r="Q63" s="2"/>
      <c r="R63" s="19">
        <f t="shared" si="18"/>
        <v>3.2654513890612503E-2</v>
      </c>
      <c r="S63" s="2"/>
      <c r="T63" s="2">
        <v>88796.55</v>
      </c>
      <c r="U63" s="2"/>
      <c r="V63" s="19">
        <f t="shared" si="19"/>
        <v>6.1163649758044274E-2</v>
      </c>
      <c r="W63" s="2"/>
      <c r="X63" s="2">
        <f t="shared" si="20"/>
        <v>-62154.780000000006</v>
      </c>
      <c r="Y63" s="2"/>
      <c r="Z63" s="19">
        <f t="shared" si="21"/>
        <v>-0.69996841093488438</v>
      </c>
    </row>
    <row r="64" spans="1:26" s="24" customFormat="1" hidden="1" outlineLevel="1" x14ac:dyDescent="0.25">
      <c r="A64" s="44"/>
      <c r="B64" s="11" t="str">
        <f>CONCATENATE("          ", "5042", " - ", "PURCHASES @ COST-EVERYDAY GIFT")</f>
        <v xml:space="preserve">          5042 - PURCHASES @ COST-EVERYDAY GIFT</v>
      </c>
      <c r="C64" s="11"/>
      <c r="D64" s="2"/>
      <c r="E64" s="2"/>
      <c r="F64" s="19">
        <f t="shared" si="14"/>
        <v>0</v>
      </c>
      <c r="G64" s="2"/>
      <c r="H64" s="2">
        <v>31316.85</v>
      </c>
      <c r="I64" s="2"/>
      <c r="J64" s="19">
        <f t="shared" si="15"/>
        <v>9.5075186778386597E-2</v>
      </c>
      <c r="K64" s="2"/>
      <c r="L64" s="2">
        <f t="shared" si="16"/>
        <v>-31316.85</v>
      </c>
      <c r="M64" s="2"/>
      <c r="N64" s="19">
        <f t="shared" si="17"/>
        <v>-1</v>
      </c>
      <c r="O64" s="11"/>
      <c r="P64" s="2">
        <v>10912.68</v>
      </c>
      <c r="Q64" s="2"/>
      <c r="R64" s="19">
        <f t="shared" si="18"/>
        <v>1.3375547519695925E-2</v>
      </c>
      <c r="S64" s="2"/>
      <c r="T64" s="2">
        <v>80565.319999999992</v>
      </c>
      <c r="U64" s="2"/>
      <c r="V64" s="19">
        <f t="shared" si="19"/>
        <v>5.5493924202288929E-2</v>
      </c>
      <c r="W64" s="2"/>
      <c r="X64" s="2">
        <f t="shared" si="20"/>
        <v>-69652.639999999985</v>
      </c>
      <c r="Y64" s="2"/>
      <c r="Z64" s="19">
        <f t="shared" si="21"/>
        <v>-0.8645486668457345</v>
      </c>
    </row>
    <row r="65" spans="1:26" s="24" customFormat="1" hidden="1" outlineLevel="1" x14ac:dyDescent="0.25">
      <c r="A65" s="44"/>
      <c r="B65" s="11" t="str">
        <f>CONCATENATE("          ", "5043", " - ", "PURCHASES @ COST-CARDS")</f>
        <v xml:space="preserve">          5043 - PURCHASES @ COST-CARDS</v>
      </c>
      <c r="C65" s="11"/>
      <c r="D65" s="2">
        <v>38530.230000000003</v>
      </c>
      <c r="E65" s="2"/>
      <c r="F65" s="19">
        <f t="shared" si="14"/>
        <v>0.38205252303382192</v>
      </c>
      <c r="G65" s="2"/>
      <c r="H65" s="2">
        <v>2188.66</v>
      </c>
      <c r="I65" s="2"/>
      <c r="J65" s="19">
        <f t="shared" si="15"/>
        <v>6.6445781837695551E-3</v>
      </c>
      <c r="K65" s="2"/>
      <c r="L65" s="2">
        <f t="shared" si="16"/>
        <v>36341.570000000007</v>
      </c>
      <c r="M65" s="2"/>
      <c r="N65" s="19">
        <f t="shared" si="17"/>
        <v>16.604484022187094</v>
      </c>
      <c r="O65" s="11"/>
      <c r="P65" s="2">
        <v>44173.23</v>
      </c>
      <c r="Q65" s="2"/>
      <c r="R65" s="19">
        <f t="shared" si="18"/>
        <v>5.4142624631479862E-2</v>
      </c>
      <c r="S65" s="2"/>
      <c r="T65" s="2">
        <v>3528.74</v>
      </c>
      <c r="U65" s="2"/>
      <c r="V65" s="19">
        <f t="shared" si="19"/>
        <v>2.4306194041007353E-3</v>
      </c>
      <c r="W65" s="2"/>
      <c r="X65" s="2">
        <f t="shared" si="20"/>
        <v>40644.490000000005</v>
      </c>
      <c r="Y65" s="2"/>
      <c r="Z65" s="19">
        <f t="shared" si="21"/>
        <v>11.518131117622723</v>
      </c>
    </row>
    <row r="66" spans="1:26" s="24" customFormat="1" hidden="1" outlineLevel="1" x14ac:dyDescent="0.25">
      <c r="A66" s="44"/>
      <c r="B66" s="11" t="str">
        <f>CONCATENATE("          ", "5044", " - ", "PURCHASES @ COST-ACCESSORIES")</f>
        <v xml:space="preserve">          5044 - PURCHASES @ COST-ACCESSORIES</v>
      </c>
      <c r="C66" s="11"/>
      <c r="D66" s="2">
        <v>282.33</v>
      </c>
      <c r="E66" s="2"/>
      <c r="F66" s="19">
        <f t="shared" si="14"/>
        <v>2.7994872812370686E-3</v>
      </c>
      <c r="G66" s="2"/>
      <c r="H66" s="2">
        <v>-6895.55</v>
      </c>
      <c r="I66" s="2"/>
      <c r="J66" s="19">
        <f t="shared" si="15"/>
        <v>-2.0934279922460393E-2</v>
      </c>
      <c r="K66" s="2"/>
      <c r="L66" s="2">
        <f t="shared" si="16"/>
        <v>7177.88</v>
      </c>
      <c r="M66" s="2"/>
      <c r="N66" s="19">
        <f t="shared" si="17"/>
        <v>-1.0409437970865267</v>
      </c>
      <c r="O66" s="11"/>
      <c r="P66" s="2">
        <v>282.33</v>
      </c>
      <c r="Q66" s="2"/>
      <c r="R66" s="19">
        <f t="shared" si="18"/>
        <v>3.4604866368625765E-4</v>
      </c>
      <c r="S66" s="2"/>
      <c r="T66" s="2">
        <v>17255.580000000002</v>
      </c>
      <c r="U66" s="2"/>
      <c r="V66" s="19">
        <f t="shared" si="19"/>
        <v>1.1885757402645865E-2</v>
      </c>
      <c r="W66" s="2"/>
      <c r="X66" s="2">
        <f t="shared" si="20"/>
        <v>-16973.25</v>
      </c>
      <c r="Y66" s="2"/>
      <c r="Z66" s="19">
        <f t="shared" si="21"/>
        <v>-0.98363833612083729</v>
      </c>
    </row>
    <row r="67" spans="1:26" s="24" customFormat="1" hidden="1" outlineLevel="1" x14ac:dyDescent="0.25">
      <c r="A67" s="44"/>
      <c r="B67" s="11" t="str">
        <f>CONCATENATE("          ", "5045", " - ", "PURCHASES @ COST-SPECIAL ORDER")</f>
        <v xml:space="preserve">          5045 - PURCHASES @ COST-SPECIAL ORDER</v>
      </c>
      <c r="C67" s="11"/>
      <c r="D67" s="2">
        <v>5678</v>
      </c>
      <c r="E67" s="2"/>
      <c r="F67" s="19">
        <f t="shared" si="14"/>
        <v>5.6301097236794086E-2</v>
      </c>
      <c r="G67" s="2"/>
      <c r="H67" s="2">
        <v>14163.29</v>
      </c>
      <c r="I67" s="2"/>
      <c r="J67" s="19">
        <f t="shared" si="15"/>
        <v>4.2998495766542778E-2</v>
      </c>
      <c r="K67" s="2"/>
      <c r="L67" s="2">
        <f t="shared" si="16"/>
        <v>-8485.2900000000009</v>
      </c>
      <c r="M67" s="2"/>
      <c r="N67" s="19">
        <f t="shared" si="17"/>
        <v>-0.59910444536544827</v>
      </c>
      <c r="O67" s="11"/>
      <c r="P67" s="2">
        <v>76932.51999999999</v>
      </c>
      <c r="Q67" s="2"/>
      <c r="R67" s="19">
        <f t="shared" si="18"/>
        <v>9.4295313073411574E-2</v>
      </c>
      <c r="S67" s="2"/>
      <c r="T67" s="2">
        <v>42226.49</v>
      </c>
      <c r="U67" s="2"/>
      <c r="V67" s="19">
        <f t="shared" si="19"/>
        <v>2.9085885035753739E-2</v>
      </c>
      <c r="W67" s="2"/>
      <c r="X67" s="2">
        <f t="shared" si="20"/>
        <v>34706.029999999992</v>
      </c>
      <c r="Y67" s="2"/>
      <c r="Z67" s="19">
        <f t="shared" si="21"/>
        <v>0.82190184407939171</v>
      </c>
    </row>
    <row r="68" spans="1:26" s="24" customFormat="1" hidden="1" outlineLevel="1" x14ac:dyDescent="0.25">
      <c r="A68" s="44"/>
      <c r="B68" s="11" t="str">
        <f>CONCATENATE("          ", "5083", " - ", "PURCHASES @ COST-COMPUTER EQUI")</f>
        <v xml:space="preserve">          5083 - PURCHASES @ COST-COMPUTER EQUI</v>
      </c>
      <c r="C68" s="11"/>
      <c r="D68" s="2"/>
      <c r="E68" s="2"/>
      <c r="F68" s="19">
        <f t="shared" si="14"/>
        <v>0</v>
      </c>
      <c r="G68" s="2"/>
      <c r="H68" s="2"/>
      <c r="I68" s="2"/>
      <c r="J68" s="19">
        <f t="shared" si="15"/>
        <v>0</v>
      </c>
      <c r="K68" s="2"/>
      <c r="L68" s="2">
        <f t="shared" si="16"/>
        <v>0</v>
      </c>
      <c r="M68" s="2"/>
      <c r="N68" s="19">
        <f t="shared" si="17"/>
        <v>0</v>
      </c>
      <c r="O68" s="11"/>
      <c r="P68" s="2"/>
      <c r="Q68" s="2"/>
      <c r="R68" s="19">
        <f t="shared" si="18"/>
        <v>0</v>
      </c>
      <c r="S68" s="2"/>
      <c r="T68" s="2">
        <v>39.950000000000003</v>
      </c>
      <c r="U68" s="2"/>
      <c r="V68" s="19">
        <f t="shared" si="19"/>
        <v>2.7517823697360639E-5</v>
      </c>
      <c r="W68" s="2"/>
      <c r="X68" s="2">
        <f t="shared" si="20"/>
        <v>-39.950000000000003</v>
      </c>
      <c r="Y68" s="2"/>
      <c r="Z68" s="19">
        <f t="shared" si="21"/>
        <v>-1</v>
      </c>
    </row>
    <row r="69" spans="1:26" s="24" customFormat="1" hidden="1" outlineLevel="1" x14ac:dyDescent="0.25">
      <c r="A69" s="44"/>
      <c r="B69" s="11" t="str">
        <f>CONCATENATE("          ", "5092", " - ", "PURCHASES @ COST-GRAD MERCH")</f>
        <v xml:space="preserve">          5092 - PURCHASES @ COST-GRAD MERCH</v>
      </c>
      <c r="C69" s="11"/>
      <c r="D69" s="2"/>
      <c r="E69" s="2"/>
      <c r="F69" s="19">
        <f t="shared" si="14"/>
        <v>0</v>
      </c>
      <c r="G69" s="2"/>
      <c r="H69" s="2"/>
      <c r="I69" s="2"/>
      <c r="J69" s="19">
        <f t="shared" si="15"/>
        <v>0</v>
      </c>
      <c r="K69" s="2"/>
      <c r="L69" s="2">
        <f t="shared" si="16"/>
        <v>0</v>
      </c>
      <c r="M69" s="2"/>
      <c r="N69" s="19">
        <f t="shared" si="17"/>
        <v>0</v>
      </c>
      <c r="O69" s="11"/>
      <c r="P69" s="2"/>
      <c r="Q69" s="2"/>
      <c r="R69" s="19">
        <f t="shared" si="18"/>
        <v>0</v>
      </c>
      <c r="S69" s="2"/>
      <c r="T69" s="2">
        <v>-60.35</v>
      </c>
      <c r="U69" s="2"/>
      <c r="V69" s="19">
        <f t="shared" si="19"/>
        <v>-4.1569478351332023E-5</v>
      </c>
      <c r="W69" s="2"/>
      <c r="X69" s="2">
        <f t="shared" si="20"/>
        <v>60.35</v>
      </c>
      <c r="Y69" s="2"/>
      <c r="Z69" s="19">
        <f t="shared" si="21"/>
        <v>-1</v>
      </c>
    </row>
    <row r="70" spans="1:26" s="24" customFormat="1" hidden="1" outlineLevel="1" x14ac:dyDescent="0.25">
      <c r="A70" s="44"/>
      <c r="B70" s="11" t="str">
        <f>CONCATENATE("          ", "5095", " - ", "PURCHASES @ COST-CUSTOMER SERV")</f>
        <v xml:space="preserve">          5095 - PURCHASES @ COST-CUSTOMER SERV</v>
      </c>
      <c r="C70" s="11"/>
      <c r="D70" s="2"/>
      <c r="E70" s="2"/>
      <c r="F70" s="19">
        <f t="shared" si="14"/>
        <v>0</v>
      </c>
      <c r="G70" s="2"/>
      <c r="H70" s="2"/>
      <c r="I70" s="2"/>
      <c r="J70" s="19">
        <f t="shared" si="15"/>
        <v>0</v>
      </c>
      <c r="K70" s="2"/>
      <c r="L70" s="2">
        <f t="shared" si="16"/>
        <v>0</v>
      </c>
      <c r="M70" s="2"/>
      <c r="N70" s="19">
        <f t="shared" si="17"/>
        <v>0</v>
      </c>
      <c r="O70" s="11"/>
      <c r="P70" s="2"/>
      <c r="Q70" s="2"/>
      <c r="R70" s="19">
        <f t="shared" si="18"/>
        <v>0</v>
      </c>
      <c r="S70" s="2"/>
      <c r="T70" s="2">
        <v>-11.85</v>
      </c>
      <c r="U70" s="2"/>
      <c r="V70" s="19">
        <f t="shared" si="19"/>
        <v>-8.1623582181157325E-6</v>
      </c>
      <c r="W70" s="2"/>
      <c r="X70" s="2">
        <f t="shared" si="20"/>
        <v>11.85</v>
      </c>
      <c r="Y70" s="2"/>
      <c r="Z70" s="19">
        <f t="shared" si="21"/>
        <v>-1</v>
      </c>
    </row>
    <row r="71" spans="1:26" s="24" customFormat="1" hidden="1" outlineLevel="1" x14ac:dyDescent="0.25">
      <c r="A71" s="44"/>
      <c r="B71" s="11" t="str">
        <f>CONCATENATE("          ", "5200", " - ", "PURCHASES OFFSET")</f>
        <v xml:space="preserve">          5200 - PURCHASES OFFSET</v>
      </c>
      <c r="C71" s="11"/>
      <c r="D71" s="2">
        <v>-116985.24</v>
      </c>
      <c r="E71" s="2"/>
      <c r="F71" s="19">
        <f t="shared" si="14"/>
        <v>-1.1599854477826159</v>
      </c>
      <c r="G71" s="2"/>
      <c r="H71" s="2">
        <v>-173254</v>
      </c>
      <c r="I71" s="2"/>
      <c r="J71" s="19">
        <f t="shared" si="15"/>
        <v>-0.52598382053439574</v>
      </c>
      <c r="K71" s="2"/>
      <c r="L71" s="2">
        <f t="shared" si="16"/>
        <v>56268.759999999995</v>
      </c>
      <c r="M71" s="2"/>
      <c r="N71" s="19">
        <f t="shared" si="17"/>
        <v>-0.32477610906530291</v>
      </c>
      <c r="O71" s="11"/>
      <c r="P71" s="2">
        <v>-290304.62</v>
      </c>
      <c r="Q71" s="2"/>
      <c r="R71" s="19">
        <f t="shared" si="18"/>
        <v>-0.35582306454484763</v>
      </c>
      <c r="S71" s="2"/>
      <c r="T71" s="2">
        <v>-876248</v>
      </c>
      <c r="U71" s="2"/>
      <c r="V71" s="19">
        <f t="shared" si="19"/>
        <v>-0.60356540623691768</v>
      </c>
      <c r="W71" s="2"/>
      <c r="X71" s="2">
        <f t="shared" si="20"/>
        <v>585943.38</v>
      </c>
      <c r="Y71" s="2"/>
      <c r="Z71" s="19">
        <f t="shared" si="21"/>
        <v>-0.66869582583926013</v>
      </c>
    </row>
    <row r="72" spans="1:26" s="24" customFormat="1" hidden="1" outlineLevel="1" x14ac:dyDescent="0.25">
      <c r="A72" s="44"/>
      <c r="B72" s="11" t="str">
        <f>CONCATENATE("          ", "5300", " - ", "COG$ OFFSET")</f>
        <v xml:space="preserve">          5300 - COG$ OFFSET</v>
      </c>
      <c r="C72" s="11"/>
      <c r="D72" s="2">
        <v>54804</v>
      </c>
      <c r="E72" s="2"/>
      <c r="F72" s="19">
        <f t="shared" si="14"/>
        <v>0.5434176352527762</v>
      </c>
      <c r="G72" s="2"/>
      <c r="H72" s="2">
        <v>154921</v>
      </c>
      <c r="I72" s="2"/>
      <c r="J72" s="19">
        <f t="shared" si="15"/>
        <v>0.47032645399822876</v>
      </c>
      <c r="K72" s="2"/>
      <c r="L72" s="2">
        <f t="shared" si="16"/>
        <v>-100117</v>
      </c>
      <c r="M72" s="2"/>
      <c r="N72" s="19">
        <f t="shared" si="17"/>
        <v>-0.6462455057739106</v>
      </c>
      <c r="O72" s="11"/>
      <c r="P72" s="2">
        <v>473417.00000000006</v>
      </c>
      <c r="Q72" s="2"/>
      <c r="R72" s="19">
        <f t="shared" si="18"/>
        <v>0.58026182203930532</v>
      </c>
      <c r="S72" s="2"/>
      <c r="T72" s="2">
        <v>666116</v>
      </c>
      <c r="U72" s="2"/>
      <c r="V72" s="19">
        <f t="shared" si="19"/>
        <v>0.45882509762180418</v>
      </c>
      <c r="W72" s="2"/>
      <c r="X72" s="2">
        <f t="shared" si="20"/>
        <v>-192698.99999999994</v>
      </c>
      <c r="Y72" s="2"/>
      <c r="Z72" s="19">
        <f t="shared" si="21"/>
        <v>-0.2892874514348851</v>
      </c>
    </row>
    <row r="73" spans="1:26" s="24" customFormat="1" hidden="1" outlineLevel="1" x14ac:dyDescent="0.25">
      <c r="A73" s="44"/>
      <c r="B73" s="11" t="str">
        <f>CONCATENATE("          ", "5500", " - ", "FREIGHT-IN")</f>
        <v xml:space="preserve">          5500 - FREIGHT-IN</v>
      </c>
      <c r="C73" s="11"/>
      <c r="D73" s="2"/>
      <c r="E73" s="2"/>
      <c r="F73" s="19">
        <f t="shared" si="14"/>
        <v>0</v>
      </c>
      <c r="G73" s="2"/>
      <c r="H73" s="2"/>
      <c r="I73" s="2"/>
      <c r="J73" s="19">
        <f t="shared" si="15"/>
        <v>0</v>
      </c>
      <c r="K73" s="2"/>
      <c r="L73" s="2">
        <f t="shared" si="16"/>
        <v>0</v>
      </c>
      <c r="M73" s="2"/>
      <c r="N73" s="19">
        <f t="shared" si="17"/>
        <v>0</v>
      </c>
      <c r="O73" s="11"/>
      <c r="P73" s="2"/>
      <c r="Q73" s="2"/>
      <c r="R73" s="19">
        <f t="shared" si="18"/>
        <v>0</v>
      </c>
      <c r="S73" s="2"/>
      <c r="T73" s="2">
        <v>29.23</v>
      </c>
      <c r="U73" s="2"/>
      <c r="V73" s="19">
        <f t="shared" si="19"/>
        <v>2.0133816938018808E-5</v>
      </c>
      <c r="W73" s="2"/>
      <c r="X73" s="2">
        <f t="shared" si="20"/>
        <v>-29.23</v>
      </c>
      <c r="Y73" s="2"/>
      <c r="Z73" s="19">
        <f t="shared" si="21"/>
        <v>-1</v>
      </c>
    </row>
    <row r="74" spans="1:26" s="24" customFormat="1" hidden="1" outlineLevel="1" x14ac:dyDescent="0.25">
      <c r="A74" s="44"/>
      <c r="B74" s="11" t="str">
        <f>CONCATENATE("          ", "5525", " - ", "FREIGHT-IN-TEST FORMS")</f>
        <v xml:space="preserve">          5525 - FREIGHT-IN-TEST FORMS</v>
      </c>
      <c r="C74" s="11"/>
      <c r="D74" s="2"/>
      <c r="E74" s="2"/>
      <c r="F74" s="19">
        <f t="shared" si="14"/>
        <v>0</v>
      </c>
      <c r="G74" s="2"/>
      <c r="H74" s="2"/>
      <c r="I74" s="2"/>
      <c r="J74" s="19">
        <f t="shared" si="15"/>
        <v>0</v>
      </c>
      <c r="K74" s="2"/>
      <c r="L74" s="2">
        <f t="shared" si="16"/>
        <v>0</v>
      </c>
      <c r="M74" s="2"/>
      <c r="N74" s="19">
        <f t="shared" si="17"/>
        <v>0</v>
      </c>
      <c r="O74" s="11"/>
      <c r="P74" s="2">
        <v>48.14</v>
      </c>
      <c r="Q74" s="2"/>
      <c r="R74" s="19">
        <f t="shared" si="18"/>
        <v>5.9004649416840026E-5</v>
      </c>
      <c r="S74" s="2"/>
      <c r="T74" s="2"/>
      <c r="U74" s="2"/>
      <c r="V74" s="19">
        <f t="shared" si="19"/>
        <v>0</v>
      </c>
      <c r="W74" s="2"/>
      <c r="X74" s="2">
        <f t="shared" si="20"/>
        <v>48.14</v>
      </c>
      <c r="Y74" s="2"/>
      <c r="Z74" s="19">
        <f t="shared" si="21"/>
        <v>0</v>
      </c>
    </row>
    <row r="75" spans="1:26" s="24" customFormat="1" hidden="1" outlineLevel="1" x14ac:dyDescent="0.25">
      <c r="A75" s="44"/>
      <c r="B75" s="11" t="str">
        <f>CONCATENATE("          ", "5527", " - ", "FREIGHT-IN-SCHOOL SUPPLIES")</f>
        <v xml:space="preserve">          5527 - FREIGHT-IN-SCHOOL SUPPLIES</v>
      </c>
      <c r="C75" s="11"/>
      <c r="D75" s="2"/>
      <c r="E75" s="2"/>
      <c r="F75" s="19">
        <f t="shared" si="14"/>
        <v>0</v>
      </c>
      <c r="G75" s="2"/>
      <c r="H75" s="2"/>
      <c r="I75" s="2"/>
      <c r="J75" s="19">
        <f t="shared" si="15"/>
        <v>0</v>
      </c>
      <c r="K75" s="2"/>
      <c r="L75" s="2">
        <f t="shared" si="16"/>
        <v>0</v>
      </c>
      <c r="M75" s="2"/>
      <c r="N75" s="19">
        <f t="shared" si="17"/>
        <v>0</v>
      </c>
      <c r="O75" s="11"/>
      <c r="P75" s="2">
        <v>56</v>
      </c>
      <c r="Q75" s="2"/>
      <c r="R75" s="19">
        <f t="shared" si="18"/>
        <v>6.8638561847591227E-5</v>
      </c>
      <c r="S75" s="2"/>
      <c r="T75" s="2"/>
      <c r="U75" s="2"/>
      <c r="V75" s="19">
        <f t="shared" si="19"/>
        <v>0</v>
      </c>
      <c r="W75" s="2"/>
      <c r="X75" s="2">
        <f t="shared" si="20"/>
        <v>56</v>
      </c>
      <c r="Y75" s="2"/>
      <c r="Z75" s="19">
        <f t="shared" si="21"/>
        <v>0</v>
      </c>
    </row>
    <row r="76" spans="1:26" s="24" customFormat="1" hidden="1" outlineLevel="1" x14ac:dyDescent="0.25">
      <c r="A76" s="44"/>
      <c r="B76" s="11" t="str">
        <f>CONCATENATE("          ", "5528", " - ", "FREIGHT-IN-ART/TECH")</f>
        <v xml:space="preserve">          5528 - FREIGHT-IN-ART/TECH</v>
      </c>
      <c r="C76" s="11"/>
      <c r="D76" s="2"/>
      <c r="E76" s="2"/>
      <c r="F76" s="19">
        <f t="shared" si="14"/>
        <v>0</v>
      </c>
      <c r="G76" s="2"/>
      <c r="H76" s="2"/>
      <c r="I76" s="2"/>
      <c r="J76" s="19">
        <f t="shared" si="15"/>
        <v>0</v>
      </c>
      <c r="K76" s="2"/>
      <c r="L76" s="2">
        <f t="shared" si="16"/>
        <v>0</v>
      </c>
      <c r="M76" s="2"/>
      <c r="N76" s="19">
        <f t="shared" si="17"/>
        <v>0</v>
      </c>
      <c r="O76" s="11"/>
      <c r="P76" s="2">
        <v>3.94</v>
      </c>
      <c r="Q76" s="2"/>
      <c r="R76" s="19">
        <f t="shared" si="18"/>
        <v>4.829213101419811E-6</v>
      </c>
      <c r="S76" s="2"/>
      <c r="T76" s="2"/>
      <c r="U76" s="2"/>
      <c r="V76" s="19">
        <f t="shared" si="19"/>
        <v>0</v>
      </c>
      <c r="W76" s="2"/>
      <c r="X76" s="2">
        <f t="shared" si="20"/>
        <v>3.94</v>
      </c>
      <c r="Y76" s="2"/>
      <c r="Z76" s="19">
        <f t="shared" si="21"/>
        <v>0</v>
      </c>
    </row>
    <row r="77" spans="1:26" s="24" customFormat="1" hidden="1" outlineLevel="1" x14ac:dyDescent="0.25">
      <c r="A77" s="44"/>
      <c r="B77" s="11" t="str">
        <f>CONCATENATE("          ", "5540", " - ", "FREIGHT-IN-LOGO CLOTHING")</f>
        <v xml:space="preserve">          5540 - FREIGHT-IN-LOGO CLOTHING</v>
      </c>
      <c r="C77" s="11"/>
      <c r="D77" s="2">
        <v>1333.15</v>
      </c>
      <c r="E77" s="2"/>
      <c r="F77" s="19">
        <f t="shared" si="14"/>
        <v>1.3219057376053549E-2</v>
      </c>
      <c r="G77" s="2"/>
      <c r="H77" s="2">
        <v>6133.89</v>
      </c>
      <c r="I77" s="2"/>
      <c r="J77" s="19">
        <f t="shared" si="15"/>
        <v>1.8621947527547561E-2</v>
      </c>
      <c r="K77" s="2"/>
      <c r="L77" s="2">
        <f t="shared" si="16"/>
        <v>-4800.74</v>
      </c>
      <c r="M77" s="2"/>
      <c r="N77" s="19">
        <f t="shared" si="17"/>
        <v>-0.78265831307701961</v>
      </c>
      <c r="O77" s="11"/>
      <c r="P77" s="2">
        <v>4535.4799999999996</v>
      </c>
      <c r="Q77" s="2"/>
      <c r="R77" s="19">
        <f t="shared" si="18"/>
        <v>5.5590861515805896E-3</v>
      </c>
      <c r="S77" s="2"/>
      <c r="T77" s="2">
        <v>20241.329999999998</v>
      </c>
      <c r="U77" s="2"/>
      <c r="V77" s="19">
        <f t="shared" si="19"/>
        <v>1.3942361710640718E-2</v>
      </c>
      <c r="W77" s="2"/>
      <c r="X77" s="2">
        <f t="shared" si="20"/>
        <v>-15705.849999999999</v>
      </c>
      <c r="Y77" s="2"/>
      <c r="Z77" s="19">
        <f t="shared" si="21"/>
        <v>-0.77592974374707591</v>
      </c>
    </row>
    <row r="78" spans="1:26" s="24" customFormat="1" hidden="1" outlineLevel="1" x14ac:dyDescent="0.25">
      <c r="A78" s="44"/>
      <c r="B78" s="11" t="str">
        <f>CONCATENATE("          ", "5541", " - ", "FREIGHT-IN-LOGO GIFTS")</f>
        <v xml:space="preserve">          5541 - FREIGHT-IN-LOGO GIFTS</v>
      </c>
      <c r="C78" s="11"/>
      <c r="D78" s="2">
        <v>301.06</v>
      </c>
      <c r="E78" s="2"/>
      <c r="F78" s="19">
        <f t="shared" si="14"/>
        <v>2.9852075262608714E-3</v>
      </c>
      <c r="G78" s="2"/>
      <c r="H78" s="2">
        <v>1315.98</v>
      </c>
      <c r="I78" s="2"/>
      <c r="J78" s="19">
        <f t="shared" si="15"/>
        <v>3.9951988880306032E-3</v>
      </c>
      <c r="K78" s="2"/>
      <c r="L78" s="2">
        <f t="shared" si="16"/>
        <v>-1014.9200000000001</v>
      </c>
      <c r="M78" s="2"/>
      <c r="N78" s="19">
        <f t="shared" si="17"/>
        <v>-0.77122752625419844</v>
      </c>
      <c r="O78" s="11"/>
      <c r="P78" s="2">
        <v>1435.87</v>
      </c>
      <c r="Q78" s="2"/>
      <c r="R78" s="19">
        <f t="shared" si="18"/>
        <v>1.7599294964303716E-3</v>
      </c>
      <c r="S78" s="2"/>
      <c r="T78" s="2">
        <v>2852.83</v>
      </c>
      <c r="U78" s="2"/>
      <c r="V78" s="19">
        <f t="shared" si="19"/>
        <v>1.9650481346318235E-3</v>
      </c>
      <c r="W78" s="2"/>
      <c r="X78" s="2">
        <f t="shared" si="20"/>
        <v>-1416.96</v>
      </c>
      <c r="Y78" s="2"/>
      <c r="Z78" s="19">
        <f t="shared" si="21"/>
        <v>-0.49668574713530078</v>
      </c>
    </row>
    <row r="79" spans="1:26" s="24" customFormat="1" hidden="1" outlineLevel="1" x14ac:dyDescent="0.25">
      <c r="A79" s="44"/>
      <c r="B79" s="11" t="str">
        <f>CONCATENATE("          ", "5542", " - ", "FREIGHT-IN-EVERYDAY GIFTS")</f>
        <v xml:space="preserve">          5542 - FREIGHT-IN-EVERYDAY GIFTS</v>
      </c>
      <c r="C79" s="11"/>
      <c r="D79" s="2">
        <v>21</v>
      </c>
      <c r="E79" s="2"/>
      <c r="F79" s="19">
        <f t="shared" si="14"/>
        <v>2.0822878513079886E-4</v>
      </c>
      <c r="G79" s="2"/>
      <c r="H79" s="2">
        <v>745.78</v>
      </c>
      <c r="I79" s="2"/>
      <c r="J79" s="19">
        <f t="shared" si="15"/>
        <v>2.2641221194208598E-3</v>
      </c>
      <c r="K79" s="2"/>
      <c r="L79" s="2">
        <f t="shared" si="16"/>
        <v>-724.78</v>
      </c>
      <c r="M79" s="2"/>
      <c r="N79" s="19">
        <f t="shared" si="17"/>
        <v>-0.9718415618547025</v>
      </c>
      <c r="O79" s="11"/>
      <c r="P79" s="2">
        <v>196.55</v>
      </c>
      <c r="Q79" s="2"/>
      <c r="R79" s="19">
        <f t="shared" si="18"/>
        <v>2.4090909519900101E-4</v>
      </c>
      <c r="S79" s="2"/>
      <c r="T79" s="2">
        <v>1513.51</v>
      </c>
      <c r="U79" s="2"/>
      <c r="V79" s="19">
        <f t="shared" si="19"/>
        <v>1.0425156782025607E-3</v>
      </c>
      <c r="W79" s="2"/>
      <c r="X79" s="2">
        <f t="shared" si="20"/>
        <v>-1316.96</v>
      </c>
      <c r="Y79" s="2"/>
      <c r="Z79" s="19">
        <f t="shared" si="21"/>
        <v>-0.87013630567356681</v>
      </c>
    </row>
    <row r="80" spans="1:26" s="24" customFormat="1" hidden="1" outlineLevel="1" x14ac:dyDescent="0.25">
      <c r="A80" s="44"/>
      <c r="B80" s="11" t="str">
        <f>CONCATENATE("          ", "5543", " - ", "FREIGHT-IN-CARDS")</f>
        <v xml:space="preserve">          5543 - FREIGHT-IN-CARDS</v>
      </c>
      <c r="C80" s="11"/>
      <c r="D80" s="2">
        <v>6323.12</v>
      </c>
      <c r="E80" s="2"/>
      <c r="F80" s="19">
        <f t="shared" si="14"/>
        <v>6.2697885516012228E-2</v>
      </c>
      <c r="G80" s="2"/>
      <c r="H80" s="2">
        <v>39.01</v>
      </c>
      <c r="I80" s="2"/>
      <c r="J80" s="19">
        <f t="shared" si="15"/>
        <v>1.1843090975704329E-4</v>
      </c>
      <c r="K80" s="2"/>
      <c r="L80" s="2">
        <f t="shared" si="16"/>
        <v>6284.11</v>
      </c>
      <c r="M80" s="2"/>
      <c r="N80" s="19">
        <f t="shared" si="17"/>
        <v>161.08972058446551</v>
      </c>
      <c r="O80" s="11"/>
      <c r="P80" s="2">
        <v>6512.31</v>
      </c>
      <c r="Q80" s="2"/>
      <c r="R80" s="19">
        <f t="shared" si="18"/>
        <v>7.9820641554586933E-3</v>
      </c>
      <c r="S80" s="2"/>
      <c r="T80" s="2">
        <v>43.59</v>
      </c>
      <c r="U80" s="2"/>
      <c r="V80" s="19">
        <f t="shared" si="19"/>
        <v>3.0025079723853571E-5</v>
      </c>
      <c r="W80" s="2"/>
      <c r="X80" s="2">
        <f t="shared" si="20"/>
        <v>6468.72</v>
      </c>
      <c r="Y80" s="2"/>
      <c r="Z80" s="19">
        <f t="shared" si="21"/>
        <v>148.39917412250514</v>
      </c>
    </row>
    <row r="81" spans="1:26" s="24" customFormat="1" hidden="1" outlineLevel="1" x14ac:dyDescent="0.25">
      <c r="A81" s="44"/>
      <c r="B81" s="11" t="str">
        <f>CONCATENATE("          ", "5544", " - ", "FREIGHT-IN-ACCESSORIES")</f>
        <v xml:space="preserve">          5544 - FREIGHT-IN-ACCESSORIES</v>
      </c>
      <c r="C81" s="11"/>
      <c r="D81" s="2"/>
      <c r="E81" s="2"/>
      <c r="F81" s="19">
        <f t="shared" si="14"/>
        <v>0</v>
      </c>
      <c r="G81" s="2"/>
      <c r="H81" s="2">
        <v>54.82</v>
      </c>
      <c r="I81" s="2"/>
      <c r="J81" s="19">
        <f t="shared" si="15"/>
        <v>1.6642867144017208E-4</v>
      </c>
      <c r="K81" s="2"/>
      <c r="L81" s="2">
        <f t="shared" si="16"/>
        <v>-54.82</v>
      </c>
      <c r="M81" s="2"/>
      <c r="N81" s="19">
        <f t="shared" si="17"/>
        <v>-1</v>
      </c>
      <c r="O81" s="11"/>
      <c r="P81" s="2"/>
      <c r="Q81" s="2"/>
      <c r="R81" s="19">
        <f t="shared" si="18"/>
        <v>0</v>
      </c>
      <c r="S81" s="2"/>
      <c r="T81" s="2">
        <v>413.91</v>
      </c>
      <c r="U81" s="2"/>
      <c r="V81" s="19">
        <f t="shared" si="19"/>
        <v>2.8510394008947538E-4</v>
      </c>
      <c r="W81" s="2"/>
      <c r="X81" s="2">
        <f t="shared" si="20"/>
        <v>-413.91</v>
      </c>
      <c r="Y81" s="2"/>
      <c r="Z81" s="19">
        <f t="shared" si="21"/>
        <v>-1</v>
      </c>
    </row>
    <row r="82" spans="1:26" s="24" customFormat="1" hidden="1" outlineLevel="1" x14ac:dyDescent="0.25">
      <c r="A82" s="44"/>
      <c r="B82" s="11" t="str">
        <f>CONCATENATE("          ", "5545", " - ", "FREIGHT-IN-SPECIAL ORDERS")</f>
        <v xml:space="preserve">          5545 - FREIGHT-IN-SPECIAL ORDERS</v>
      </c>
      <c r="C82" s="11"/>
      <c r="D82" s="2">
        <v>37.590000000000003</v>
      </c>
      <c r="E82" s="2"/>
      <c r="F82" s="19">
        <f t="shared" si="14"/>
        <v>3.7272952538413E-4</v>
      </c>
      <c r="G82" s="2"/>
      <c r="H82" s="2">
        <v>158.08000000000001</v>
      </c>
      <c r="I82" s="2"/>
      <c r="J82" s="19">
        <f t="shared" si="15"/>
        <v>4.799168986001898E-4</v>
      </c>
      <c r="K82" s="2"/>
      <c r="L82" s="2">
        <f t="shared" si="16"/>
        <v>-120.49000000000001</v>
      </c>
      <c r="M82" s="2"/>
      <c r="N82" s="19">
        <f t="shared" si="17"/>
        <v>-0.76220900809716596</v>
      </c>
      <c r="O82" s="11"/>
      <c r="P82" s="2">
        <v>887.86</v>
      </c>
      <c r="Q82" s="2"/>
      <c r="R82" s="19">
        <f t="shared" si="18"/>
        <v>1.0882398843214704E-3</v>
      </c>
      <c r="S82" s="2"/>
      <c r="T82" s="2">
        <v>505.06</v>
      </c>
      <c r="U82" s="2"/>
      <c r="V82" s="19">
        <f t="shared" si="19"/>
        <v>3.4788866174190143E-4</v>
      </c>
      <c r="W82" s="2"/>
      <c r="X82" s="2">
        <f t="shared" si="20"/>
        <v>382.8</v>
      </c>
      <c r="Y82" s="2"/>
      <c r="Z82" s="19">
        <f t="shared" si="21"/>
        <v>0.75792975092068271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8" t="s">
        <v>6</v>
      </c>
      <c r="C84" s="28"/>
      <c r="D84" s="20">
        <f>D12-D55</f>
        <v>46046.61000000003</v>
      </c>
      <c r="E84" s="14"/>
      <c r="F84" s="22">
        <f>IF(D$12=0,0,D84/D$12)</f>
        <v>0.4565823647472238</v>
      </c>
      <c r="G84" s="14"/>
      <c r="H84" s="20">
        <f>H12-H55</f>
        <v>174467.66999999995</v>
      </c>
      <c r="I84" s="14"/>
      <c r="J84" s="22">
        <f>IF(H$12=0,0,H84/H$12)</f>
        <v>0.52966841531124331</v>
      </c>
      <c r="K84" s="15"/>
      <c r="L84" s="20">
        <f>+D84-H84</f>
        <v>-128421.05999999992</v>
      </c>
      <c r="M84" s="15"/>
      <c r="N84" s="22">
        <f>IF(H84=0,0,L84/H84)</f>
        <v>-0.73607368058506173</v>
      </c>
      <c r="O84" s="29"/>
      <c r="P84" s="20">
        <f>P12-P55</f>
        <v>341534.37000000011</v>
      </c>
      <c r="Q84" s="14"/>
      <c r="R84" s="22">
        <f>IF(P$12=0,0,P84/P$12)</f>
        <v>0.41861478532719842</v>
      </c>
      <c r="S84" s="14"/>
      <c r="T84" s="20">
        <f>T12-T55</f>
        <v>785642.34000000043</v>
      </c>
      <c r="U84" s="14"/>
      <c r="V84" s="22">
        <f>IF(T$12=0,0,T84/T$12)</f>
        <v>0.54115562956950869</v>
      </c>
      <c r="W84" s="15"/>
      <c r="X84" s="20">
        <f>+P84-T84</f>
        <v>-444107.97000000032</v>
      </c>
      <c r="Y84" s="15"/>
      <c r="Z84" s="22">
        <f>IF(T84=0,0,X84/T84)</f>
        <v>-0.56528008661040352</v>
      </c>
    </row>
    <row r="85" spans="1:26" x14ac:dyDescent="0.25">
      <c r="A85" s="9"/>
      <c r="B85" s="10"/>
      <c r="C85" s="9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7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9" t="s">
        <v>9</v>
      </c>
      <c r="C86" s="10"/>
      <c r="D86" s="21">
        <f>SUM(OSRRefD22x_0)</f>
        <v>56326.299999999988</v>
      </c>
      <c r="E86" s="21"/>
      <c r="F86" s="35">
        <f t="shared" ref="F86:F95" si="22">IF(D$12=0,0,D86/D$12)</f>
        <v>0.55851223904347203</v>
      </c>
      <c r="G86" s="21"/>
      <c r="H86" s="21">
        <f>SUM(OSRRefH22x_0)</f>
        <v>105253.3</v>
      </c>
      <c r="I86" s="21"/>
      <c r="J86" s="35">
        <f t="shared" ref="J86:J95" si="23">IF(H$12=0,0,H86/H$12)</f>
        <v>0.31953970966242001</v>
      </c>
      <c r="K86" s="4"/>
      <c r="L86" s="21">
        <f t="shared" ref="L86:L95" si="24">+D86-H86</f>
        <v>-48927.000000000015</v>
      </c>
      <c r="M86" s="4"/>
      <c r="N86" s="35">
        <f t="shared" ref="N86:N95" si="25">IF(H86=0,0,L86/H86)</f>
        <v>-0.46485003320560986</v>
      </c>
      <c r="O86" s="10"/>
      <c r="P86" s="21">
        <f>SUM(OSRRefP22x_0)</f>
        <v>342135.62</v>
      </c>
      <c r="Q86" s="21"/>
      <c r="R86" s="35">
        <f t="shared" ref="R86:R95" si="26">IF(P$12=0,0,P86/P$12)</f>
        <v>0.4193517306006066</v>
      </c>
      <c r="S86" s="21"/>
      <c r="T86" s="21">
        <f>SUM(OSRRefT22x_0)</f>
        <v>457318.68999999994</v>
      </c>
      <c r="U86" s="21"/>
      <c r="V86" s="35">
        <f t="shared" ref="V86:V95" si="27">IF(T$12=0,0,T86/T$12)</f>
        <v>0.31500413228855872</v>
      </c>
      <c r="W86" s="4"/>
      <c r="X86" s="21">
        <f t="shared" ref="X86:X95" si="28">+P86-T86</f>
        <v>-115183.06999999995</v>
      </c>
      <c r="Y86" s="4"/>
      <c r="Z86" s="35">
        <f t="shared" ref="Z86:Z95" si="29">IF(T86=0,0,X86/T86)</f>
        <v>-0.2518660892691702</v>
      </c>
    </row>
    <row r="87" spans="1:26" s="26" customFormat="1" outlineLevel="1" collapsed="1" x14ac:dyDescent="0.25">
      <c r="A87" s="27"/>
      <c r="B87" s="13" t="str">
        <f>CONCATENATE("     ","*Benefits                                         ")</f>
        <v xml:space="preserve">     *Benefits                                         </v>
      </c>
      <c r="C87" s="13"/>
      <c r="D87" s="1">
        <f>SUM(OSRRefD22_0x_0)</f>
        <v>14931.480000000001</v>
      </c>
      <c r="E87" s="1"/>
      <c r="F87" s="5">
        <f t="shared" si="22"/>
        <v>0.14805542574308669</v>
      </c>
      <c r="G87" s="1"/>
      <c r="H87" s="1">
        <f>SUM(OSRRefH22_0x_0)</f>
        <v>7606.75</v>
      </c>
      <c r="I87" s="1"/>
      <c r="J87" s="5">
        <f t="shared" si="23"/>
        <v>2.3093420220312459E-2</v>
      </c>
      <c r="K87" s="1"/>
      <c r="L87" s="1">
        <f t="shared" si="24"/>
        <v>7324.7300000000014</v>
      </c>
      <c r="M87" s="1"/>
      <c r="N87" s="5">
        <f t="shared" si="25"/>
        <v>0.96292503368718585</v>
      </c>
      <c r="O87" s="13"/>
      <c r="P87" s="1">
        <f>SUM(OSRRefP22_0x_0)</f>
        <v>78372.51999999999</v>
      </c>
      <c r="Q87" s="1"/>
      <c r="R87" s="5">
        <f t="shared" si="26"/>
        <v>9.6060304663778198E-2</v>
      </c>
      <c r="S87" s="1"/>
      <c r="T87" s="1">
        <f>SUM(OSRRefT22_0x_0)</f>
        <v>46758.14</v>
      </c>
      <c r="U87" s="1"/>
      <c r="V87" s="5">
        <f t="shared" si="27"/>
        <v>3.2207315467747341E-2</v>
      </c>
      <c r="W87" s="1"/>
      <c r="X87" s="1">
        <f t="shared" si="28"/>
        <v>31614.37999999999</v>
      </c>
      <c r="Y87" s="1"/>
      <c r="Z87" s="5">
        <f t="shared" si="29"/>
        <v>0.6761256970444075</v>
      </c>
    </row>
    <row r="88" spans="1:26" s="24" customFormat="1" hidden="1" outlineLevel="2" x14ac:dyDescent="0.25">
      <c r="A88" s="25"/>
      <c r="B88" s="11" t="str">
        <f>CONCATENATE("          ", "6111", " - ", "F.I.C.A.")</f>
        <v xml:space="preserve">          6111 - F.I.C.A.</v>
      </c>
      <c r="C88" s="11"/>
      <c r="D88" s="6">
        <v>2310.3200000000002</v>
      </c>
      <c r="E88" s="2"/>
      <c r="F88" s="7">
        <f t="shared" si="22"/>
        <v>2.2908339374447011E-2</v>
      </c>
      <c r="G88" s="2"/>
      <c r="H88" s="6">
        <v>1185.6500000000001</v>
      </c>
      <c r="I88" s="2"/>
      <c r="J88" s="7">
        <f t="shared" si="23"/>
        <v>3.5995285350791692E-3</v>
      </c>
      <c r="K88" s="2"/>
      <c r="L88" s="6">
        <f t="shared" si="24"/>
        <v>1124.67</v>
      </c>
      <c r="M88" s="2"/>
      <c r="N88" s="7">
        <f t="shared" si="25"/>
        <v>0.94856829587146285</v>
      </c>
      <c r="O88" s="11"/>
      <c r="P88" s="6">
        <v>16508.070000000003</v>
      </c>
      <c r="Q88" s="2"/>
      <c r="R88" s="7">
        <f t="shared" si="26"/>
        <v>2.0233753279988668E-2</v>
      </c>
      <c r="S88" s="2"/>
      <c r="T88" s="6">
        <v>10370.049999999999</v>
      </c>
      <c r="U88" s="2"/>
      <c r="V88" s="7">
        <f t="shared" si="27"/>
        <v>7.142958889432156E-3</v>
      </c>
      <c r="W88" s="2"/>
      <c r="X88" s="6">
        <f t="shared" si="28"/>
        <v>6138.0200000000041</v>
      </c>
      <c r="Y88" s="2"/>
      <c r="Z88" s="7">
        <f t="shared" si="29"/>
        <v>0.59189878544462216</v>
      </c>
    </row>
    <row r="89" spans="1:26" s="24" customFormat="1" hidden="1" outlineLevel="2" x14ac:dyDescent="0.25">
      <c r="A89" s="25"/>
      <c r="B89" s="11" t="str">
        <f>CONCATENATE("          ", "6112", " - ", "COMPENSATION INSURANCE")</f>
        <v xml:space="preserve">          6112 - COMPENSATION INSURANCE</v>
      </c>
      <c r="C89" s="11"/>
      <c r="D89" s="6">
        <v>1236.27</v>
      </c>
      <c r="E89" s="2"/>
      <c r="F89" s="7">
        <f t="shared" si="22"/>
        <v>1.2258428580650129E-2</v>
      </c>
      <c r="G89" s="2"/>
      <c r="H89" s="6">
        <v>661.97</v>
      </c>
      <c r="I89" s="2"/>
      <c r="J89" s="7">
        <f t="shared" si="23"/>
        <v>2.009682372003844E-3</v>
      </c>
      <c r="K89" s="2"/>
      <c r="L89" s="6">
        <f t="shared" si="24"/>
        <v>574.29999999999995</v>
      </c>
      <c r="M89" s="2"/>
      <c r="N89" s="7">
        <f t="shared" si="25"/>
        <v>0.86756197410758784</v>
      </c>
      <c r="O89" s="11"/>
      <c r="P89" s="6">
        <v>6238.51</v>
      </c>
      <c r="Q89" s="2"/>
      <c r="R89" s="7">
        <f t="shared" si="26"/>
        <v>7.6464706155681492E-3</v>
      </c>
      <c r="S89" s="2"/>
      <c r="T89" s="6">
        <v>2810.91</v>
      </c>
      <c r="U89" s="2"/>
      <c r="V89" s="7">
        <f t="shared" si="27"/>
        <v>1.9361733619311134E-3</v>
      </c>
      <c r="W89" s="2"/>
      <c r="X89" s="6">
        <f t="shared" si="28"/>
        <v>3427.6000000000004</v>
      </c>
      <c r="Y89" s="2"/>
      <c r="Z89" s="7">
        <f t="shared" si="29"/>
        <v>1.2193915849315704</v>
      </c>
    </row>
    <row r="90" spans="1:26" s="24" customFormat="1" hidden="1" outlineLevel="2" x14ac:dyDescent="0.25">
      <c r="A90" s="25"/>
      <c r="B90" s="11" t="str">
        <f>CONCATENATE("          ", "6113", " - ", "GROUP INSURANCE")</f>
        <v xml:space="preserve">          6113 - GROUP INSURANCE</v>
      </c>
      <c r="C90" s="11"/>
      <c r="D90" s="6">
        <v>5541.11</v>
      </c>
      <c r="E90" s="2"/>
      <c r="F90" s="7">
        <f t="shared" si="22"/>
        <v>5.4943743027434322E-2</v>
      </c>
      <c r="G90" s="2"/>
      <c r="H90" s="6">
        <v>3305.88</v>
      </c>
      <c r="I90" s="2"/>
      <c r="J90" s="7">
        <f t="shared" si="23"/>
        <v>1.0036359291146227E-2</v>
      </c>
      <c r="K90" s="2"/>
      <c r="L90" s="6">
        <f t="shared" si="24"/>
        <v>2235.2299999999996</v>
      </c>
      <c r="M90" s="2"/>
      <c r="N90" s="7">
        <f t="shared" si="25"/>
        <v>0.67613766984887513</v>
      </c>
      <c r="O90" s="11"/>
      <c r="P90" s="6">
        <v>27839.26</v>
      </c>
      <c r="Q90" s="2"/>
      <c r="R90" s="7">
        <f t="shared" si="26"/>
        <v>3.4122263737520933E-2</v>
      </c>
      <c r="S90" s="2"/>
      <c r="T90" s="6">
        <v>16837.63</v>
      </c>
      <c r="U90" s="2"/>
      <c r="V90" s="7">
        <f t="shared" si="27"/>
        <v>1.1597870683889622E-2</v>
      </c>
      <c r="W90" s="2"/>
      <c r="X90" s="6">
        <f t="shared" si="28"/>
        <v>11001.629999999997</v>
      </c>
      <c r="Y90" s="2"/>
      <c r="Z90" s="7">
        <f t="shared" si="29"/>
        <v>0.65339540065911872</v>
      </c>
    </row>
    <row r="91" spans="1:26" s="24" customFormat="1" hidden="1" outlineLevel="2" x14ac:dyDescent="0.25">
      <c r="A91" s="25"/>
      <c r="B91" s="11" t="str">
        <f>CONCATENATE("          ", "6114", " - ", "STATE UNEMPLOYMENT INSURANCE")</f>
        <v xml:space="preserve">          6114 - STATE UNEMPLOYMENT INSURANCE</v>
      </c>
      <c r="C91" s="11"/>
      <c r="D91" s="6">
        <v>173.75</v>
      </c>
      <c r="E91" s="2"/>
      <c r="F91" s="7">
        <f t="shared" si="22"/>
        <v>1.7228453055464904E-3</v>
      </c>
      <c r="G91" s="2"/>
      <c r="H91" s="6">
        <v>90.59</v>
      </c>
      <c r="I91" s="2"/>
      <c r="J91" s="7">
        <f t="shared" si="23"/>
        <v>2.7502322775930664E-4</v>
      </c>
      <c r="K91" s="2"/>
      <c r="L91" s="6">
        <f t="shared" si="24"/>
        <v>83.16</v>
      </c>
      <c r="M91" s="2"/>
      <c r="N91" s="7">
        <f t="shared" si="25"/>
        <v>0.91798211723148249</v>
      </c>
      <c r="O91" s="11"/>
      <c r="P91" s="6">
        <v>676.65</v>
      </c>
      <c r="Q91" s="2"/>
      <c r="R91" s="7">
        <f t="shared" si="26"/>
        <v>8.2936219418165355E-4</v>
      </c>
      <c r="S91" s="2"/>
      <c r="T91" s="6">
        <v>469.95</v>
      </c>
      <c r="U91" s="2"/>
      <c r="V91" s="7">
        <f t="shared" si="27"/>
        <v>3.2370466199185561E-4</v>
      </c>
      <c r="W91" s="2"/>
      <c r="X91" s="6">
        <f t="shared" si="28"/>
        <v>206.7</v>
      </c>
      <c r="Y91" s="2"/>
      <c r="Z91" s="7">
        <f t="shared" si="29"/>
        <v>0.43983402489626555</v>
      </c>
    </row>
    <row r="92" spans="1:26" s="24" customFormat="1" hidden="1" outlineLevel="2" x14ac:dyDescent="0.25">
      <c r="A92" s="25"/>
      <c r="B92" s="11" t="str">
        <f>CONCATENATE("          ", "6115", " - ", "P.E.R.S.")</f>
        <v xml:space="preserve">          6115 - P.E.R.S.</v>
      </c>
      <c r="C92" s="11"/>
      <c r="D92" s="6">
        <v>2305.04</v>
      </c>
      <c r="E92" s="2"/>
      <c r="F92" s="7">
        <f t="shared" si="22"/>
        <v>2.2855984708471267E-2</v>
      </c>
      <c r="G92" s="2"/>
      <c r="H92" s="6">
        <v>921.24</v>
      </c>
      <c r="I92" s="2"/>
      <c r="J92" s="7">
        <f t="shared" si="23"/>
        <v>2.7968031608453874E-3</v>
      </c>
      <c r="K92" s="2"/>
      <c r="L92" s="6">
        <f t="shared" si="24"/>
        <v>1383.8</v>
      </c>
      <c r="M92" s="2"/>
      <c r="N92" s="7">
        <f t="shared" si="25"/>
        <v>1.5021058573227388</v>
      </c>
      <c r="O92" s="11"/>
      <c r="P92" s="6">
        <v>9643.2999999999993</v>
      </c>
      <c r="Q92" s="2"/>
      <c r="R92" s="7">
        <f t="shared" si="26"/>
        <v>1.181968291901565E-2</v>
      </c>
      <c r="S92" s="2"/>
      <c r="T92" s="6">
        <v>5597.22</v>
      </c>
      <c r="U92" s="2"/>
      <c r="V92" s="7">
        <f t="shared" si="27"/>
        <v>3.8554020814853796E-3</v>
      </c>
      <c r="W92" s="2"/>
      <c r="X92" s="6">
        <f t="shared" si="28"/>
        <v>4046.079999999999</v>
      </c>
      <c r="Y92" s="2"/>
      <c r="Z92" s="7">
        <f t="shared" si="29"/>
        <v>0.72287314059479502</v>
      </c>
    </row>
    <row r="93" spans="1:26" s="24" customFormat="1" hidden="1" outlineLevel="2" x14ac:dyDescent="0.25">
      <c r="A93" s="25"/>
      <c r="B93" s="11" t="str">
        <f>CONCATENATE("          ", "6118", " - ", "VACATION")</f>
        <v xml:space="preserve">          6118 - VACATION</v>
      </c>
      <c r="C93" s="11"/>
      <c r="D93" s="6">
        <v>1659.26</v>
      </c>
      <c r="E93" s="2"/>
      <c r="F93" s="7">
        <f t="shared" si="22"/>
        <v>1.6452652096006156E-2</v>
      </c>
      <c r="G93" s="2"/>
      <c r="H93" s="6">
        <v>1163.01</v>
      </c>
      <c r="I93" s="2"/>
      <c r="J93" s="7">
        <f t="shared" si="23"/>
        <v>3.5307954974760042E-3</v>
      </c>
      <c r="K93" s="2"/>
      <c r="L93" s="6">
        <f t="shared" si="24"/>
        <v>496.25</v>
      </c>
      <c r="M93" s="2"/>
      <c r="N93" s="7">
        <f t="shared" si="25"/>
        <v>0.42669452541250719</v>
      </c>
      <c r="O93" s="11"/>
      <c r="P93" s="6">
        <v>8477.42</v>
      </c>
      <c r="Q93" s="2"/>
      <c r="R93" s="7">
        <f t="shared" si="26"/>
        <v>1.0390677088892979E-2</v>
      </c>
      <c r="S93" s="2"/>
      <c r="T93" s="6">
        <v>5184.7700000000004</v>
      </c>
      <c r="U93" s="2"/>
      <c r="V93" s="7">
        <f t="shared" si="27"/>
        <v>3.5713037990329041E-3</v>
      </c>
      <c r="W93" s="2"/>
      <c r="X93" s="6">
        <f t="shared" si="28"/>
        <v>3292.6499999999996</v>
      </c>
      <c r="Y93" s="2"/>
      <c r="Z93" s="7">
        <f t="shared" si="29"/>
        <v>0.63506192174387666</v>
      </c>
    </row>
    <row r="94" spans="1:26" s="24" customFormat="1" hidden="1" outlineLevel="2" x14ac:dyDescent="0.25">
      <c r="A94" s="25"/>
      <c r="B94" s="11" t="str">
        <f>CONCATENATE("          ", "6119", " - ", "SICK LEAVE")</f>
        <v xml:space="preserve">          6119 - SICK LEAVE</v>
      </c>
      <c r="C94" s="11"/>
      <c r="D94" s="6">
        <v>1232.0899999999999</v>
      </c>
      <c r="E94" s="2"/>
      <c r="F94" s="7">
        <f t="shared" si="22"/>
        <v>1.2216981136752663E-2</v>
      </c>
      <c r="G94" s="2"/>
      <c r="H94" s="6">
        <v>103.98</v>
      </c>
      <c r="I94" s="2"/>
      <c r="J94" s="7">
        <f t="shared" si="23"/>
        <v>3.1567408347955297E-4</v>
      </c>
      <c r="K94" s="2"/>
      <c r="L94" s="6">
        <f t="shared" si="24"/>
        <v>1128.1099999999999</v>
      </c>
      <c r="M94" s="2"/>
      <c r="N94" s="7">
        <f t="shared" si="25"/>
        <v>10.849297941911905</v>
      </c>
      <c r="O94" s="11"/>
      <c r="P94" s="6">
        <v>6468.23</v>
      </c>
      <c r="Q94" s="2"/>
      <c r="R94" s="7">
        <f t="shared" si="26"/>
        <v>7.9280358017758019E-3</v>
      </c>
      <c r="S94" s="2"/>
      <c r="T94" s="6">
        <v>4199.05</v>
      </c>
      <c r="U94" s="2"/>
      <c r="V94" s="7">
        <f t="shared" si="27"/>
        <v>2.8923333566058117E-3</v>
      </c>
      <c r="W94" s="2"/>
      <c r="X94" s="6">
        <f t="shared" si="28"/>
        <v>2269.1799999999994</v>
      </c>
      <c r="Y94" s="2"/>
      <c r="Z94" s="7">
        <f t="shared" si="29"/>
        <v>0.54040318643502683</v>
      </c>
    </row>
    <row r="95" spans="1:26" s="24" customFormat="1" hidden="1" outlineLevel="2" x14ac:dyDescent="0.25">
      <c r="A95" s="25"/>
      <c r="B95" s="11" t="str">
        <f>CONCATENATE("          ", "6156", " - ", "EMPLOYEE MEALS")</f>
        <v xml:space="preserve">          6156 - EMPLOYEE MEALS</v>
      </c>
      <c r="C95" s="11"/>
      <c r="D95" s="6">
        <v>473.64</v>
      </c>
      <c r="E95" s="2"/>
      <c r="F95" s="7">
        <f t="shared" si="22"/>
        <v>4.6964515137786463E-3</v>
      </c>
      <c r="G95" s="2"/>
      <c r="H95" s="6">
        <v>174.43</v>
      </c>
      <c r="I95" s="2"/>
      <c r="J95" s="7">
        <f t="shared" si="23"/>
        <v>5.2955405252297003E-4</v>
      </c>
      <c r="K95" s="2"/>
      <c r="L95" s="6">
        <f t="shared" si="24"/>
        <v>299.20999999999998</v>
      </c>
      <c r="M95" s="2"/>
      <c r="N95" s="7">
        <f t="shared" si="25"/>
        <v>1.7153585965716904</v>
      </c>
      <c r="O95" s="11"/>
      <c r="P95" s="6">
        <v>2521.08</v>
      </c>
      <c r="Q95" s="2"/>
      <c r="R95" s="7">
        <f t="shared" si="26"/>
        <v>3.0900590268343798E-3</v>
      </c>
      <c r="S95" s="2"/>
      <c r="T95" s="6">
        <v>1288.56</v>
      </c>
      <c r="U95" s="2"/>
      <c r="V95" s="7">
        <f t="shared" si="27"/>
        <v>8.8756863337849867E-4</v>
      </c>
      <c r="W95" s="2"/>
      <c r="X95" s="6">
        <f t="shared" si="28"/>
        <v>1232.52</v>
      </c>
      <c r="Y95" s="2"/>
      <c r="Z95" s="7">
        <f t="shared" si="29"/>
        <v>0.9565095921028125</v>
      </c>
    </row>
    <row r="96" spans="1:26" s="26" customFormat="1" outlineLevel="1" collapsed="1" x14ac:dyDescent="0.25">
      <c r="A96" s="27"/>
      <c r="B96" s="13" t="str">
        <f>CONCATENATE("     ","*Payroll                                          ")</f>
        <v xml:space="preserve">     *Payroll                                          </v>
      </c>
      <c r="C96" s="13"/>
      <c r="D96" s="1">
        <f>SUM(OSRRefD22_1x_0)</f>
        <v>31832.15</v>
      </c>
      <c r="E96" s="1"/>
      <c r="F96" s="5">
        <f t="shared" ref="F96:F102" si="30">IF(D$12=0,0,D96/D$12)</f>
        <v>0.31563666298101711</v>
      </c>
      <c r="G96" s="1"/>
      <c r="H96" s="1">
        <f>SUM(OSRRefH22_1x_0)</f>
        <v>31989.78</v>
      </c>
      <c r="I96" s="1"/>
      <c r="J96" s="5">
        <f t="shared" ref="J96:J102" si="31">IF(H$12=0,0,H96/H$12)</f>
        <v>9.7118142741032254E-2</v>
      </c>
      <c r="K96" s="1"/>
      <c r="L96" s="1">
        <f t="shared" ref="L96:L102" si="32">+D96-H96</f>
        <v>-157.62999999999738</v>
      </c>
      <c r="M96" s="1"/>
      <c r="N96" s="5">
        <f t="shared" ref="N96:N102" si="33">IF(H96=0,0,L96/H96)</f>
        <v>-4.9275112238970501E-3</v>
      </c>
      <c r="O96" s="13"/>
      <c r="P96" s="1">
        <f>SUM(OSRRefP22_1x_0)</f>
        <v>183659.49999999997</v>
      </c>
      <c r="Q96" s="1"/>
      <c r="R96" s="5">
        <f t="shared" ref="R96:R102" si="34">IF(P$12=0,0,P96/P$12)</f>
        <v>0.22510935624370854</v>
      </c>
      <c r="S96" s="1"/>
      <c r="T96" s="1">
        <f>SUM(OSRRefT22_1x_0)</f>
        <v>183738.01</v>
      </c>
      <c r="U96" s="1"/>
      <c r="V96" s="5">
        <f t="shared" ref="V96:V102" si="35">IF(T$12=0,0,T96/T$12)</f>
        <v>0.12655995408470302</v>
      </c>
      <c r="W96" s="1"/>
      <c r="X96" s="1">
        <f t="shared" ref="X96:X102" si="36">+P96-T96</f>
        <v>-78.510000000038417</v>
      </c>
      <c r="Y96" s="1"/>
      <c r="Z96" s="5">
        <f t="shared" ref="Z96:Z102" si="37">IF(T96=0,0,X96/T96)</f>
        <v>-4.2729318772984651E-4</v>
      </c>
    </row>
    <row r="97" spans="1:26" s="24" customFormat="1" hidden="1" outlineLevel="2" x14ac:dyDescent="0.25">
      <c r="A97" s="25"/>
      <c r="B97" s="11" t="str">
        <f>CONCATENATE("          ", "6002", " - ", "STAFF SALARIES")</f>
        <v xml:space="preserve">          6002 - STAFF SALARIES</v>
      </c>
      <c r="C97" s="11"/>
      <c r="D97" s="6">
        <v>14465.94</v>
      </c>
      <c r="E97" s="2"/>
      <c r="F97" s="7">
        <f t="shared" si="30"/>
        <v>0.14343929104642991</v>
      </c>
      <c r="G97" s="2"/>
      <c r="H97" s="6">
        <v>9741.5499999999993</v>
      </c>
      <c r="I97" s="2"/>
      <c r="J97" s="7">
        <f t="shared" si="31"/>
        <v>2.9574484207734553E-2</v>
      </c>
      <c r="K97" s="2"/>
      <c r="L97" s="6">
        <f t="shared" si="32"/>
        <v>4724.3900000000012</v>
      </c>
      <c r="M97" s="2"/>
      <c r="N97" s="7">
        <f t="shared" si="33"/>
        <v>0.48497313055930541</v>
      </c>
      <c r="O97" s="11"/>
      <c r="P97" s="6">
        <v>84753.159999999989</v>
      </c>
      <c r="Q97" s="2"/>
      <c r="R97" s="7">
        <f t="shared" si="34"/>
        <v>0.10388098240069274</v>
      </c>
      <c r="S97" s="2"/>
      <c r="T97" s="6">
        <v>54630.060000000005</v>
      </c>
      <c r="U97" s="2"/>
      <c r="V97" s="7">
        <f t="shared" si="35"/>
        <v>3.7629545923810605E-2</v>
      </c>
      <c r="W97" s="2"/>
      <c r="X97" s="6">
        <f t="shared" si="36"/>
        <v>30123.099999999984</v>
      </c>
      <c r="Y97" s="2"/>
      <c r="Z97" s="7">
        <f t="shared" si="37"/>
        <v>0.55140155438233052</v>
      </c>
    </row>
    <row r="98" spans="1:26" s="24" customFormat="1" hidden="1" outlineLevel="2" x14ac:dyDescent="0.25">
      <c r="A98" s="25"/>
      <c r="B98" s="11" t="str">
        <f>CONCATENATE("          ", "6004", " - ", "STAFF HOURLY")</f>
        <v xml:space="preserve">          6004 - STAFF HOURLY</v>
      </c>
      <c r="C98" s="11"/>
      <c r="D98" s="6">
        <v>5238.05</v>
      </c>
      <c r="E98" s="2"/>
      <c r="F98" s="7">
        <f t="shared" si="30"/>
        <v>5.1938704188303854E-2</v>
      </c>
      <c r="G98" s="2"/>
      <c r="H98" s="6">
        <v>-912.61</v>
      </c>
      <c r="I98" s="2"/>
      <c r="J98" s="7">
        <f t="shared" si="31"/>
        <v>-2.7706032441265132E-3</v>
      </c>
      <c r="K98" s="2"/>
      <c r="L98" s="6">
        <f t="shared" si="32"/>
        <v>6150.66</v>
      </c>
      <c r="M98" s="2"/>
      <c r="N98" s="7">
        <f t="shared" si="33"/>
        <v>-6.7396368656929022</v>
      </c>
      <c r="O98" s="11"/>
      <c r="P98" s="6">
        <v>38037.5</v>
      </c>
      <c r="Q98" s="2"/>
      <c r="R98" s="7">
        <f t="shared" si="34"/>
        <v>4.6622130290674128E-2</v>
      </c>
      <c r="S98" s="2"/>
      <c r="T98" s="6">
        <v>-912.61</v>
      </c>
      <c r="U98" s="2"/>
      <c r="V98" s="7">
        <f t="shared" si="35"/>
        <v>-6.2861179185102101E-4</v>
      </c>
      <c r="W98" s="2"/>
      <c r="X98" s="6">
        <f t="shared" si="36"/>
        <v>38950.11</v>
      </c>
      <c r="Y98" s="2"/>
      <c r="Z98" s="7">
        <f t="shared" si="37"/>
        <v>-42.679907079694502</v>
      </c>
    </row>
    <row r="99" spans="1:26" s="24" customFormat="1" hidden="1" outlineLevel="2" x14ac:dyDescent="0.25">
      <c r="A99" s="25"/>
      <c r="B99" s="11" t="str">
        <f>CONCATENATE("          ", "6005", " - ", "TEMPORARY WAGES-HOURLY")</f>
        <v xml:space="preserve">          6005 - TEMPORARY WAGES-HOURLY</v>
      </c>
      <c r="C99" s="11"/>
      <c r="D99" s="6">
        <v>5186.8599999999997</v>
      </c>
      <c r="E99" s="2"/>
      <c r="F99" s="7">
        <f t="shared" si="30"/>
        <v>5.143112173540644E-2</v>
      </c>
      <c r="G99" s="2"/>
      <c r="H99" s="6">
        <v>4486.58</v>
      </c>
      <c r="I99" s="2"/>
      <c r="J99" s="7">
        <f t="shared" si="31"/>
        <v>1.362086006402859E-2</v>
      </c>
      <c r="K99" s="2"/>
      <c r="L99" s="6">
        <f t="shared" si="32"/>
        <v>700.27999999999975</v>
      </c>
      <c r="M99" s="2"/>
      <c r="N99" s="7">
        <f t="shared" si="33"/>
        <v>0.15608325272256368</v>
      </c>
      <c r="O99" s="11"/>
      <c r="P99" s="6">
        <v>25886.94</v>
      </c>
      <c r="Q99" s="2"/>
      <c r="R99" s="7">
        <f t="shared" si="34"/>
        <v>3.1729327361337198E-2</v>
      </c>
      <c r="S99" s="2"/>
      <c r="T99" s="6">
        <v>21105.599999999999</v>
      </c>
      <c r="U99" s="2"/>
      <c r="V99" s="7">
        <f t="shared" si="35"/>
        <v>1.4537676591414634E-2</v>
      </c>
      <c r="W99" s="2"/>
      <c r="X99" s="6">
        <f t="shared" si="36"/>
        <v>4781.34</v>
      </c>
      <c r="Y99" s="2"/>
      <c r="Z99" s="7">
        <f t="shared" si="37"/>
        <v>0.22654366613600185</v>
      </c>
    </row>
    <row r="100" spans="1:26" s="24" customFormat="1" hidden="1" outlineLevel="2" x14ac:dyDescent="0.25">
      <c r="A100" s="25"/>
      <c r="B100" s="11" t="str">
        <f>CONCATENATE("          ", "6006", " - ", "TEMPORARY PART TIME")</f>
        <v xml:space="preserve">          6006 - TEMPORARY PART TIME</v>
      </c>
      <c r="C100" s="11"/>
      <c r="D100" s="6"/>
      <c r="E100" s="2"/>
      <c r="F100" s="7">
        <f t="shared" si="30"/>
        <v>0</v>
      </c>
      <c r="G100" s="2"/>
      <c r="H100" s="6"/>
      <c r="I100" s="2"/>
      <c r="J100" s="7">
        <f t="shared" si="31"/>
        <v>0</v>
      </c>
      <c r="K100" s="2"/>
      <c r="L100" s="6">
        <f t="shared" si="32"/>
        <v>0</v>
      </c>
      <c r="M100" s="2"/>
      <c r="N100" s="7">
        <f t="shared" si="33"/>
        <v>0</v>
      </c>
      <c r="O100" s="11"/>
      <c r="P100" s="6"/>
      <c r="Q100" s="2"/>
      <c r="R100" s="7">
        <f t="shared" si="34"/>
        <v>0</v>
      </c>
      <c r="S100" s="2"/>
      <c r="T100" s="6">
        <v>66.5</v>
      </c>
      <c r="U100" s="2"/>
      <c r="V100" s="7">
        <f t="shared" si="35"/>
        <v>4.5805638945543988E-5</v>
      </c>
      <c r="W100" s="2"/>
      <c r="X100" s="6">
        <f t="shared" si="36"/>
        <v>-66.5</v>
      </c>
      <c r="Y100" s="2"/>
      <c r="Z100" s="7">
        <f t="shared" si="37"/>
        <v>-1</v>
      </c>
    </row>
    <row r="101" spans="1:26" s="24" customFormat="1" hidden="1" outlineLevel="2" x14ac:dyDescent="0.25">
      <c r="A101" s="25"/>
      <c r="B101" s="11" t="str">
        <f>CONCATENATE("          ", "6007", " - ", "STUDENT HOURLY")</f>
        <v xml:space="preserve">          6007 - STUDENT HOURLY</v>
      </c>
      <c r="C101" s="11"/>
      <c r="D101" s="6">
        <v>6058.73</v>
      </c>
      <c r="E101" s="2"/>
      <c r="F101" s="7">
        <f t="shared" si="30"/>
        <v>6.0076285111215467E-2</v>
      </c>
      <c r="G101" s="2"/>
      <c r="H101" s="6">
        <v>18674.259999999998</v>
      </c>
      <c r="I101" s="2"/>
      <c r="J101" s="7">
        <f t="shared" si="31"/>
        <v>5.6693401713395618E-2</v>
      </c>
      <c r="K101" s="2"/>
      <c r="L101" s="6">
        <f t="shared" si="32"/>
        <v>-12615.529999999999</v>
      </c>
      <c r="M101" s="2"/>
      <c r="N101" s="7">
        <f t="shared" si="33"/>
        <v>-0.67555715728494725</v>
      </c>
      <c r="O101" s="11"/>
      <c r="P101" s="6">
        <v>31134.609999999997</v>
      </c>
      <c r="Q101" s="2"/>
      <c r="R101" s="7">
        <f t="shared" si="34"/>
        <v>3.816133668010057E-2</v>
      </c>
      <c r="S101" s="2"/>
      <c r="T101" s="6">
        <v>108653.45999999999</v>
      </c>
      <c r="U101" s="2"/>
      <c r="V101" s="7">
        <f t="shared" si="35"/>
        <v>7.4841220435249711E-2</v>
      </c>
      <c r="W101" s="2"/>
      <c r="X101" s="6">
        <f t="shared" si="36"/>
        <v>-77518.849999999991</v>
      </c>
      <c r="Y101" s="2"/>
      <c r="Z101" s="7">
        <f t="shared" si="37"/>
        <v>-0.71345035859879657</v>
      </c>
    </row>
    <row r="102" spans="1:26" s="24" customFormat="1" hidden="1" outlineLevel="2" x14ac:dyDescent="0.25">
      <c r="A102" s="25"/>
      <c r="B102" s="11" t="str">
        <f>CONCATENATE("          ", "6008", " - ", "STUDENT HOURLY-FICA EXEMPT")</f>
        <v xml:space="preserve">          6008 - STUDENT HOURLY-FICA EXEMPT</v>
      </c>
      <c r="C102" s="11"/>
      <c r="D102" s="6">
        <v>882.57</v>
      </c>
      <c r="E102" s="2"/>
      <c r="F102" s="7">
        <f t="shared" si="30"/>
        <v>8.7512608996613873E-3</v>
      </c>
      <c r="G102" s="2"/>
      <c r="H102" s="6"/>
      <c r="I102" s="2"/>
      <c r="J102" s="7">
        <f t="shared" si="31"/>
        <v>0</v>
      </c>
      <c r="K102" s="2"/>
      <c r="L102" s="6">
        <f t="shared" si="32"/>
        <v>882.57</v>
      </c>
      <c r="M102" s="2"/>
      <c r="N102" s="7">
        <f t="shared" si="33"/>
        <v>0</v>
      </c>
      <c r="O102" s="11"/>
      <c r="P102" s="6">
        <v>3847.29</v>
      </c>
      <c r="Q102" s="2"/>
      <c r="R102" s="7">
        <f t="shared" si="34"/>
        <v>4.7155795109039148E-3</v>
      </c>
      <c r="S102" s="2"/>
      <c r="T102" s="6">
        <v>195</v>
      </c>
      <c r="U102" s="2"/>
      <c r="V102" s="7">
        <f t="shared" si="35"/>
        <v>1.3431728713355004E-4</v>
      </c>
      <c r="W102" s="2"/>
      <c r="X102" s="6">
        <f t="shared" si="36"/>
        <v>3652.29</v>
      </c>
      <c r="Y102" s="2"/>
      <c r="Z102" s="7">
        <f t="shared" si="37"/>
        <v>18.729692307692307</v>
      </c>
    </row>
    <row r="103" spans="1:26" s="26" customFormat="1" outlineLevel="1" collapsed="1" x14ac:dyDescent="0.25">
      <c r="A103" s="27"/>
      <c r="B103" s="13" t="str">
        <f>CONCATENATE("     ","Advertising/Promo                                 ")</f>
        <v xml:space="preserve">     Advertising/Promo                                 </v>
      </c>
      <c r="C103" s="13"/>
      <c r="D103" s="1">
        <f>SUM(OSRRefD22_2x_0)</f>
        <v>548.78</v>
      </c>
      <c r="E103" s="1"/>
      <c r="F103" s="5">
        <f t="shared" ref="F103:F111" si="38">IF(D$12=0,0,D103/D$12)</f>
        <v>5.441513938289514E-3</v>
      </c>
      <c r="G103" s="1"/>
      <c r="H103" s="1">
        <f>SUM(OSRRefH22_2x_0)</f>
        <v>4253.33</v>
      </c>
      <c r="I103" s="1"/>
      <c r="J103" s="5">
        <f t="shared" ref="J103:J111" si="39">IF(H$12=0,0,H103/H$12)</f>
        <v>1.2912733693845806E-2</v>
      </c>
      <c r="K103" s="1"/>
      <c r="L103" s="1">
        <f t="shared" ref="L103:L111" si="40">+D103-H103</f>
        <v>-3704.55</v>
      </c>
      <c r="M103" s="1"/>
      <c r="N103" s="5">
        <f t="shared" ref="N103:N111" si="41">IF(H103=0,0,L103/H103)</f>
        <v>-0.87097638791252974</v>
      </c>
      <c r="O103" s="13"/>
      <c r="P103" s="1">
        <f>SUM(OSRRefP22_2x_0)</f>
        <v>12773.93</v>
      </c>
      <c r="Q103" s="1"/>
      <c r="R103" s="5">
        <f t="shared" ref="R103:R111" si="42">IF(P$12=0,0,P103/P$12)</f>
        <v>1.5656860434675016E-2</v>
      </c>
      <c r="S103" s="1"/>
      <c r="T103" s="1">
        <f>SUM(OSRRefT22_2x_0)</f>
        <v>11073.54</v>
      </c>
      <c r="U103" s="1"/>
      <c r="V103" s="5">
        <f t="shared" ref="V103:V111" si="43">IF(T$12=0,0,T103/T$12)</f>
        <v>7.6275274449479581E-3</v>
      </c>
      <c r="W103" s="1"/>
      <c r="X103" s="1">
        <f t="shared" ref="X103:X111" si="44">+P103-T103</f>
        <v>1700.3899999999994</v>
      </c>
      <c r="Y103" s="1"/>
      <c r="Z103" s="5">
        <f t="shared" ref="Z103:Z111" si="45">IF(T103=0,0,X103/T103)</f>
        <v>0.15355432860675081</v>
      </c>
    </row>
    <row r="104" spans="1:26" s="24" customFormat="1" hidden="1" outlineLevel="2" x14ac:dyDescent="0.25">
      <c r="A104" s="25"/>
      <c r="B104" s="11" t="str">
        <f>CONCATENATE("          ", "6362", " - ", "ADVERTISING EXPENSE")</f>
        <v xml:space="preserve">          6362 - ADVERTISING EXPENSE</v>
      </c>
      <c r="C104" s="11"/>
      <c r="D104" s="6">
        <v>548.78</v>
      </c>
      <c r="E104" s="2"/>
      <c r="F104" s="7">
        <f t="shared" si="38"/>
        <v>5.441513938289514E-3</v>
      </c>
      <c r="G104" s="2"/>
      <c r="H104" s="6">
        <v>4253.33</v>
      </c>
      <c r="I104" s="2"/>
      <c r="J104" s="7">
        <f t="shared" si="39"/>
        <v>1.2912733693845806E-2</v>
      </c>
      <c r="K104" s="2"/>
      <c r="L104" s="6">
        <f t="shared" si="40"/>
        <v>-3704.55</v>
      </c>
      <c r="M104" s="2"/>
      <c r="N104" s="7">
        <f t="shared" si="41"/>
        <v>-0.87097638791252974</v>
      </c>
      <c r="O104" s="11"/>
      <c r="P104" s="6">
        <v>12773.93</v>
      </c>
      <c r="Q104" s="2"/>
      <c r="R104" s="7">
        <f t="shared" si="42"/>
        <v>1.5656860434675016E-2</v>
      </c>
      <c r="S104" s="2"/>
      <c r="T104" s="6">
        <v>11073.54</v>
      </c>
      <c r="U104" s="2"/>
      <c r="V104" s="7">
        <f t="shared" si="43"/>
        <v>7.6275274449479581E-3</v>
      </c>
      <c r="W104" s="2"/>
      <c r="X104" s="6">
        <f t="shared" si="44"/>
        <v>1700.3899999999994</v>
      </c>
      <c r="Y104" s="2"/>
      <c r="Z104" s="7">
        <f t="shared" si="45"/>
        <v>0.15355432860675081</v>
      </c>
    </row>
    <row r="105" spans="1:26" s="26" customFormat="1" outlineLevel="1" collapsed="1" x14ac:dyDescent="0.25">
      <c r="A105" s="27"/>
      <c r="B105" s="13" t="str">
        <f>CONCATENATE("     ","Bad Debts/Over/Short                              ")</f>
        <v xml:space="preserve">     Bad Debts/Over/Short                              </v>
      </c>
      <c r="C105" s="13"/>
      <c r="D105" s="1">
        <f>SUM(OSRRefD22_3x_0)</f>
        <v>-0.48</v>
      </c>
      <c r="E105" s="1"/>
      <c r="F105" s="5">
        <f t="shared" si="38"/>
        <v>-4.7595150887039738E-6</v>
      </c>
      <c r="G105" s="1"/>
      <c r="H105" s="1">
        <f>SUM(OSRRefH22_3x_0)</f>
        <v>4.0999999999999996</v>
      </c>
      <c r="I105" s="1"/>
      <c r="J105" s="5">
        <f t="shared" si="39"/>
        <v>1.2447237375131439E-5</v>
      </c>
      <c r="K105" s="1"/>
      <c r="L105" s="1">
        <f t="shared" si="40"/>
        <v>-4.58</v>
      </c>
      <c r="M105" s="1"/>
      <c r="N105" s="5">
        <f t="shared" si="41"/>
        <v>-1.1170731707317074</v>
      </c>
      <c r="O105" s="13"/>
      <c r="P105" s="1">
        <f>SUM(OSRRefP22_3x_0)</f>
        <v>-1.01</v>
      </c>
      <c r="Q105" s="1"/>
      <c r="R105" s="5">
        <f t="shared" si="42"/>
        <v>-1.2379454904654845E-6</v>
      </c>
      <c r="S105" s="1"/>
      <c r="T105" s="1">
        <f>SUM(OSRRefT22_3x_0)</f>
        <v>27.13</v>
      </c>
      <c r="U105" s="1"/>
      <c r="V105" s="5">
        <f t="shared" si="43"/>
        <v>1.8687323076580577E-5</v>
      </c>
      <c r="W105" s="1"/>
      <c r="X105" s="1">
        <f t="shared" si="44"/>
        <v>-28.14</v>
      </c>
      <c r="Y105" s="1"/>
      <c r="Z105" s="5">
        <f t="shared" si="45"/>
        <v>-1.0372281607077036</v>
      </c>
    </row>
    <row r="106" spans="1:26" s="24" customFormat="1" hidden="1" outlineLevel="2" x14ac:dyDescent="0.25">
      <c r="A106" s="25"/>
      <c r="B106" s="11" t="str">
        <f>CONCATENATE("          ", "6272", " - ", "CASH (OVER/SHORT)")</f>
        <v xml:space="preserve">          6272 - CASH (OVER/SHORT)</v>
      </c>
      <c r="C106" s="11"/>
      <c r="D106" s="6">
        <v>-0.48</v>
      </c>
      <c r="E106" s="2"/>
      <c r="F106" s="7">
        <f t="shared" si="38"/>
        <v>-4.7595150887039738E-6</v>
      </c>
      <c r="G106" s="2"/>
      <c r="H106" s="6">
        <v>4.0999999999999996</v>
      </c>
      <c r="I106" s="2"/>
      <c r="J106" s="7">
        <f t="shared" si="39"/>
        <v>1.2447237375131439E-5</v>
      </c>
      <c r="K106" s="2"/>
      <c r="L106" s="6">
        <f t="shared" si="40"/>
        <v>-4.58</v>
      </c>
      <c r="M106" s="2"/>
      <c r="N106" s="7">
        <f t="shared" si="41"/>
        <v>-1.1170731707317074</v>
      </c>
      <c r="O106" s="11"/>
      <c r="P106" s="6">
        <v>-1.01</v>
      </c>
      <c r="Q106" s="2"/>
      <c r="R106" s="7">
        <f t="shared" si="42"/>
        <v>-1.2379454904654845E-6</v>
      </c>
      <c r="S106" s="2"/>
      <c r="T106" s="6">
        <v>27.13</v>
      </c>
      <c r="U106" s="2"/>
      <c r="V106" s="7">
        <f t="shared" si="43"/>
        <v>1.8687323076580577E-5</v>
      </c>
      <c r="W106" s="2"/>
      <c r="X106" s="6">
        <f t="shared" si="44"/>
        <v>-28.14</v>
      </c>
      <c r="Y106" s="2"/>
      <c r="Z106" s="7">
        <f t="shared" si="45"/>
        <v>-1.0372281607077036</v>
      </c>
    </row>
    <row r="107" spans="1:26" s="26" customFormat="1" outlineLevel="1" collapsed="1" x14ac:dyDescent="0.25">
      <c r="A107" s="27"/>
      <c r="B107" s="13" t="str">
        <f>CONCATENATE("     ","Bank/card Fees                                    ")</f>
        <v xml:space="preserve">     Bank/card Fees                                    </v>
      </c>
      <c r="C107" s="13"/>
      <c r="D107" s="1">
        <f>SUM(OSRRefD22_4x_0)</f>
        <v>315.25</v>
      </c>
      <c r="E107" s="1"/>
      <c r="F107" s="5">
        <f t="shared" si="38"/>
        <v>3.1259106910706829E-3</v>
      </c>
      <c r="G107" s="1"/>
      <c r="H107" s="1">
        <f>SUM(OSRRefH22_4x_0)</f>
        <v>591.74</v>
      </c>
      <c r="I107" s="1"/>
      <c r="J107" s="5">
        <f t="shared" si="39"/>
        <v>1.7964703035025071E-3</v>
      </c>
      <c r="K107" s="1"/>
      <c r="L107" s="1">
        <f t="shared" si="40"/>
        <v>-276.49</v>
      </c>
      <c r="M107" s="1"/>
      <c r="N107" s="5">
        <f t="shared" si="41"/>
        <v>-0.46724912968533477</v>
      </c>
      <c r="O107" s="13"/>
      <c r="P107" s="1">
        <f>SUM(OSRRefP22_4x_0)</f>
        <v>1672.92</v>
      </c>
      <c r="Q107" s="1"/>
      <c r="R107" s="5">
        <f t="shared" si="42"/>
        <v>2.0504789801084342E-3</v>
      </c>
      <c r="S107" s="1"/>
      <c r="T107" s="1">
        <f>SUM(OSRRefT22_4x_0)</f>
        <v>3180.98</v>
      </c>
      <c r="U107" s="1"/>
      <c r="V107" s="5">
        <f t="shared" si="43"/>
        <v>2.1910800206465641E-3</v>
      </c>
      <c r="W107" s="1"/>
      <c r="X107" s="1">
        <f t="shared" si="44"/>
        <v>-1508.06</v>
      </c>
      <c r="Y107" s="1"/>
      <c r="Z107" s="5">
        <f t="shared" si="45"/>
        <v>-0.47408660224207633</v>
      </c>
    </row>
    <row r="108" spans="1:26" s="24" customFormat="1" hidden="1" outlineLevel="2" x14ac:dyDescent="0.25">
      <c r="A108" s="25"/>
      <c r="B108" s="11" t="str">
        <f>CONCATENATE("          ", "6381", " - ", "BANK/CREDIT CARD FEES")</f>
        <v xml:space="preserve">          6381 - BANK/CREDIT CARD FEES</v>
      </c>
      <c r="C108" s="11"/>
      <c r="D108" s="6">
        <v>315.25</v>
      </c>
      <c r="E108" s="2"/>
      <c r="F108" s="7">
        <f t="shared" si="38"/>
        <v>3.1259106910706829E-3</v>
      </c>
      <c r="G108" s="2"/>
      <c r="H108" s="6">
        <v>591.74</v>
      </c>
      <c r="I108" s="2"/>
      <c r="J108" s="7">
        <f t="shared" si="39"/>
        <v>1.7964703035025071E-3</v>
      </c>
      <c r="K108" s="2"/>
      <c r="L108" s="6">
        <f t="shared" si="40"/>
        <v>-276.49</v>
      </c>
      <c r="M108" s="2"/>
      <c r="N108" s="7">
        <f t="shared" si="41"/>
        <v>-0.46724912968533477</v>
      </c>
      <c r="O108" s="11"/>
      <c r="P108" s="6">
        <v>1672.92</v>
      </c>
      <c r="Q108" s="2"/>
      <c r="R108" s="7">
        <f t="shared" si="42"/>
        <v>2.0504789801084342E-3</v>
      </c>
      <c r="S108" s="2"/>
      <c r="T108" s="6">
        <v>3180.98</v>
      </c>
      <c r="U108" s="2"/>
      <c r="V108" s="7">
        <f t="shared" si="43"/>
        <v>2.1910800206465641E-3</v>
      </c>
      <c r="W108" s="2"/>
      <c r="X108" s="6">
        <f t="shared" si="44"/>
        <v>-1508.06</v>
      </c>
      <c r="Y108" s="2"/>
      <c r="Z108" s="7">
        <f t="shared" si="45"/>
        <v>-0.47408660224207633</v>
      </c>
    </row>
    <row r="109" spans="1:26" s="26" customFormat="1" outlineLevel="1" collapsed="1" x14ac:dyDescent="0.25">
      <c r="A109" s="27"/>
      <c r="B109" s="13" t="str">
        <f>CONCATENATE("     ","Discounts and Markdowns                           ")</f>
        <v xml:space="preserve">     Discounts and Markdowns                           </v>
      </c>
      <c r="C109" s="13"/>
      <c r="D109" s="1">
        <f>SUM(OSRRefD22_5x_0)</f>
        <v>0</v>
      </c>
      <c r="E109" s="1"/>
      <c r="F109" s="5">
        <f t="shared" si="38"/>
        <v>0</v>
      </c>
      <c r="G109" s="1"/>
      <c r="H109" s="1">
        <f>SUM(OSRRefH22_5x_0)</f>
        <v>47425.299999999996</v>
      </c>
      <c r="I109" s="1"/>
      <c r="J109" s="5">
        <f t="shared" si="39"/>
        <v>0.14397901626507831</v>
      </c>
      <c r="K109" s="1"/>
      <c r="L109" s="1">
        <f t="shared" si="40"/>
        <v>-47425.299999999996</v>
      </c>
      <c r="M109" s="1"/>
      <c r="N109" s="5">
        <f t="shared" si="41"/>
        <v>-1</v>
      </c>
      <c r="O109" s="13"/>
      <c r="P109" s="1">
        <f>SUM(OSRRefP22_5x_0)</f>
        <v>0</v>
      </c>
      <c r="Q109" s="1"/>
      <c r="R109" s="5">
        <f t="shared" si="42"/>
        <v>0</v>
      </c>
      <c r="S109" s="1"/>
      <c r="T109" s="1">
        <f>SUM(OSRRefT22_5x_0)</f>
        <v>140054.97</v>
      </c>
      <c r="U109" s="1"/>
      <c r="V109" s="5">
        <f t="shared" si="43"/>
        <v>9.6470787794721721E-2</v>
      </c>
      <c r="W109" s="1"/>
      <c r="X109" s="1">
        <f t="shared" si="44"/>
        <v>-140054.97</v>
      </c>
      <c r="Y109" s="1"/>
      <c r="Z109" s="5">
        <f t="shared" si="45"/>
        <v>-1</v>
      </c>
    </row>
    <row r="110" spans="1:26" s="24" customFormat="1" hidden="1" outlineLevel="2" x14ac:dyDescent="0.25">
      <c r="A110" s="25"/>
      <c r="B110" s="11" t="str">
        <f>CONCATENATE("          ", "6382", " - ", "DISCOUNTS/MARK DOWNS")</f>
        <v xml:space="preserve">          6382 - DISCOUNTS/MARK DOWNS</v>
      </c>
      <c r="C110" s="11"/>
      <c r="D110" s="6"/>
      <c r="E110" s="2"/>
      <c r="F110" s="7">
        <f t="shared" si="38"/>
        <v>0</v>
      </c>
      <c r="G110" s="2"/>
      <c r="H110" s="6">
        <v>47425.299999999996</v>
      </c>
      <c r="I110" s="2"/>
      <c r="J110" s="7">
        <f t="shared" si="39"/>
        <v>0.14397901626507831</v>
      </c>
      <c r="K110" s="2"/>
      <c r="L110" s="6">
        <f t="shared" si="40"/>
        <v>-47425.299999999996</v>
      </c>
      <c r="M110" s="2"/>
      <c r="N110" s="7">
        <f t="shared" si="41"/>
        <v>-1</v>
      </c>
      <c r="O110" s="11"/>
      <c r="P110" s="6">
        <v>0</v>
      </c>
      <c r="Q110" s="2"/>
      <c r="R110" s="7">
        <f t="shared" si="42"/>
        <v>0</v>
      </c>
      <c r="S110" s="2"/>
      <c r="T110" s="6">
        <v>140062.44</v>
      </c>
      <c r="U110" s="2"/>
      <c r="V110" s="7">
        <f t="shared" si="43"/>
        <v>9.6475933180028839E-2</v>
      </c>
      <c r="W110" s="2"/>
      <c r="X110" s="6">
        <f t="shared" si="44"/>
        <v>-140062.44</v>
      </c>
      <c r="Y110" s="2"/>
      <c r="Z110" s="7">
        <f t="shared" si="45"/>
        <v>-1</v>
      </c>
    </row>
    <row r="111" spans="1:26" s="24" customFormat="1" hidden="1" outlineLevel="2" x14ac:dyDescent="0.25">
      <c r="A111" s="25"/>
      <c r="B111" s="11" t="str">
        <f>CONCATENATE("          ", "9175", " - ", "EARNED DISCOUNTS")</f>
        <v xml:space="preserve">          9175 - EARNED DISCOUNTS</v>
      </c>
      <c r="C111" s="11"/>
      <c r="D111" s="6"/>
      <c r="E111" s="2"/>
      <c r="F111" s="7">
        <f t="shared" si="38"/>
        <v>0</v>
      </c>
      <c r="G111" s="2"/>
      <c r="H111" s="6"/>
      <c r="I111" s="2"/>
      <c r="J111" s="7">
        <f t="shared" si="39"/>
        <v>0</v>
      </c>
      <c r="K111" s="2"/>
      <c r="L111" s="6">
        <f t="shared" si="40"/>
        <v>0</v>
      </c>
      <c r="M111" s="2"/>
      <c r="N111" s="7">
        <f t="shared" si="41"/>
        <v>0</v>
      </c>
      <c r="O111" s="11"/>
      <c r="P111" s="6"/>
      <c r="Q111" s="2"/>
      <c r="R111" s="7">
        <f t="shared" si="42"/>
        <v>0</v>
      </c>
      <c r="S111" s="2"/>
      <c r="T111" s="6">
        <v>-7.47</v>
      </c>
      <c r="U111" s="2"/>
      <c r="V111" s="7">
        <f t="shared" si="43"/>
        <v>-5.1453853071159936E-6</v>
      </c>
      <c r="W111" s="2"/>
      <c r="X111" s="6">
        <f t="shared" si="44"/>
        <v>7.47</v>
      </c>
      <c r="Y111" s="2"/>
      <c r="Z111" s="7">
        <f t="shared" si="45"/>
        <v>-1</v>
      </c>
    </row>
    <row r="112" spans="1:26" s="26" customFormat="1" outlineLevel="1" collapsed="1" x14ac:dyDescent="0.25">
      <c r="A112" s="27"/>
      <c r="B112" s="13" t="str">
        <f>CONCATENATE("     ","Employees' Appreciation                           ")</f>
        <v xml:space="preserve">     Employees' Appreciation                           </v>
      </c>
      <c r="C112" s="13"/>
      <c r="D112" s="1">
        <f>SUM(OSRRefD22_6x_0)</f>
        <v>0</v>
      </c>
      <c r="E112" s="1"/>
      <c r="F112" s="5">
        <f t="shared" ref="F112:F116" si="46">IF(D$12=0,0,D112/D$12)</f>
        <v>0</v>
      </c>
      <c r="G112" s="1"/>
      <c r="H112" s="1">
        <f>SUM(OSRRefH22_6x_0)</f>
        <v>136.5</v>
      </c>
      <c r="I112" s="1"/>
      <c r="J112" s="5">
        <f t="shared" ref="J112:J116" si="47">IF(H$12=0,0,H112/H$12)</f>
        <v>4.1440192724522966E-4</v>
      </c>
      <c r="K112" s="1"/>
      <c r="L112" s="1">
        <f t="shared" ref="L112:L116" si="48">+D112-H112</f>
        <v>-136.5</v>
      </c>
      <c r="M112" s="1"/>
      <c r="N112" s="5">
        <f t="shared" ref="N112:N116" si="49">IF(H112=0,0,L112/H112)</f>
        <v>-1</v>
      </c>
      <c r="O112" s="13"/>
      <c r="P112" s="1">
        <f>SUM(OSRRefP22_6x_0)</f>
        <v>0</v>
      </c>
      <c r="Q112" s="1"/>
      <c r="R112" s="5">
        <f t="shared" ref="R112:R116" si="50">IF(P$12=0,0,P112/P$12)</f>
        <v>0</v>
      </c>
      <c r="S112" s="1"/>
      <c r="T112" s="1">
        <f>SUM(OSRRefT22_6x_0)</f>
        <v>330.41</v>
      </c>
      <c r="U112" s="1"/>
      <c r="V112" s="5">
        <f t="shared" ref="V112:V116" si="51">IF(T$12=0,0,T112/T$12)</f>
        <v>2.2758858893228857E-4</v>
      </c>
      <c r="W112" s="1"/>
      <c r="X112" s="1">
        <f t="shared" ref="X112:X116" si="52">+P112-T112</f>
        <v>-330.41</v>
      </c>
      <c r="Y112" s="1"/>
      <c r="Z112" s="5">
        <f t="shared" ref="Z112:Z116" si="53">IF(T112=0,0,X112/T112)</f>
        <v>-1</v>
      </c>
    </row>
    <row r="113" spans="1:26" s="24" customFormat="1" hidden="1" outlineLevel="2" x14ac:dyDescent="0.25">
      <c r="A113" s="25"/>
      <c r="B113" s="11" t="str">
        <f>CONCATENATE("          ", "6277", " - ", "EMPLOYEE APPRECIATION")</f>
        <v xml:space="preserve">          6277 - EMPLOYEE APPRECIATION</v>
      </c>
      <c r="C113" s="11"/>
      <c r="D113" s="6"/>
      <c r="E113" s="2"/>
      <c r="F113" s="7">
        <f t="shared" si="46"/>
        <v>0</v>
      </c>
      <c r="G113" s="2"/>
      <c r="H113" s="6">
        <v>136.5</v>
      </c>
      <c r="I113" s="2"/>
      <c r="J113" s="7">
        <f t="shared" si="47"/>
        <v>4.1440192724522966E-4</v>
      </c>
      <c r="K113" s="2"/>
      <c r="L113" s="6">
        <f t="shared" si="48"/>
        <v>-136.5</v>
      </c>
      <c r="M113" s="2"/>
      <c r="N113" s="7">
        <f t="shared" si="49"/>
        <v>-1</v>
      </c>
      <c r="O113" s="11"/>
      <c r="P113" s="6"/>
      <c r="Q113" s="2"/>
      <c r="R113" s="7">
        <f t="shared" si="50"/>
        <v>0</v>
      </c>
      <c r="S113" s="2"/>
      <c r="T113" s="6">
        <v>330.41</v>
      </c>
      <c r="U113" s="2"/>
      <c r="V113" s="7">
        <f t="shared" si="51"/>
        <v>2.2758858893228857E-4</v>
      </c>
      <c r="W113" s="2"/>
      <c r="X113" s="6">
        <f t="shared" si="52"/>
        <v>-330.41</v>
      </c>
      <c r="Y113" s="2"/>
      <c r="Z113" s="7">
        <f t="shared" si="53"/>
        <v>-1</v>
      </c>
    </row>
    <row r="114" spans="1:26" s="26" customFormat="1" outlineLevel="1" collapsed="1" x14ac:dyDescent="0.25">
      <c r="A114" s="27"/>
      <c r="B114" s="13" t="str">
        <f>CONCATENATE("     ","Freight out/Postage                               ")</f>
        <v xml:space="preserve">     Freight out/Postage                               </v>
      </c>
      <c r="C114" s="13"/>
      <c r="D114" s="1">
        <f>SUM(OSRRefD22_7x_0)</f>
        <v>0</v>
      </c>
      <c r="E114" s="1"/>
      <c r="F114" s="5">
        <f t="shared" si="46"/>
        <v>0</v>
      </c>
      <c r="G114" s="1"/>
      <c r="H114" s="1">
        <f>SUM(OSRRefH22_7x_0)</f>
        <v>0</v>
      </c>
      <c r="I114" s="1"/>
      <c r="J114" s="5">
        <f t="shared" si="47"/>
        <v>0</v>
      </c>
      <c r="K114" s="1"/>
      <c r="L114" s="1">
        <f t="shared" si="48"/>
        <v>0</v>
      </c>
      <c r="M114" s="1"/>
      <c r="N114" s="5">
        <f t="shared" si="49"/>
        <v>0</v>
      </c>
      <c r="O114" s="13"/>
      <c r="P114" s="1">
        <f>SUM(OSRRefP22_7x_0)</f>
        <v>91.96</v>
      </c>
      <c r="Q114" s="1"/>
      <c r="R114" s="5">
        <f t="shared" si="50"/>
        <v>1.1271432406258015E-4</v>
      </c>
      <c r="S114" s="1"/>
      <c r="T114" s="1">
        <f>SUM(OSRRefT22_7x_0)</f>
        <v>70.5</v>
      </c>
      <c r="U114" s="1"/>
      <c r="V114" s="5">
        <f t="shared" si="51"/>
        <v>4.8560865348283477E-5</v>
      </c>
      <c r="W114" s="1"/>
      <c r="X114" s="1">
        <f t="shared" si="52"/>
        <v>21.459999999999994</v>
      </c>
      <c r="Y114" s="1"/>
      <c r="Z114" s="5">
        <f t="shared" si="53"/>
        <v>0.3043971631205673</v>
      </c>
    </row>
    <row r="115" spans="1:26" s="24" customFormat="1" hidden="1" outlineLevel="2" x14ac:dyDescent="0.25">
      <c r="A115" s="25"/>
      <c r="B115" s="11" t="str">
        <f>CONCATENATE("          ", "6305", " - ", "FREIGHT OUT")</f>
        <v xml:space="preserve">          6305 - FREIGHT OUT</v>
      </c>
      <c r="C115" s="11"/>
      <c r="D115" s="6"/>
      <c r="E115" s="2"/>
      <c r="F115" s="7">
        <f t="shared" si="46"/>
        <v>0</v>
      </c>
      <c r="G115" s="2"/>
      <c r="H115" s="6"/>
      <c r="I115" s="2"/>
      <c r="J115" s="7">
        <f t="shared" si="47"/>
        <v>0</v>
      </c>
      <c r="K115" s="2"/>
      <c r="L115" s="6">
        <f t="shared" si="48"/>
        <v>0</v>
      </c>
      <c r="M115" s="2"/>
      <c r="N115" s="7">
        <f t="shared" si="49"/>
        <v>0</v>
      </c>
      <c r="O115" s="11"/>
      <c r="P115" s="6">
        <v>91.96</v>
      </c>
      <c r="Q115" s="2"/>
      <c r="R115" s="7">
        <f t="shared" si="50"/>
        <v>1.1271432406258015E-4</v>
      </c>
      <c r="S115" s="2"/>
      <c r="T115" s="6">
        <v>70</v>
      </c>
      <c r="U115" s="2"/>
      <c r="V115" s="7">
        <f t="shared" si="51"/>
        <v>4.8216462047941039E-5</v>
      </c>
      <c r="W115" s="2"/>
      <c r="X115" s="6">
        <f t="shared" si="52"/>
        <v>21.959999999999994</v>
      </c>
      <c r="Y115" s="2"/>
      <c r="Z115" s="7">
        <f t="shared" si="53"/>
        <v>0.31371428571428561</v>
      </c>
    </row>
    <row r="116" spans="1:26" s="24" customFormat="1" hidden="1" outlineLevel="2" x14ac:dyDescent="0.25">
      <c r="A116" s="25"/>
      <c r="B116" s="11" t="str">
        <f>CONCATENATE("          ", "6307", " - ", "POSTAGE")</f>
        <v xml:space="preserve">          6307 - POSTAGE</v>
      </c>
      <c r="C116" s="11"/>
      <c r="D116" s="6"/>
      <c r="E116" s="2"/>
      <c r="F116" s="7">
        <f t="shared" si="46"/>
        <v>0</v>
      </c>
      <c r="G116" s="2"/>
      <c r="H116" s="6"/>
      <c r="I116" s="2"/>
      <c r="J116" s="7">
        <f t="shared" si="47"/>
        <v>0</v>
      </c>
      <c r="K116" s="2"/>
      <c r="L116" s="6">
        <f t="shared" si="48"/>
        <v>0</v>
      </c>
      <c r="M116" s="2"/>
      <c r="N116" s="7">
        <f t="shared" si="49"/>
        <v>0</v>
      </c>
      <c r="O116" s="11"/>
      <c r="P116" s="6"/>
      <c r="Q116" s="2"/>
      <c r="R116" s="7">
        <f t="shared" si="50"/>
        <v>0</v>
      </c>
      <c r="S116" s="2"/>
      <c r="T116" s="6">
        <v>0.5</v>
      </c>
      <c r="U116" s="2"/>
      <c r="V116" s="7">
        <f t="shared" si="51"/>
        <v>3.4440330034243599E-7</v>
      </c>
      <c r="W116" s="2"/>
      <c r="X116" s="6">
        <f t="shared" si="52"/>
        <v>-0.5</v>
      </c>
      <c r="Y116" s="2"/>
      <c r="Z116" s="7">
        <f t="shared" si="53"/>
        <v>-1</v>
      </c>
    </row>
    <row r="117" spans="1:26" s="26" customFormat="1" outlineLevel="1" collapsed="1" x14ac:dyDescent="0.25">
      <c r="A117" s="27"/>
      <c r="B117" s="13" t="str">
        <f>CONCATENATE("     ","General                                           ")</f>
        <v xml:space="preserve">     General                                           </v>
      </c>
      <c r="C117" s="13"/>
      <c r="D117" s="1">
        <f>SUM(OSRRefD22_8x_0)</f>
        <v>0</v>
      </c>
      <c r="E117" s="1"/>
      <c r="F117" s="5">
        <f t="shared" ref="F117:F129" si="54">IF(D$12=0,0,D117/D$12)</f>
        <v>0</v>
      </c>
      <c r="G117" s="1"/>
      <c r="H117" s="1">
        <f>SUM(OSRRefH22_8x_0)</f>
        <v>1111.44</v>
      </c>
      <c r="I117" s="1"/>
      <c r="J117" s="5">
        <f t="shared" ref="J117:J129" si="55">IF(H$12=0,0,H117/H$12)</f>
        <v>3.3742335385892898E-3</v>
      </c>
      <c r="K117" s="1"/>
      <c r="L117" s="1">
        <f t="shared" ref="L117:L129" si="56">+D117-H117</f>
        <v>-1111.44</v>
      </c>
      <c r="M117" s="1"/>
      <c r="N117" s="5">
        <f t="shared" ref="N117:N129" si="57">IF(H117=0,0,L117/H117)</f>
        <v>-1</v>
      </c>
      <c r="O117" s="13"/>
      <c r="P117" s="1">
        <f>SUM(OSRRefP22_8x_0)</f>
        <v>0</v>
      </c>
      <c r="Q117" s="1"/>
      <c r="R117" s="5">
        <f t="shared" ref="R117:R129" si="58">IF(P$12=0,0,P117/P$12)</f>
        <v>0</v>
      </c>
      <c r="S117" s="1"/>
      <c r="T117" s="1">
        <f>SUM(OSRRefT22_8x_0)</f>
        <v>1111.44</v>
      </c>
      <c r="U117" s="1"/>
      <c r="V117" s="5">
        <f t="shared" ref="V117:V129" si="59">IF(T$12=0,0,T117/T$12)</f>
        <v>7.6556720826519414E-4</v>
      </c>
      <c r="W117" s="1"/>
      <c r="X117" s="1">
        <f t="shared" ref="X117:X129" si="60">+P117-T117</f>
        <v>-1111.44</v>
      </c>
      <c r="Y117" s="1"/>
      <c r="Z117" s="5">
        <f t="shared" ref="Z117:Z129" si="61">IF(T117=0,0,X117/T117)</f>
        <v>-1</v>
      </c>
    </row>
    <row r="118" spans="1:26" s="24" customFormat="1" hidden="1" outlineLevel="2" x14ac:dyDescent="0.25">
      <c r="A118" s="25"/>
      <c r="B118" s="11" t="str">
        <f>CONCATENATE("          ", "6279", " - ", "GENERAL EXPENSE")</f>
        <v xml:space="preserve">          6279 - GENERAL EXPENSE</v>
      </c>
      <c r="C118" s="11"/>
      <c r="D118" s="6"/>
      <c r="E118" s="2"/>
      <c r="F118" s="7">
        <f t="shared" si="54"/>
        <v>0</v>
      </c>
      <c r="G118" s="2"/>
      <c r="H118" s="6">
        <v>1111.44</v>
      </c>
      <c r="I118" s="2"/>
      <c r="J118" s="7">
        <f t="shared" si="55"/>
        <v>3.3742335385892898E-3</v>
      </c>
      <c r="K118" s="2"/>
      <c r="L118" s="6">
        <f t="shared" si="56"/>
        <v>-1111.44</v>
      </c>
      <c r="M118" s="2"/>
      <c r="N118" s="7">
        <f t="shared" si="57"/>
        <v>-1</v>
      </c>
      <c r="O118" s="11"/>
      <c r="P118" s="6"/>
      <c r="Q118" s="2"/>
      <c r="R118" s="7">
        <f t="shared" si="58"/>
        <v>0</v>
      </c>
      <c r="S118" s="2"/>
      <c r="T118" s="6">
        <v>1111.44</v>
      </c>
      <c r="U118" s="2"/>
      <c r="V118" s="7">
        <f t="shared" si="59"/>
        <v>7.6556720826519414E-4</v>
      </c>
      <c r="W118" s="2"/>
      <c r="X118" s="6">
        <f t="shared" si="60"/>
        <v>-1111.44</v>
      </c>
      <c r="Y118" s="2"/>
      <c r="Z118" s="7">
        <f t="shared" si="61"/>
        <v>-1</v>
      </c>
    </row>
    <row r="119" spans="1:26" s="26" customFormat="1" outlineLevel="1" collapsed="1" x14ac:dyDescent="0.25">
      <c r="A119" s="27"/>
      <c r="B119" s="13" t="str">
        <f>CONCATENATE("     ","Insurance                                         ")</f>
        <v xml:space="preserve">     Insurance                                         </v>
      </c>
      <c r="C119" s="13"/>
      <c r="D119" s="1">
        <f>SUM(OSRRefD22_9x_0)</f>
        <v>161.18</v>
      </c>
      <c r="E119" s="1"/>
      <c r="F119" s="5">
        <f t="shared" si="54"/>
        <v>1.5982055041610552E-3</v>
      </c>
      <c r="G119" s="1"/>
      <c r="H119" s="1">
        <f>SUM(OSRRefH22_9x_0)</f>
        <v>161.18</v>
      </c>
      <c r="I119" s="1"/>
      <c r="J119" s="5">
        <f t="shared" si="55"/>
        <v>4.893282244204111E-4</v>
      </c>
      <c r="K119" s="1"/>
      <c r="L119" s="1">
        <f t="shared" si="56"/>
        <v>0</v>
      </c>
      <c r="M119" s="1"/>
      <c r="N119" s="5">
        <f t="shared" si="57"/>
        <v>0</v>
      </c>
      <c r="O119" s="13"/>
      <c r="P119" s="1">
        <f>SUM(OSRRefP22_9x_0)</f>
        <v>805.9</v>
      </c>
      <c r="Q119" s="1"/>
      <c r="R119" s="5">
        <f t="shared" si="58"/>
        <v>9.8778244630310296E-4</v>
      </c>
      <c r="S119" s="1"/>
      <c r="T119" s="1">
        <f>SUM(OSRRefT22_9x_0)</f>
        <v>805.9</v>
      </c>
      <c r="U119" s="1"/>
      <c r="V119" s="5">
        <f t="shared" si="59"/>
        <v>5.5510923949193835E-4</v>
      </c>
      <c r="W119" s="1"/>
      <c r="X119" s="1">
        <f t="shared" si="60"/>
        <v>0</v>
      </c>
      <c r="Y119" s="1"/>
      <c r="Z119" s="5">
        <f t="shared" si="61"/>
        <v>0</v>
      </c>
    </row>
    <row r="120" spans="1:26" s="24" customFormat="1" hidden="1" outlineLevel="2" x14ac:dyDescent="0.25">
      <c r="A120" s="25"/>
      <c r="B120" s="11" t="str">
        <f>CONCATENATE("          ", "6314", " - ", "LIABILITY INSURANCE")</f>
        <v xml:space="preserve">          6314 - LIABILITY INSURANCE</v>
      </c>
      <c r="C120" s="11"/>
      <c r="D120" s="6">
        <v>161.18</v>
      </c>
      <c r="E120" s="2"/>
      <c r="F120" s="7">
        <f t="shared" si="54"/>
        <v>1.5982055041610552E-3</v>
      </c>
      <c r="G120" s="2"/>
      <c r="H120" s="6">
        <v>161.18</v>
      </c>
      <c r="I120" s="2"/>
      <c r="J120" s="7">
        <f t="shared" si="55"/>
        <v>4.893282244204111E-4</v>
      </c>
      <c r="K120" s="2"/>
      <c r="L120" s="6">
        <f t="shared" si="56"/>
        <v>0</v>
      </c>
      <c r="M120" s="2"/>
      <c r="N120" s="7">
        <f t="shared" si="57"/>
        <v>0</v>
      </c>
      <c r="O120" s="11"/>
      <c r="P120" s="6">
        <v>805.9</v>
      </c>
      <c r="Q120" s="2"/>
      <c r="R120" s="7">
        <f t="shared" si="58"/>
        <v>9.8778244630310296E-4</v>
      </c>
      <c r="S120" s="2"/>
      <c r="T120" s="6">
        <v>805.9</v>
      </c>
      <c r="U120" s="2"/>
      <c r="V120" s="7">
        <f t="shared" si="59"/>
        <v>5.5510923949193835E-4</v>
      </c>
      <c r="W120" s="2"/>
      <c r="X120" s="6">
        <f t="shared" si="60"/>
        <v>0</v>
      </c>
      <c r="Y120" s="2"/>
      <c r="Z120" s="7">
        <f t="shared" si="61"/>
        <v>0</v>
      </c>
    </row>
    <row r="121" spans="1:26" s="26" customFormat="1" outlineLevel="1" collapsed="1" x14ac:dyDescent="0.25">
      <c r="A121" s="27"/>
      <c r="B121" s="13" t="str">
        <f>CONCATENATE("     ","Inventory Adjustment                              ")</f>
        <v xml:space="preserve">     Inventory Adjustment                              </v>
      </c>
      <c r="C121" s="13"/>
      <c r="D121" s="1">
        <f>SUM(OSRRefD22_10x_0)</f>
        <v>1100</v>
      </c>
      <c r="E121" s="1"/>
      <c r="F121" s="5">
        <f t="shared" si="54"/>
        <v>1.0907222078279939E-2</v>
      </c>
      <c r="G121" s="1"/>
      <c r="H121" s="1">
        <f>SUM(OSRRefH22_10x_0)</f>
        <v>3150</v>
      </c>
      <c r="I121" s="1"/>
      <c r="J121" s="5">
        <f t="shared" si="55"/>
        <v>9.5631213979668391E-3</v>
      </c>
      <c r="K121" s="1"/>
      <c r="L121" s="1">
        <f t="shared" si="56"/>
        <v>-2050</v>
      </c>
      <c r="M121" s="1"/>
      <c r="N121" s="5">
        <f t="shared" si="57"/>
        <v>-0.65079365079365081</v>
      </c>
      <c r="O121" s="13"/>
      <c r="P121" s="1">
        <f>SUM(OSRRefP22_10x_0)</f>
        <v>5500</v>
      </c>
      <c r="Q121" s="1"/>
      <c r="R121" s="5">
        <f t="shared" si="58"/>
        <v>6.7412873243169955E-3</v>
      </c>
      <c r="S121" s="1"/>
      <c r="T121" s="1">
        <f>SUM(OSRRefT22_10x_0)</f>
        <v>15750</v>
      </c>
      <c r="U121" s="1"/>
      <c r="V121" s="5">
        <f t="shared" si="59"/>
        <v>1.0848703960786734E-2</v>
      </c>
      <c r="W121" s="1"/>
      <c r="X121" s="1">
        <f t="shared" si="60"/>
        <v>-10250</v>
      </c>
      <c r="Y121" s="1"/>
      <c r="Z121" s="5">
        <f t="shared" si="61"/>
        <v>-0.65079365079365081</v>
      </c>
    </row>
    <row r="122" spans="1:26" s="24" customFormat="1" hidden="1" outlineLevel="2" x14ac:dyDescent="0.25">
      <c r="A122" s="25"/>
      <c r="B122" s="11" t="str">
        <f>CONCATENATE("          ", "6408", " - ", "INVENTORY ADJUSTMENT")</f>
        <v xml:space="preserve">          6408 - INVENTORY ADJUSTMENT</v>
      </c>
      <c r="C122" s="11"/>
      <c r="D122" s="6">
        <v>1100</v>
      </c>
      <c r="E122" s="2"/>
      <c r="F122" s="7">
        <f t="shared" si="54"/>
        <v>1.0907222078279939E-2</v>
      </c>
      <c r="G122" s="2"/>
      <c r="H122" s="6">
        <v>3150</v>
      </c>
      <c r="I122" s="2"/>
      <c r="J122" s="7">
        <f t="shared" si="55"/>
        <v>9.5631213979668391E-3</v>
      </c>
      <c r="K122" s="2"/>
      <c r="L122" s="6">
        <f t="shared" si="56"/>
        <v>-2050</v>
      </c>
      <c r="M122" s="2"/>
      <c r="N122" s="7">
        <f t="shared" si="57"/>
        <v>-0.65079365079365081</v>
      </c>
      <c r="O122" s="11"/>
      <c r="P122" s="6">
        <v>5500</v>
      </c>
      <c r="Q122" s="2"/>
      <c r="R122" s="7">
        <f t="shared" si="58"/>
        <v>6.7412873243169955E-3</v>
      </c>
      <c r="S122" s="2"/>
      <c r="T122" s="6">
        <v>15750</v>
      </c>
      <c r="U122" s="2"/>
      <c r="V122" s="7">
        <f t="shared" si="59"/>
        <v>1.0848703960786734E-2</v>
      </c>
      <c r="W122" s="2"/>
      <c r="X122" s="6">
        <f t="shared" si="60"/>
        <v>-10250</v>
      </c>
      <c r="Y122" s="2"/>
      <c r="Z122" s="7">
        <f t="shared" si="61"/>
        <v>-0.65079365079365081</v>
      </c>
    </row>
    <row r="123" spans="1:26" s="26" customFormat="1" outlineLevel="1" collapsed="1" x14ac:dyDescent="0.25">
      <c r="A123" s="27"/>
      <c r="B123" s="13" t="str">
        <f>CONCATENATE("     ","Professional Services                             ")</f>
        <v xml:space="preserve">     Professional Services                             </v>
      </c>
      <c r="C123" s="13"/>
      <c r="D123" s="1">
        <f>SUM(OSRRefD22_11x_0)</f>
        <v>0</v>
      </c>
      <c r="E123" s="1"/>
      <c r="F123" s="5">
        <f t="shared" si="54"/>
        <v>0</v>
      </c>
      <c r="G123" s="1"/>
      <c r="H123" s="1">
        <f>SUM(OSRRefH22_11x_0)</f>
        <v>0</v>
      </c>
      <c r="I123" s="1"/>
      <c r="J123" s="5">
        <f t="shared" si="55"/>
        <v>0</v>
      </c>
      <c r="K123" s="1"/>
      <c r="L123" s="1">
        <f t="shared" si="56"/>
        <v>0</v>
      </c>
      <c r="M123" s="1"/>
      <c r="N123" s="5">
        <f t="shared" si="57"/>
        <v>0</v>
      </c>
      <c r="O123" s="13"/>
      <c r="P123" s="1">
        <f>SUM(OSRRefP22_11x_0)</f>
        <v>0</v>
      </c>
      <c r="Q123" s="1"/>
      <c r="R123" s="5">
        <f t="shared" si="58"/>
        <v>0</v>
      </c>
      <c r="S123" s="1"/>
      <c r="T123" s="1">
        <f>SUM(OSRRefT22_11x_0)</f>
        <v>750</v>
      </c>
      <c r="U123" s="1"/>
      <c r="V123" s="5">
        <f t="shared" si="59"/>
        <v>5.1660495051365405E-4</v>
      </c>
      <c r="W123" s="1"/>
      <c r="X123" s="1">
        <f t="shared" si="60"/>
        <v>-750</v>
      </c>
      <c r="Y123" s="1"/>
      <c r="Z123" s="5">
        <f t="shared" si="61"/>
        <v>-1</v>
      </c>
    </row>
    <row r="124" spans="1:26" s="24" customFormat="1" hidden="1" outlineLevel="2" x14ac:dyDescent="0.25">
      <c r="A124" s="25"/>
      <c r="B124" s="11" t="str">
        <f>CONCATENATE("          ", "6336", " - ", "PROFESSIONAL SERVICES")</f>
        <v xml:space="preserve">          6336 - PROFESSIONAL SERVICES</v>
      </c>
      <c r="C124" s="11"/>
      <c r="D124" s="6"/>
      <c r="E124" s="2"/>
      <c r="F124" s="7">
        <f t="shared" si="54"/>
        <v>0</v>
      </c>
      <c r="G124" s="2"/>
      <c r="H124" s="6"/>
      <c r="I124" s="2"/>
      <c r="J124" s="7">
        <f t="shared" si="55"/>
        <v>0</v>
      </c>
      <c r="K124" s="2"/>
      <c r="L124" s="6">
        <f t="shared" si="56"/>
        <v>0</v>
      </c>
      <c r="M124" s="2"/>
      <c r="N124" s="7">
        <f t="shared" si="57"/>
        <v>0</v>
      </c>
      <c r="O124" s="11"/>
      <c r="P124" s="6"/>
      <c r="Q124" s="2"/>
      <c r="R124" s="7">
        <f t="shared" si="58"/>
        <v>0</v>
      </c>
      <c r="S124" s="2"/>
      <c r="T124" s="6">
        <v>750</v>
      </c>
      <c r="U124" s="2"/>
      <c r="V124" s="7">
        <f t="shared" si="59"/>
        <v>5.1660495051365405E-4</v>
      </c>
      <c r="W124" s="2"/>
      <c r="X124" s="6">
        <f t="shared" si="60"/>
        <v>-750</v>
      </c>
      <c r="Y124" s="2"/>
      <c r="Z124" s="7">
        <f t="shared" si="61"/>
        <v>-1</v>
      </c>
    </row>
    <row r="125" spans="1:26" s="26" customFormat="1" outlineLevel="1" collapsed="1" x14ac:dyDescent="0.25">
      <c r="A125" s="27"/>
      <c r="B125" s="13" t="str">
        <f>CONCATENATE("     ","Rent                                              ")</f>
        <v xml:space="preserve">     Rent                                              </v>
      </c>
      <c r="C125" s="13"/>
      <c r="D125" s="1">
        <f>SUM(OSRRefD22_12x_0)</f>
        <v>6900</v>
      </c>
      <c r="E125" s="1"/>
      <c r="F125" s="5">
        <f t="shared" si="54"/>
        <v>6.8418029400119623E-2</v>
      </c>
      <c r="G125" s="1"/>
      <c r="H125" s="1">
        <f>SUM(OSRRefH22_12x_0)</f>
        <v>6900</v>
      </c>
      <c r="I125" s="1"/>
      <c r="J125" s="5">
        <f t="shared" si="55"/>
        <v>2.0947789728879743E-2</v>
      </c>
      <c r="K125" s="1"/>
      <c r="L125" s="1">
        <f t="shared" si="56"/>
        <v>0</v>
      </c>
      <c r="M125" s="1"/>
      <c r="N125" s="5">
        <f t="shared" si="57"/>
        <v>0</v>
      </c>
      <c r="O125" s="13"/>
      <c r="P125" s="1">
        <f>SUM(OSRRefP22_12x_0)</f>
        <v>34500</v>
      </c>
      <c r="Q125" s="1"/>
      <c r="R125" s="5">
        <f t="shared" si="58"/>
        <v>4.2286256852533878E-2</v>
      </c>
      <c r="S125" s="1"/>
      <c r="T125" s="1">
        <f>SUM(OSRRefT22_12x_0)</f>
        <v>34500</v>
      </c>
      <c r="U125" s="1"/>
      <c r="V125" s="5">
        <f t="shared" si="59"/>
        <v>2.3763827723628082E-2</v>
      </c>
      <c r="W125" s="1"/>
      <c r="X125" s="1">
        <f t="shared" si="60"/>
        <v>0</v>
      </c>
      <c r="Y125" s="1"/>
      <c r="Z125" s="5">
        <f t="shared" si="61"/>
        <v>0</v>
      </c>
    </row>
    <row r="126" spans="1:26" s="24" customFormat="1" hidden="1" outlineLevel="2" x14ac:dyDescent="0.25">
      <c r="A126" s="25"/>
      <c r="B126" s="11" t="str">
        <f>CONCATENATE("          ", "6273", " - ", "RENT")</f>
        <v xml:space="preserve">          6273 - RENT</v>
      </c>
      <c r="C126" s="11"/>
      <c r="D126" s="6">
        <v>6900</v>
      </c>
      <c r="E126" s="2"/>
      <c r="F126" s="7">
        <f t="shared" si="54"/>
        <v>6.8418029400119623E-2</v>
      </c>
      <c r="G126" s="2"/>
      <c r="H126" s="6">
        <v>6900</v>
      </c>
      <c r="I126" s="2"/>
      <c r="J126" s="7">
        <f t="shared" si="55"/>
        <v>2.0947789728879743E-2</v>
      </c>
      <c r="K126" s="2"/>
      <c r="L126" s="6">
        <f t="shared" si="56"/>
        <v>0</v>
      </c>
      <c r="M126" s="2"/>
      <c r="N126" s="7">
        <f t="shared" si="57"/>
        <v>0</v>
      </c>
      <c r="O126" s="11"/>
      <c r="P126" s="6">
        <v>34500</v>
      </c>
      <c r="Q126" s="2"/>
      <c r="R126" s="7">
        <f t="shared" si="58"/>
        <v>4.2286256852533878E-2</v>
      </c>
      <c r="S126" s="2"/>
      <c r="T126" s="6">
        <v>34500</v>
      </c>
      <c r="U126" s="2"/>
      <c r="V126" s="7">
        <f t="shared" si="59"/>
        <v>2.3763827723628082E-2</v>
      </c>
      <c r="W126" s="2"/>
      <c r="X126" s="6">
        <f t="shared" si="60"/>
        <v>0</v>
      </c>
      <c r="Y126" s="2"/>
      <c r="Z126" s="7">
        <f t="shared" si="61"/>
        <v>0</v>
      </c>
    </row>
    <row r="127" spans="1:26" s="26" customFormat="1" outlineLevel="1" collapsed="1" x14ac:dyDescent="0.25">
      <c r="A127" s="27"/>
      <c r="B127" s="13" t="str">
        <f>CONCATENATE("     ","Repair and Maintenance                            ")</f>
        <v xml:space="preserve">     Repair and Maintenance                            </v>
      </c>
      <c r="C127" s="13"/>
      <c r="D127" s="1">
        <f>SUM(OSRRefD22_13x_0)</f>
        <v>0</v>
      </c>
      <c r="E127" s="1"/>
      <c r="F127" s="5">
        <f t="shared" si="54"/>
        <v>0</v>
      </c>
      <c r="G127" s="1"/>
      <c r="H127" s="1">
        <f>SUM(OSRRefH22_13x_0)</f>
        <v>0</v>
      </c>
      <c r="I127" s="1"/>
      <c r="J127" s="5">
        <f t="shared" si="55"/>
        <v>0</v>
      </c>
      <c r="K127" s="1"/>
      <c r="L127" s="1">
        <f t="shared" si="56"/>
        <v>0</v>
      </c>
      <c r="M127" s="1"/>
      <c r="N127" s="5">
        <f t="shared" si="57"/>
        <v>0</v>
      </c>
      <c r="O127" s="13"/>
      <c r="P127" s="1">
        <f>SUM(OSRRefP22_13x_0)</f>
        <v>48.21</v>
      </c>
      <c r="Q127" s="1"/>
      <c r="R127" s="5">
        <f t="shared" si="58"/>
        <v>5.9090447619149515E-5</v>
      </c>
      <c r="S127" s="1"/>
      <c r="T127" s="1">
        <f>SUM(OSRRefT22_13x_0)</f>
        <v>104.28999999999999</v>
      </c>
      <c r="U127" s="1"/>
      <c r="V127" s="5">
        <f t="shared" si="59"/>
        <v>7.183564038542529E-5</v>
      </c>
      <c r="W127" s="1"/>
      <c r="X127" s="1">
        <f t="shared" si="60"/>
        <v>-56.079999999999991</v>
      </c>
      <c r="Y127" s="1"/>
      <c r="Z127" s="5">
        <f t="shared" si="61"/>
        <v>-0.53773132610988583</v>
      </c>
    </row>
    <row r="128" spans="1:26" s="24" customFormat="1" hidden="1" outlineLevel="2" x14ac:dyDescent="0.25">
      <c r="A128" s="25"/>
      <c r="B128" s="11" t="str">
        <f>CONCATENATE("          ", "6373", " - ", "MAINTENANCE CONTRACTS")</f>
        <v xml:space="preserve">          6373 - MAINTENANCE CONTRACTS</v>
      </c>
      <c r="C128" s="11"/>
      <c r="D128" s="6"/>
      <c r="E128" s="2"/>
      <c r="F128" s="7">
        <f t="shared" si="54"/>
        <v>0</v>
      </c>
      <c r="G128" s="2"/>
      <c r="H128" s="6"/>
      <c r="I128" s="2"/>
      <c r="J128" s="7">
        <f t="shared" si="55"/>
        <v>0</v>
      </c>
      <c r="K128" s="2"/>
      <c r="L128" s="6">
        <f t="shared" si="56"/>
        <v>0</v>
      </c>
      <c r="M128" s="2"/>
      <c r="N128" s="7">
        <f t="shared" si="57"/>
        <v>0</v>
      </c>
      <c r="O128" s="11"/>
      <c r="P128" s="6">
        <v>48.21</v>
      </c>
      <c r="Q128" s="2"/>
      <c r="R128" s="7">
        <f t="shared" si="58"/>
        <v>5.9090447619149515E-5</v>
      </c>
      <c r="S128" s="2"/>
      <c r="T128" s="6">
        <v>45.65</v>
      </c>
      <c r="U128" s="2"/>
      <c r="V128" s="7">
        <f t="shared" si="59"/>
        <v>3.1444021321264408E-5</v>
      </c>
      <c r="W128" s="2"/>
      <c r="X128" s="6">
        <f t="shared" si="60"/>
        <v>2.5600000000000023</v>
      </c>
      <c r="Y128" s="2"/>
      <c r="Z128" s="7">
        <f t="shared" si="61"/>
        <v>5.6078860898138058E-2</v>
      </c>
    </row>
    <row r="129" spans="1:26" s="24" customFormat="1" hidden="1" outlineLevel="2" x14ac:dyDescent="0.25">
      <c r="A129" s="25"/>
      <c r="B129" s="11" t="str">
        <f>CONCATENATE("          ", "6375", " - ", "OUTSIDE REPAIRS &amp; MAINTENANCE")</f>
        <v xml:space="preserve">          6375 - OUTSIDE REPAIRS &amp; MAINTENANCE</v>
      </c>
      <c r="C129" s="11"/>
      <c r="D129" s="6"/>
      <c r="E129" s="2"/>
      <c r="F129" s="7">
        <f t="shared" si="54"/>
        <v>0</v>
      </c>
      <c r="G129" s="2"/>
      <c r="H129" s="6"/>
      <c r="I129" s="2"/>
      <c r="J129" s="7">
        <f t="shared" si="55"/>
        <v>0</v>
      </c>
      <c r="K129" s="2"/>
      <c r="L129" s="6">
        <f t="shared" si="56"/>
        <v>0</v>
      </c>
      <c r="M129" s="2"/>
      <c r="N129" s="7">
        <f t="shared" si="57"/>
        <v>0</v>
      </c>
      <c r="O129" s="11"/>
      <c r="P129" s="6"/>
      <c r="Q129" s="2"/>
      <c r="R129" s="7">
        <f t="shared" si="58"/>
        <v>0</v>
      </c>
      <c r="S129" s="2"/>
      <c r="T129" s="6">
        <v>58.64</v>
      </c>
      <c r="U129" s="2"/>
      <c r="V129" s="7">
        <f t="shared" si="59"/>
        <v>4.0391619064160896E-5</v>
      </c>
      <c r="W129" s="2"/>
      <c r="X129" s="6">
        <f t="shared" si="60"/>
        <v>-58.64</v>
      </c>
      <c r="Y129" s="2"/>
      <c r="Z129" s="7">
        <f t="shared" si="61"/>
        <v>-1</v>
      </c>
    </row>
    <row r="130" spans="1:26" s="26" customFormat="1" outlineLevel="1" collapsed="1" x14ac:dyDescent="0.25">
      <c r="A130" s="27"/>
      <c r="B130" s="13" t="str">
        <f>CONCATENATE("     ","Royalty &amp; Commissions                             ")</f>
        <v xml:space="preserve">     Royalty &amp; Commissions                             </v>
      </c>
      <c r="C130" s="13"/>
      <c r="D130" s="1">
        <f>SUM(OSRRefD22_14x_0)</f>
        <v>0</v>
      </c>
      <c r="E130" s="1"/>
      <c r="F130" s="5">
        <f t="shared" ref="F130:F132" si="62">IF(D$12=0,0,D130/D$12)</f>
        <v>0</v>
      </c>
      <c r="G130" s="1"/>
      <c r="H130" s="1">
        <f>SUM(OSRRefH22_14x_0)</f>
        <v>803.23</v>
      </c>
      <c r="I130" s="1"/>
      <c r="J130" s="5">
        <f t="shared" ref="J130:J132" si="63">IF(H$12=0,0,H130/H$12)</f>
        <v>2.4385352382504458E-3</v>
      </c>
      <c r="K130" s="1"/>
      <c r="L130" s="1">
        <f t="shared" ref="L130:L132" si="64">+D130-H130</f>
        <v>-803.23</v>
      </c>
      <c r="M130" s="1"/>
      <c r="N130" s="5">
        <f t="shared" ref="N130:N132" si="65">IF(H130=0,0,L130/H130)</f>
        <v>-1</v>
      </c>
      <c r="O130" s="13"/>
      <c r="P130" s="1">
        <f>SUM(OSRRefP22_14x_0)</f>
        <v>18411.8</v>
      </c>
      <c r="Q130" s="1"/>
      <c r="R130" s="5">
        <f t="shared" ref="R130:R132" si="66">IF(P$12=0,0,P130/P$12)</f>
        <v>2.2567133446883571E-2</v>
      </c>
      <c r="S130" s="1"/>
      <c r="T130" s="1">
        <f>SUM(OSRRefT22_14x_0)</f>
        <v>6668.07</v>
      </c>
      <c r="U130" s="1"/>
      <c r="V130" s="5">
        <f t="shared" ref="V130:V132" si="67">IF(T$12=0,0,T130/T$12)</f>
        <v>4.593010629828774E-3</v>
      </c>
      <c r="W130" s="1"/>
      <c r="X130" s="1">
        <f t="shared" ref="X130:X132" si="68">+P130-T130</f>
        <v>11743.73</v>
      </c>
      <c r="Y130" s="1"/>
      <c r="Z130" s="5">
        <f t="shared" ref="Z130:Z132" si="69">IF(T130=0,0,X130/T130)</f>
        <v>1.7611887697639648</v>
      </c>
    </row>
    <row r="131" spans="1:26" s="24" customFormat="1" hidden="1" outlineLevel="2" x14ac:dyDescent="0.25">
      <c r="A131" s="25"/>
      <c r="B131" s="11" t="str">
        <f>CONCATENATE("          ", "6253", " - ", "ROYALTY DUE ATHLETICS-LRG")</f>
        <v xml:space="preserve">          6253 - ROYALTY DUE ATHLETICS-LRG</v>
      </c>
      <c r="C131" s="11"/>
      <c r="D131" s="6"/>
      <c r="E131" s="2"/>
      <c r="F131" s="7">
        <f t="shared" si="62"/>
        <v>0</v>
      </c>
      <c r="G131" s="2"/>
      <c r="H131" s="6"/>
      <c r="I131" s="2"/>
      <c r="J131" s="7">
        <f t="shared" si="63"/>
        <v>0</v>
      </c>
      <c r="K131" s="2"/>
      <c r="L131" s="6">
        <f t="shared" si="64"/>
        <v>0</v>
      </c>
      <c r="M131" s="2"/>
      <c r="N131" s="7">
        <f t="shared" si="65"/>
        <v>0</v>
      </c>
      <c r="O131" s="11"/>
      <c r="P131" s="6">
        <v>18411.8</v>
      </c>
      <c r="Q131" s="2"/>
      <c r="R131" s="7">
        <f t="shared" si="66"/>
        <v>2.2567133446883571E-2</v>
      </c>
      <c r="S131" s="2"/>
      <c r="T131" s="6">
        <v>4366.95</v>
      </c>
      <c r="U131" s="2"/>
      <c r="V131" s="7">
        <f t="shared" si="67"/>
        <v>3.0079839848608015E-3</v>
      </c>
      <c r="W131" s="2"/>
      <c r="X131" s="6">
        <f t="shared" si="68"/>
        <v>14044.849999999999</v>
      </c>
      <c r="Y131" s="2"/>
      <c r="Z131" s="7">
        <f t="shared" si="69"/>
        <v>3.216169179862375</v>
      </c>
    </row>
    <row r="132" spans="1:26" s="24" customFormat="1" hidden="1" outlineLevel="2" x14ac:dyDescent="0.25">
      <c r="A132" s="25"/>
      <c r="B132" s="11" t="str">
        <f>CONCATENATE("          ", "6254", " - ", "ROYALTY &amp; COMMISSIONS")</f>
        <v xml:space="preserve">          6254 - ROYALTY &amp; COMMISSIONS</v>
      </c>
      <c r="C132" s="11"/>
      <c r="D132" s="6"/>
      <c r="E132" s="2"/>
      <c r="F132" s="7">
        <f t="shared" si="62"/>
        <v>0</v>
      </c>
      <c r="G132" s="2"/>
      <c r="H132" s="6">
        <v>803.23</v>
      </c>
      <c r="I132" s="2"/>
      <c r="J132" s="7">
        <f t="shared" si="63"/>
        <v>2.4385352382504458E-3</v>
      </c>
      <c r="K132" s="2"/>
      <c r="L132" s="6">
        <f t="shared" si="64"/>
        <v>-803.23</v>
      </c>
      <c r="M132" s="2"/>
      <c r="N132" s="7">
        <f t="shared" si="65"/>
        <v>-1</v>
      </c>
      <c r="O132" s="11"/>
      <c r="P132" s="6"/>
      <c r="Q132" s="2"/>
      <c r="R132" s="7">
        <f t="shared" si="66"/>
        <v>0</v>
      </c>
      <c r="S132" s="2"/>
      <c r="T132" s="6">
        <v>2301.12</v>
      </c>
      <c r="U132" s="2"/>
      <c r="V132" s="7">
        <f t="shared" si="67"/>
        <v>1.5850266449679725E-3</v>
      </c>
      <c r="W132" s="2"/>
      <c r="X132" s="6">
        <f t="shared" si="68"/>
        <v>-2301.12</v>
      </c>
      <c r="Y132" s="2"/>
      <c r="Z132" s="7">
        <f t="shared" si="69"/>
        <v>-1</v>
      </c>
    </row>
    <row r="133" spans="1:26" s="26" customFormat="1" outlineLevel="1" collapsed="1" x14ac:dyDescent="0.25">
      <c r="A133" s="27"/>
      <c r="B133" s="13" t="str">
        <f>CONCATENATE("     ","Services                                          ")</f>
        <v xml:space="preserve">     Services                                          </v>
      </c>
      <c r="C133" s="13"/>
      <c r="D133" s="1">
        <f>SUM(OSRRefD22_15x_0)</f>
        <v>-19.419999999999995</v>
      </c>
      <c r="E133" s="1"/>
      <c r="F133" s="5">
        <f t="shared" ref="F133:F136" si="70">IF(D$12=0,0,D133/D$12)</f>
        <v>-1.9256204796381488E-4</v>
      </c>
      <c r="G133" s="1"/>
      <c r="H133" s="1">
        <f>SUM(OSRRefH22_15x_0)</f>
        <v>181.82</v>
      </c>
      <c r="I133" s="1"/>
      <c r="J133" s="5">
        <f t="shared" ref="J133:J136" si="71">IF(H$12=0,0,H133/H$12)</f>
        <v>5.5198943891375573E-4</v>
      </c>
      <c r="K133" s="1"/>
      <c r="L133" s="1">
        <f t="shared" ref="L133:L136" si="72">+D133-H133</f>
        <v>-201.23999999999998</v>
      </c>
      <c r="M133" s="1"/>
      <c r="N133" s="5">
        <f t="shared" ref="N133:N136" si="73">IF(H133=0,0,L133/H133)</f>
        <v>-1.1068089319106809</v>
      </c>
      <c r="O133" s="13"/>
      <c r="P133" s="1">
        <f>SUM(OSRRefP22_15x_0)</f>
        <v>-31.590000000000146</v>
      </c>
      <c r="Q133" s="1"/>
      <c r="R133" s="5">
        <f t="shared" ref="R133:R136" si="74">IF(P$12=0,0,P133/P$12)</f>
        <v>-3.8719503013668153E-5</v>
      </c>
      <c r="S133" s="1"/>
      <c r="T133" s="1">
        <f>SUM(OSRRefT22_15x_0)</f>
        <v>1820.46</v>
      </c>
      <c r="U133" s="1"/>
      <c r="V133" s="5">
        <f t="shared" ref="V133:V136" si="75">IF(T$12=0,0,T133/T$12)</f>
        <v>1.2539448642827822E-3</v>
      </c>
      <c r="W133" s="1"/>
      <c r="X133" s="1">
        <f t="shared" ref="X133:X136" si="76">+P133-T133</f>
        <v>-1852.0500000000002</v>
      </c>
      <c r="Y133" s="1"/>
      <c r="Z133" s="5">
        <f t="shared" ref="Z133:Z136" si="77">IF(T133=0,0,X133/T133)</f>
        <v>-1.0173527569954848</v>
      </c>
    </row>
    <row r="134" spans="1:26" s="24" customFormat="1" hidden="1" outlineLevel="2" x14ac:dyDescent="0.25">
      <c r="A134" s="25"/>
      <c r="B134" s="11" t="str">
        <f>CONCATENATE("          ", "6283", " - ", "PLANT SERVICE")</f>
        <v xml:space="preserve">          6283 - PLANT SERVICE</v>
      </c>
      <c r="C134" s="11"/>
      <c r="D134" s="6">
        <v>41.31</v>
      </c>
      <c r="E134" s="2"/>
      <c r="F134" s="7">
        <f t="shared" si="70"/>
        <v>4.0961576732158577E-4</v>
      </c>
      <c r="G134" s="2"/>
      <c r="H134" s="6"/>
      <c r="I134" s="2"/>
      <c r="J134" s="7">
        <f t="shared" si="71"/>
        <v>0</v>
      </c>
      <c r="K134" s="2"/>
      <c r="L134" s="6">
        <f t="shared" si="72"/>
        <v>41.31</v>
      </c>
      <c r="M134" s="2"/>
      <c r="N134" s="7">
        <f t="shared" si="73"/>
        <v>0</v>
      </c>
      <c r="O134" s="11"/>
      <c r="P134" s="6">
        <v>41.31</v>
      </c>
      <c r="Q134" s="2"/>
      <c r="R134" s="7">
        <f t="shared" si="74"/>
        <v>5.0633196248642745E-5</v>
      </c>
      <c r="S134" s="2"/>
      <c r="T134" s="6">
        <v>178.65</v>
      </c>
      <c r="U134" s="2"/>
      <c r="V134" s="7">
        <f t="shared" si="75"/>
        <v>1.2305529921235238E-4</v>
      </c>
      <c r="W134" s="2"/>
      <c r="X134" s="6">
        <f t="shared" si="76"/>
        <v>-137.34</v>
      </c>
      <c r="Y134" s="2"/>
      <c r="Z134" s="7">
        <f t="shared" si="77"/>
        <v>-0.7687657430730479</v>
      </c>
    </row>
    <row r="135" spans="1:26" s="24" customFormat="1" hidden="1" outlineLevel="2" x14ac:dyDescent="0.25">
      <c r="A135" s="25"/>
      <c r="B135" s="11" t="str">
        <f>CONCATENATE("          ", "6284", " - ", "TRASH REMOVAL EXPENSE")</f>
        <v xml:space="preserve">          6284 - TRASH REMOVAL EXPENSE</v>
      </c>
      <c r="C135" s="11"/>
      <c r="D135" s="6"/>
      <c r="E135" s="2"/>
      <c r="F135" s="7">
        <f t="shared" si="70"/>
        <v>0</v>
      </c>
      <c r="G135" s="2"/>
      <c r="H135" s="6">
        <v>134.82</v>
      </c>
      <c r="I135" s="2"/>
      <c r="J135" s="7">
        <f t="shared" si="71"/>
        <v>4.0930159583298065E-4</v>
      </c>
      <c r="K135" s="2"/>
      <c r="L135" s="6">
        <f t="shared" si="72"/>
        <v>-134.82</v>
      </c>
      <c r="M135" s="2"/>
      <c r="N135" s="7">
        <f t="shared" si="73"/>
        <v>-1</v>
      </c>
      <c r="O135" s="11"/>
      <c r="P135" s="6">
        <v>585.29999999999995</v>
      </c>
      <c r="Q135" s="2"/>
      <c r="R135" s="7">
        <f t="shared" si="74"/>
        <v>7.1739554016777033E-4</v>
      </c>
      <c r="S135" s="2"/>
      <c r="T135" s="6">
        <v>674.1</v>
      </c>
      <c r="U135" s="2"/>
      <c r="V135" s="7">
        <f t="shared" si="75"/>
        <v>4.6432452952167223E-4</v>
      </c>
      <c r="W135" s="2"/>
      <c r="X135" s="6">
        <f t="shared" si="76"/>
        <v>-88.800000000000068</v>
      </c>
      <c r="Y135" s="2"/>
      <c r="Z135" s="7">
        <f t="shared" si="77"/>
        <v>-0.13173119715175799</v>
      </c>
    </row>
    <row r="136" spans="1:26" s="24" customFormat="1" hidden="1" outlineLevel="2" x14ac:dyDescent="0.25">
      <c r="A136" s="25"/>
      <c r="B136" s="11" t="str">
        <f>CONCATENATE("          ", "6285", " - ", "JANITORIAL SERVICES")</f>
        <v xml:space="preserve">          6285 - JANITORIAL SERVICES</v>
      </c>
      <c r="C136" s="11"/>
      <c r="D136" s="6">
        <v>-60.73</v>
      </c>
      <c r="E136" s="2"/>
      <c r="F136" s="7">
        <f t="shared" si="70"/>
        <v>-6.0217781528540068E-4</v>
      </c>
      <c r="G136" s="2"/>
      <c r="H136" s="6">
        <v>47</v>
      </c>
      <c r="I136" s="2"/>
      <c r="J136" s="7">
        <f t="shared" si="71"/>
        <v>1.4268784308077504E-4</v>
      </c>
      <c r="K136" s="2"/>
      <c r="L136" s="6">
        <f t="shared" si="72"/>
        <v>-107.72999999999999</v>
      </c>
      <c r="M136" s="2"/>
      <c r="N136" s="7">
        <f t="shared" si="73"/>
        <v>-2.2921276595744677</v>
      </c>
      <c r="O136" s="11"/>
      <c r="P136" s="6">
        <v>-658.2</v>
      </c>
      <c r="Q136" s="2"/>
      <c r="R136" s="7">
        <f t="shared" si="74"/>
        <v>-8.0674823943008116E-4</v>
      </c>
      <c r="S136" s="2"/>
      <c r="T136" s="6">
        <v>967.71</v>
      </c>
      <c r="U136" s="2"/>
      <c r="V136" s="7">
        <f t="shared" si="75"/>
        <v>6.6656503554875755E-4</v>
      </c>
      <c r="W136" s="2"/>
      <c r="X136" s="6">
        <f t="shared" si="76"/>
        <v>-1625.91</v>
      </c>
      <c r="Y136" s="2"/>
      <c r="Z136" s="7">
        <f t="shared" si="77"/>
        <v>-1.6801624453606969</v>
      </c>
    </row>
    <row r="137" spans="1:26" s="26" customFormat="1" outlineLevel="1" collapsed="1" x14ac:dyDescent="0.25">
      <c r="A137" s="27"/>
      <c r="B137" s="13" t="str">
        <f>CONCATENATE("     ","Subscriptions &amp; Dues                              ")</f>
        <v xml:space="preserve">     Subscriptions &amp; Dues                              </v>
      </c>
      <c r="C137" s="13"/>
      <c r="D137" s="1">
        <f>SUM(OSRRefD22_16x_0)</f>
        <v>-441</v>
      </c>
      <c r="E137" s="1"/>
      <c r="F137" s="5">
        <f t="shared" ref="F137:F139" si="78">IF(D$12=0,0,D137/D$12)</f>
        <v>-4.3728044877467762E-3</v>
      </c>
      <c r="G137" s="1"/>
      <c r="H137" s="1">
        <f>SUM(OSRRefH22_16x_0)</f>
        <v>0</v>
      </c>
      <c r="I137" s="1"/>
      <c r="J137" s="5">
        <f t="shared" ref="J137:J139" si="79">IF(H$12=0,0,H137/H$12)</f>
        <v>0</v>
      </c>
      <c r="K137" s="1"/>
      <c r="L137" s="1">
        <f t="shared" ref="L137:L139" si="80">+D137-H137</f>
        <v>-441</v>
      </c>
      <c r="M137" s="1"/>
      <c r="N137" s="5">
        <f t="shared" ref="N137:N139" si="81">IF(H137=0,0,L137/H137)</f>
        <v>0</v>
      </c>
      <c r="O137" s="13"/>
      <c r="P137" s="1">
        <f>SUM(OSRRefP22_16x_0)</f>
        <v>-215.27</v>
      </c>
      <c r="Q137" s="1"/>
      <c r="R137" s="5">
        <f t="shared" ref="R137:R139" si="82">IF(P$12=0,0,P137/P$12)</f>
        <v>-2.6385398587376721E-4</v>
      </c>
      <c r="S137" s="1"/>
      <c r="T137" s="1">
        <f>SUM(OSRRefT22_16x_0)</f>
        <v>385.06</v>
      </c>
      <c r="U137" s="1"/>
      <c r="V137" s="5">
        <f t="shared" ref="V137:V139" si="83">IF(T$12=0,0,T137/T$12)</f>
        <v>2.6523186965971679E-4</v>
      </c>
      <c r="W137" s="1"/>
      <c r="X137" s="1">
        <f t="shared" ref="X137:X139" si="84">+P137-T137</f>
        <v>-600.33000000000004</v>
      </c>
      <c r="Y137" s="1"/>
      <c r="Z137" s="5">
        <f t="shared" ref="Z137:Z139" si="85">IF(T137=0,0,X137/T137)</f>
        <v>-1.5590557315743001</v>
      </c>
    </row>
    <row r="138" spans="1:26" s="24" customFormat="1" hidden="1" outlineLevel="2" x14ac:dyDescent="0.25">
      <c r="A138" s="25"/>
      <c r="B138" s="11" t="str">
        <f>CONCATENATE("          ", "6258", " - ", "MEMBERSHIP DUES")</f>
        <v xml:space="preserve">          6258 - MEMBERSHIP DUES</v>
      </c>
      <c r="C138" s="11"/>
      <c r="D138" s="6">
        <v>-441</v>
      </c>
      <c r="E138" s="2"/>
      <c r="F138" s="7">
        <f t="shared" si="78"/>
        <v>-4.3728044877467762E-3</v>
      </c>
      <c r="G138" s="2"/>
      <c r="H138" s="6"/>
      <c r="I138" s="2"/>
      <c r="J138" s="7">
        <f t="shared" si="79"/>
        <v>0</v>
      </c>
      <c r="K138" s="2"/>
      <c r="L138" s="6">
        <f t="shared" si="80"/>
        <v>-441</v>
      </c>
      <c r="M138" s="2"/>
      <c r="N138" s="7">
        <f t="shared" si="81"/>
        <v>0</v>
      </c>
      <c r="O138" s="11"/>
      <c r="P138" s="6">
        <v>-441</v>
      </c>
      <c r="Q138" s="2"/>
      <c r="R138" s="7">
        <f t="shared" si="82"/>
        <v>-5.4052867454978091E-4</v>
      </c>
      <c r="S138" s="2"/>
      <c r="T138" s="6"/>
      <c r="U138" s="2"/>
      <c r="V138" s="7">
        <f t="shared" si="83"/>
        <v>0</v>
      </c>
      <c r="W138" s="2"/>
      <c r="X138" s="6">
        <f t="shared" si="84"/>
        <v>-441</v>
      </c>
      <c r="Y138" s="2"/>
      <c r="Z138" s="7">
        <f t="shared" si="85"/>
        <v>0</v>
      </c>
    </row>
    <row r="139" spans="1:26" s="24" customFormat="1" hidden="1" outlineLevel="2" x14ac:dyDescent="0.25">
      <c r="A139" s="25"/>
      <c r="B139" s="11" t="str">
        <f>CONCATENATE("          ", "6275", " - ", "SUBSCRIPTIONS")</f>
        <v xml:space="preserve">          6275 - SUBSCRIPTIONS</v>
      </c>
      <c r="C139" s="11"/>
      <c r="D139" s="6"/>
      <c r="E139" s="2"/>
      <c r="F139" s="7">
        <f t="shared" si="78"/>
        <v>0</v>
      </c>
      <c r="G139" s="2"/>
      <c r="H139" s="6"/>
      <c r="I139" s="2"/>
      <c r="J139" s="7">
        <f t="shared" si="79"/>
        <v>0</v>
      </c>
      <c r="K139" s="2"/>
      <c r="L139" s="6">
        <f t="shared" si="80"/>
        <v>0</v>
      </c>
      <c r="M139" s="2"/>
      <c r="N139" s="7">
        <f t="shared" si="81"/>
        <v>0</v>
      </c>
      <c r="O139" s="11"/>
      <c r="P139" s="6">
        <v>225.73</v>
      </c>
      <c r="Q139" s="2"/>
      <c r="R139" s="7">
        <f t="shared" si="82"/>
        <v>2.766746886760137E-4</v>
      </c>
      <c r="S139" s="2"/>
      <c r="T139" s="6">
        <v>385.06</v>
      </c>
      <c r="U139" s="2"/>
      <c r="V139" s="7">
        <f t="shared" si="83"/>
        <v>2.6523186965971679E-4</v>
      </c>
      <c r="W139" s="2"/>
      <c r="X139" s="6">
        <f t="shared" si="84"/>
        <v>-159.33000000000001</v>
      </c>
      <c r="Y139" s="2"/>
      <c r="Z139" s="7">
        <f t="shared" si="85"/>
        <v>-0.41377967070067007</v>
      </c>
    </row>
    <row r="140" spans="1:26" s="26" customFormat="1" outlineLevel="1" collapsed="1" x14ac:dyDescent="0.25">
      <c r="A140" s="27"/>
      <c r="B140" s="13" t="str">
        <f>CONCATENATE("     ","Supplies                                          ")</f>
        <v xml:space="preserve">     Supplies                                          </v>
      </c>
      <c r="C140" s="13"/>
      <c r="D140" s="1">
        <f>SUM(OSRRefD22_17x_0)</f>
        <v>417.95</v>
      </c>
      <c r="E140" s="1"/>
      <c r="F140" s="5">
        <f t="shared" ref="F140:F146" si="86">IF(D$12=0,0,D140/D$12)</f>
        <v>4.144248606924637E-3</v>
      </c>
      <c r="G140" s="1"/>
      <c r="H140" s="1">
        <f>SUM(OSRRefH22_17x_0)</f>
        <v>-209.61999999999995</v>
      </c>
      <c r="I140" s="1"/>
      <c r="J140" s="5">
        <f t="shared" ref="J140:J146" si="87">IF(H$12=0,0,H140/H$12)</f>
        <v>-6.3638778014025652E-4</v>
      </c>
      <c r="K140" s="1"/>
      <c r="L140" s="1">
        <f t="shared" ref="L140:L146" si="88">+D140-H140</f>
        <v>627.56999999999994</v>
      </c>
      <c r="M140" s="1"/>
      <c r="N140" s="5">
        <f t="shared" ref="N140:N146" si="89">IF(H140=0,0,L140/H140)</f>
        <v>-2.9938460070603954</v>
      </c>
      <c r="O140" s="13"/>
      <c r="P140" s="1">
        <f>SUM(OSRRefP22_17x_0)</f>
        <v>2186.96</v>
      </c>
      <c r="Q140" s="1"/>
      <c r="R140" s="5">
        <f t="shared" ref="R140:R146" si="90">IF(P$12=0,0,P140/P$12)</f>
        <v>2.6805319503251449E-3</v>
      </c>
      <c r="S140" s="1"/>
      <c r="T140" s="1">
        <f>SUM(OSRRefT22_17x_0)</f>
        <v>3138.7200000000003</v>
      </c>
      <c r="U140" s="1"/>
      <c r="V140" s="5">
        <f t="shared" ref="V140:V146" si="91">IF(T$12=0,0,T140/T$12)</f>
        <v>2.1619710537016217E-3</v>
      </c>
      <c r="W140" s="1"/>
      <c r="X140" s="1">
        <f t="shared" ref="X140:X146" si="92">+P140-T140</f>
        <v>-951.76000000000022</v>
      </c>
      <c r="Y140" s="1"/>
      <c r="Z140" s="5">
        <f t="shared" ref="Z140:Z146" si="93">IF(T140=0,0,X140/T140)</f>
        <v>-0.30323189070703988</v>
      </c>
    </row>
    <row r="141" spans="1:26" s="24" customFormat="1" hidden="1" outlineLevel="2" x14ac:dyDescent="0.25">
      <c r="A141" s="25"/>
      <c r="B141" s="11" t="str">
        <f>CONCATENATE("          ", "6234", " - ", "EXPENDABLE SUPPLIES &amp; EQUIPMEN")</f>
        <v xml:space="preserve">          6234 - EXPENDABLE SUPPLIES &amp; EQUIPMEN</v>
      </c>
      <c r="C141" s="11"/>
      <c r="D141" s="6"/>
      <c r="E141" s="2"/>
      <c r="F141" s="7">
        <f t="shared" si="86"/>
        <v>0</v>
      </c>
      <c r="G141" s="2"/>
      <c r="H141" s="6">
        <v>36.31</v>
      </c>
      <c r="I141" s="2"/>
      <c r="J141" s="7">
        <f t="shared" si="87"/>
        <v>1.10233948558786E-4</v>
      </c>
      <c r="K141" s="2"/>
      <c r="L141" s="6">
        <f t="shared" si="88"/>
        <v>-36.31</v>
      </c>
      <c r="M141" s="2"/>
      <c r="N141" s="7">
        <f t="shared" si="89"/>
        <v>-1</v>
      </c>
      <c r="O141" s="11"/>
      <c r="P141" s="6"/>
      <c r="Q141" s="2"/>
      <c r="R141" s="7">
        <f t="shared" si="90"/>
        <v>0</v>
      </c>
      <c r="S141" s="2"/>
      <c r="T141" s="6">
        <v>20.36</v>
      </c>
      <c r="U141" s="2"/>
      <c r="V141" s="7">
        <f t="shared" si="91"/>
        <v>1.4024102389943993E-5</v>
      </c>
      <c r="W141" s="2"/>
      <c r="X141" s="6">
        <f t="shared" si="92"/>
        <v>-20.36</v>
      </c>
      <c r="Y141" s="2"/>
      <c r="Z141" s="7">
        <f t="shared" si="93"/>
        <v>-1</v>
      </c>
    </row>
    <row r="142" spans="1:26" s="24" customFormat="1" hidden="1" outlineLevel="2" x14ac:dyDescent="0.25">
      <c r="A142" s="25"/>
      <c r="B142" s="11" t="str">
        <f>CONCATENATE("          ", "6235", " - ", "COVID-19 EXPENSES")</f>
        <v xml:space="preserve">          6235 - COVID-19 EXPENSES</v>
      </c>
      <c r="C142" s="11"/>
      <c r="D142" s="6">
        <v>65.05</v>
      </c>
      <c r="E142" s="2"/>
      <c r="F142" s="7">
        <f t="shared" si="86"/>
        <v>6.4501345108373639E-4</v>
      </c>
      <c r="G142" s="2"/>
      <c r="H142" s="6"/>
      <c r="I142" s="2"/>
      <c r="J142" s="7">
        <f t="shared" si="87"/>
        <v>0</v>
      </c>
      <c r="K142" s="2"/>
      <c r="L142" s="6">
        <f t="shared" si="88"/>
        <v>65.05</v>
      </c>
      <c r="M142" s="2"/>
      <c r="N142" s="7">
        <f t="shared" si="89"/>
        <v>0</v>
      </c>
      <c r="O142" s="11"/>
      <c r="P142" s="6">
        <v>1292.1300000000001</v>
      </c>
      <c r="Q142" s="2"/>
      <c r="R142" s="7">
        <f t="shared" si="90"/>
        <v>1.5837490164308582E-3</v>
      </c>
      <c r="S142" s="2"/>
      <c r="T142" s="6"/>
      <c r="U142" s="2"/>
      <c r="V142" s="7">
        <f t="shared" si="91"/>
        <v>0</v>
      </c>
      <c r="W142" s="2"/>
      <c r="X142" s="6">
        <f t="shared" si="92"/>
        <v>1292.1300000000001</v>
      </c>
      <c r="Y142" s="2"/>
      <c r="Z142" s="7">
        <f t="shared" si="93"/>
        <v>0</v>
      </c>
    </row>
    <row r="143" spans="1:26" s="24" customFormat="1" hidden="1" outlineLevel="2" x14ac:dyDescent="0.25">
      <c r="A143" s="25"/>
      <c r="B143" s="11" t="str">
        <f>CONCATENATE("          ", "6237", " - ", "JANITORIAL SUPPLIES")</f>
        <v xml:space="preserve">          6237 - JANITORIAL SUPPLIES</v>
      </c>
      <c r="C143" s="11"/>
      <c r="D143" s="6"/>
      <c r="E143" s="2"/>
      <c r="F143" s="7">
        <f t="shared" si="86"/>
        <v>0</v>
      </c>
      <c r="G143" s="2"/>
      <c r="H143" s="6"/>
      <c r="I143" s="2"/>
      <c r="J143" s="7">
        <f t="shared" si="87"/>
        <v>0</v>
      </c>
      <c r="K143" s="2"/>
      <c r="L143" s="6">
        <f t="shared" si="88"/>
        <v>0</v>
      </c>
      <c r="M143" s="2"/>
      <c r="N143" s="7">
        <f t="shared" si="89"/>
        <v>0</v>
      </c>
      <c r="O143" s="11"/>
      <c r="P143" s="6">
        <v>191.74</v>
      </c>
      <c r="Q143" s="2"/>
      <c r="R143" s="7">
        <f t="shared" si="90"/>
        <v>2.3501353301173466E-4</v>
      </c>
      <c r="S143" s="2"/>
      <c r="T143" s="6">
        <v>287.72000000000003</v>
      </c>
      <c r="U143" s="2"/>
      <c r="V143" s="7">
        <f t="shared" si="91"/>
        <v>1.9818343514905139E-4</v>
      </c>
      <c r="W143" s="2"/>
      <c r="X143" s="6">
        <f t="shared" si="92"/>
        <v>-95.980000000000018</v>
      </c>
      <c r="Y143" s="2"/>
      <c r="Z143" s="7">
        <f t="shared" si="93"/>
        <v>-0.33358821076046158</v>
      </c>
    </row>
    <row r="144" spans="1:26" s="24" customFormat="1" hidden="1" outlineLevel="2" x14ac:dyDescent="0.25">
      <c r="A144" s="25"/>
      <c r="B144" s="11" t="str">
        <f>CONCATENATE("          ", "6241", " - ", "OFFICE EXPENSE")</f>
        <v xml:space="preserve">          6241 - OFFICE EXPENSE</v>
      </c>
      <c r="C144" s="11"/>
      <c r="D144" s="6">
        <v>352.9</v>
      </c>
      <c r="E144" s="2"/>
      <c r="F144" s="7">
        <f t="shared" si="86"/>
        <v>3.4992351558409004E-3</v>
      </c>
      <c r="G144" s="2"/>
      <c r="H144" s="6">
        <v>322.07</v>
      </c>
      <c r="I144" s="2"/>
      <c r="J144" s="7">
        <f t="shared" si="87"/>
        <v>9.7777603448989821E-4</v>
      </c>
      <c r="K144" s="2"/>
      <c r="L144" s="6">
        <f t="shared" si="88"/>
        <v>30.829999999999984</v>
      </c>
      <c r="M144" s="2"/>
      <c r="N144" s="7">
        <f t="shared" si="89"/>
        <v>9.572453193405156E-2</v>
      </c>
      <c r="O144" s="11"/>
      <c r="P144" s="6">
        <v>516.38</v>
      </c>
      <c r="Q144" s="2"/>
      <c r="R144" s="7">
        <f t="shared" si="90"/>
        <v>6.3292108155105632E-4</v>
      </c>
      <c r="S144" s="2"/>
      <c r="T144" s="6">
        <v>3105.85</v>
      </c>
      <c r="U144" s="2"/>
      <c r="V144" s="7">
        <f t="shared" si="91"/>
        <v>2.1393299807371097E-3</v>
      </c>
      <c r="W144" s="2"/>
      <c r="X144" s="6">
        <f t="shared" si="92"/>
        <v>-2589.4699999999998</v>
      </c>
      <c r="Y144" s="2"/>
      <c r="Z144" s="7">
        <f t="shared" si="93"/>
        <v>-0.83373955599916283</v>
      </c>
    </row>
    <row r="145" spans="1:26" s="24" customFormat="1" hidden="1" outlineLevel="2" x14ac:dyDescent="0.25">
      <c r="A145" s="25"/>
      <c r="B145" s="11" t="str">
        <f>CONCATENATE("          ", "6245", " - ", "PRINTING")</f>
        <v xml:space="preserve">          6245 - PRINTING</v>
      </c>
      <c r="C145" s="11"/>
      <c r="D145" s="6"/>
      <c r="E145" s="2"/>
      <c r="F145" s="7">
        <f t="shared" si="86"/>
        <v>0</v>
      </c>
      <c r="G145" s="2"/>
      <c r="H145" s="6">
        <v>-617.17999999999995</v>
      </c>
      <c r="I145" s="2"/>
      <c r="J145" s="7">
        <f t="shared" si="87"/>
        <v>-1.8737038934594199E-3</v>
      </c>
      <c r="K145" s="2"/>
      <c r="L145" s="6">
        <f t="shared" si="88"/>
        <v>617.17999999999995</v>
      </c>
      <c r="M145" s="2"/>
      <c r="N145" s="7">
        <f t="shared" si="89"/>
        <v>-1</v>
      </c>
      <c r="O145" s="11"/>
      <c r="P145" s="6"/>
      <c r="Q145" s="2"/>
      <c r="R145" s="7">
        <f t="shared" si="90"/>
        <v>0</v>
      </c>
      <c r="S145" s="2"/>
      <c r="T145" s="6">
        <v>-617.17999999999995</v>
      </c>
      <c r="U145" s="2"/>
      <c r="V145" s="7">
        <f t="shared" si="91"/>
        <v>-4.2511765781068925E-4</v>
      </c>
      <c r="W145" s="2"/>
      <c r="X145" s="6">
        <f t="shared" si="92"/>
        <v>617.17999999999995</v>
      </c>
      <c r="Y145" s="2"/>
      <c r="Z145" s="7">
        <f t="shared" si="93"/>
        <v>-1</v>
      </c>
    </row>
    <row r="146" spans="1:26" s="24" customFormat="1" hidden="1" outlineLevel="2" x14ac:dyDescent="0.25">
      <c r="A146" s="25"/>
      <c r="B146" s="11" t="str">
        <f>CONCATENATE("          ", "6247", " - ", "STORE SUPPLIES")</f>
        <v xml:space="preserve">          6247 - STORE SUPPLIES</v>
      </c>
      <c r="C146" s="11"/>
      <c r="D146" s="6"/>
      <c r="E146" s="2"/>
      <c r="F146" s="7">
        <f t="shared" si="86"/>
        <v>0</v>
      </c>
      <c r="G146" s="2"/>
      <c r="H146" s="6">
        <v>49.18</v>
      </c>
      <c r="I146" s="2"/>
      <c r="J146" s="7">
        <f t="shared" si="87"/>
        <v>1.4930613027047909E-4</v>
      </c>
      <c r="K146" s="2"/>
      <c r="L146" s="6">
        <f t="shared" si="88"/>
        <v>-49.18</v>
      </c>
      <c r="M146" s="2"/>
      <c r="N146" s="7">
        <f t="shared" si="89"/>
        <v>-1</v>
      </c>
      <c r="O146" s="11"/>
      <c r="P146" s="6">
        <v>186.71</v>
      </c>
      <c r="Q146" s="2"/>
      <c r="R146" s="7">
        <f t="shared" si="90"/>
        <v>2.2884831933149568E-4</v>
      </c>
      <c r="S146" s="2"/>
      <c r="T146" s="6">
        <v>341.97</v>
      </c>
      <c r="U146" s="2"/>
      <c r="V146" s="7">
        <f t="shared" si="91"/>
        <v>2.355511932362057E-4</v>
      </c>
      <c r="W146" s="2"/>
      <c r="X146" s="6">
        <f t="shared" si="92"/>
        <v>-155.26000000000002</v>
      </c>
      <c r="Y146" s="2"/>
      <c r="Z146" s="7">
        <f t="shared" si="93"/>
        <v>-0.45401643419013366</v>
      </c>
    </row>
    <row r="147" spans="1:26" s="26" customFormat="1" outlineLevel="1" collapsed="1" x14ac:dyDescent="0.25">
      <c r="A147" s="27"/>
      <c r="B147" s="13" t="str">
        <f>CONCATENATE("     ","Telephone/Data Lines                              ")</f>
        <v xml:space="preserve">     Telephone/Data Lines                              </v>
      </c>
      <c r="C147" s="13"/>
      <c r="D147" s="1">
        <f>SUM(OSRRefD22_18x_0)</f>
        <v>563.03</v>
      </c>
      <c r="E147" s="1"/>
      <c r="F147" s="5">
        <f t="shared" ref="F147:F153" si="94">IF(D$12=0,0,D147/D$12)</f>
        <v>5.5828120424854131E-3</v>
      </c>
      <c r="G147" s="1"/>
      <c r="H147" s="1">
        <f>SUM(OSRRefH22_18x_0)</f>
        <v>641.71</v>
      </c>
      <c r="I147" s="1"/>
      <c r="J147" s="5">
        <f t="shared" ref="J147:J153" si="95">IF(H$12=0,0,H147/H$12)</f>
        <v>1.9481748039013652E-3</v>
      </c>
      <c r="K147" s="1"/>
      <c r="L147" s="1">
        <f t="shared" ref="L147:L153" si="96">+D147-H147</f>
        <v>-78.680000000000064</v>
      </c>
      <c r="M147" s="1"/>
      <c r="N147" s="5">
        <f t="shared" ref="N147:N153" si="97">IF(H147=0,0,L147/H147)</f>
        <v>-0.1226099016689783</v>
      </c>
      <c r="O147" s="13"/>
      <c r="P147" s="1">
        <f>SUM(OSRRefP22_18x_0)</f>
        <v>3936.12</v>
      </c>
      <c r="Q147" s="1"/>
      <c r="R147" s="5">
        <f t="shared" ref="R147:R153" si="98">IF(P$12=0,0,P147/P$12)</f>
        <v>4.8244574296346567E-3</v>
      </c>
      <c r="S147" s="1"/>
      <c r="T147" s="1">
        <f>SUM(OSRRefT22_18x_0)</f>
        <v>4659.8</v>
      </c>
      <c r="U147" s="1"/>
      <c r="V147" s="5">
        <f t="shared" ref="V147:V153" si="99">IF(T$12=0,0,T147/T$12)</f>
        <v>3.2097009978713665E-3</v>
      </c>
      <c r="W147" s="1"/>
      <c r="X147" s="1">
        <f t="shared" ref="X147:X153" si="100">+P147-T147</f>
        <v>-723.68000000000029</v>
      </c>
      <c r="Y147" s="1"/>
      <c r="Z147" s="5">
        <f t="shared" ref="Z147:Z153" si="101">IF(T147=0,0,X147/T147)</f>
        <v>-0.1553028026953947</v>
      </c>
    </row>
    <row r="148" spans="1:26" s="24" customFormat="1" hidden="1" outlineLevel="2" x14ac:dyDescent="0.25">
      <c r="A148" s="25"/>
      <c r="B148" s="11" t="str">
        <f>CONCATENATE("          ", "6309", " - ", "TELEPHONE")</f>
        <v xml:space="preserve">          6309 - TELEPHONE</v>
      </c>
      <c r="C148" s="11"/>
      <c r="D148" s="6">
        <v>563.03</v>
      </c>
      <c r="E148" s="2"/>
      <c r="F148" s="7">
        <f t="shared" si="94"/>
        <v>5.5828120424854131E-3</v>
      </c>
      <c r="G148" s="2"/>
      <c r="H148" s="6">
        <v>641.71</v>
      </c>
      <c r="I148" s="2"/>
      <c r="J148" s="7">
        <f t="shared" si="95"/>
        <v>1.9481748039013652E-3</v>
      </c>
      <c r="K148" s="2"/>
      <c r="L148" s="6">
        <f t="shared" si="96"/>
        <v>-78.680000000000064</v>
      </c>
      <c r="M148" s="2"/>
      <c r="N148" s="7">
        <f t="shared" si="97"/>
        <v>-0.1226099016689783</v>
      </c>
      <c r="O148" s="11"/>
      <c r="P148" s="6">
        <v>3936.12</v>
      </c>
      <c r="Q148" s="2"/>
      <c r="R148" s="7">
        <f t="shared" si="98"/>
        <v>4.8244574296346567E-3</v>
      </c>
      <c r="S148" s="2"/>
      <c r="T148" s="6">
        <v>4659.8</v>
      </c>
      <c r="U148" s="2"/>
      <c r="V148" s="7">
        <f t="shared" si="99"/>
        <v>3.2097009978713665E-3</v>
      </c>
      <c r="W148" s="2"/>
      <c r="X148" s="6">
        <f t="shared" si="100"/>
        <v>-723.68000000000029</v>
      </c>
      <c r="Y148" s="2"/>
      <c r="Z148" s="7">
        <f t="shared" si="101"/>
        <v>-0.1553028026953947</v>
      </c>
    </row>
    <row r="149" spans="1:26" s="26" customFormat="1" outlineLevel="1" collapsed="1" x14ac:dyDescent="0.25">
      <c r="A149" s="27"/>
      <c r="B149" s="13" t="str">
        <f>CONCATENATE("     ","Training                                          ")</f>
        <v xml:space="preserve">     Training                                          </v>
      </c>
      <c r="C149" s="13"/>
      <c r="D149" s="1">
        <f>SUM(OSRRefD22_19x_0)</f>
        <v>0</v>
      </c>
      <c r="E149" s="1"/>
      <c r="F149" s="5">
        <f t="shared" si="94"/>
        <v>0</v>
      </c>
      <c r="G149" s="1"/>
      <c r="H149" s="1">
        <f>SUM(OSRRefH22_19x_0)</f>
        <v>233.12</v>
      </c>
      <c r="I149" s="1"/>
      <c r="J149" s="5">
        <f t="shared" si="95"/>
        <v>7.0773170168064422E-4</v>
      </c>
      <c r="K149" s="1"/>
      <c r="L149" s="1">
        <f t="shared" si="96"/>
        <v>-233.12</v>
      </c>
      <c r="M149" s="1"/>
      <c r="N149" s="5">
        <f t="shared" si="97"/>
        <v>-1</v>
      </c>
      <c r="O149" s="13"/>
      <c r="P149" s="1">
        <f>SUM(OSRRefP22_19x_0)</f>
        <v>0</v>
      </c>
      <c r="Q149" s="1"/>
      <c r="R149" s="5">
        <f t="shared" si="98"/>
        <v>0</v>
      </c>
      <c r="S149" s="1"/>
      <c r="T149" s="1">
        <f>SUM(OSRRefT22_19x_0)</f>
        <v>1379.18</v>
      </c>
      <c r="U149" s="1"/>
      <c r="V149" s="5">
        <f t="shared" si="99"/>
        <v>9.4998828753256181E-4</v>
      </c>
      <c r="W149" s="1"/>
      <c r="X149" s="1">
        <f t="shared" si="100"/>
        <v>-1379.18</v>
      </c>
      <c r="Y149" s="1"/>
      <c r="Z149" s="5">
        <f t="shared" si="101"/>
        <v>-1</v>
      </c>
    </row>
    <row r="150" spans="1:26" s="24" customFormat="1" hidden="1" outlineLevel="2" x14ac:dyDescent="0.25">
      <c r="A150" s="25"/>
      <c r="B150" s="11" t="str">
        <f>CONCATENATE("          ", "6376", " - ", "TRAINING")</f>
        <v xml:space="preserve">          6376 - TRAINING</v>
      </c>
      <c r="C150" s="11"/>
      <c r="D150" s="6"/>
      <c r="E150" s="2"/>
      <c r="F150" s="7">
        <f t="shared" si="94"/>
        <v>0</v>
      </c>
      <c r="G150" s="2"/>
      <c r="H150" s="6">
        <v>233.12</v>
      </c>
      <c r="I150" s="2"/>
      <c r="J150" s="7">
        <f t="shared" si="95"/>
        <v>7.0773170168064422E-4</v>
      </c>
      <c r="K150" s="2"/>
      <c r="L150" s="6">
        <f t="shared" si="96"/>
        <v>-233.12</v>
      </c>
      <c r="M150" s="2"/>
      <c r="N150" s="7">
        <f t="shared" si="97"/>
        <v>-1</v>
      </c>
      <c r="O150" s="11"/>
      <c r="P150" s="6"/>
      <c r="Q150" s="2"/>
      <c r="R150" s="7">
        <f t="shared" si="98"/>
        <v>0</v>
      </c>
      <c r="S150" s="2"/>
      <c r="T150" s="6">
        <v>1379.18</v>
      </c>
      <c r="U150" s="2"/>
      <c r="V150" s="7">
        <f t="shared" si="99"/>
        <v>9.4998828753256181E-4</v>
      </c>
      <c r="W150" s="2"/>
      <c r="X150" s="6">
        <f t="shared" si="100"/>
        <v>-1379.18</v>
      </c>
      <c r="Y150" s="2"/>
      <c r="Z150" s="7">
        <f t="shared" si="101"/>
        <v>-1</v>
      </c>
    </row>
    <row r="151" spans="1:26" s="26" customFormat="1" outlineLevel="1" collapsed="1" x14ac:dyDescent="0.25">
      <c r="A151" s="27"/>
      <c r="B151" s="13" t="str">
        <f>CONCATENATE("     ","Travel                                            ")</f>
        <v xml:space="preserve">     Travel                                            </v>
      </c>
      <c r="C151" s="13"/>
      <c r="D151" s="1">
        <f>SUM(OSRRefD22_20x_0)</f>
        <v>0</v>
      </c>
      <c r="E151" s="1"/>
      <c r="F151" s="5">
        <f t="shared" si="94"/>
        <v>0</v>
      </c>
      <c r="G151" s="1"/>
      <c r="H151" s="1">
        <f>SUM(OSRRefH22_20x_0)</f>
        <v>241.66</v>
      </c>
      <c r="I151" s="1"/>
      <c r="J151" s="5">
        <f t="shared" si="95"/>
        <v>7.3365838635957659E-4</v>
      </c>
      <c r="K151" s="1"/>
      <c r="L151" s="1">
        <f t="shared" si="96"/>
        <v>-241.66</v>
      </c>
      <c r="M151" s="1"/>
      <c r="N151" s="5">
        <f t="shared" si="97"/>
        <v>-1</v>
      </c>
      <c r="O151" s="13"/>
      <c r="P151" s="1">
        <f>SUM(OSRRefP22_20x_0)</f>
        <v>321.88</v>
      </c>
      <c r="Q151" s="1"/>
      <c r="R151" s="5">
        <f t="shared" si="98"/>
        <v>3.9452464799111898E-4</v>
      </c>
      <c r="S151" s="1"/>
      <c r="T151" s="1">
        <f>SUM(OSRRefT22_20x_0)</f>
        <v>785.17</v>
      </c>
      <c r="U151" s="1"/>
      <c r="V151" s="5">
        <f t="shared" si="99"/>
        <v>5.4083027865974096E-4</v>
      </c>
      <c r="W151" s="1"/>
      <c r="X151" s="1">
        <f t="shared" si="100"/>
        <v>-463.28999999999996</v>
      </c>
      <c r="Y151" s="1"/>
      <c r="Z151" s="5">
        <f t="shared" si="101"/>
        <v>-0.59005056229861053</v>
      </c>
    </row>
    <row r="152" spans="1:26" s="24" customFormat="1" hidden="1" outlineLevel="2" x14ac:dyDescent="0.25">
      <c r="A152" s="25"/>
      <c r="B152" s="11" t="str">
        <f>CONCATENATE("          ", "6292", " - ", "TRAVEL/CONFERENCE")</f>
        <v xml:space="preserve">          6292 - TRAVEL/CONFERENCE</v>
      </c>
      <c r="C152" s="11"/>
      <c r="D152" s="6"/>
      <c r="E152" s="2"/>
      <c r="F152" s="7">
        <f t="shared" si="94"/>
        <v>0</v>
      </c>
      <c r="G152" s="2"/>
      <c r="H152" s="6"/>
      <c r="I152" s="2"/>
      <c r="J152" s="7">
        <f t="shared" si="95"/>
        <v>0</v>
      </c>
      <c r="K152" s="2"/>
      <c r="L152" s="6">
        <f t="shared" si="96"/>
        <v>0</v>
      </c>
      <c r="M152" s="2"/>
      <c r="N152" s="7">
        <f t="shared" si="97"/>
        <v>0</v>
      </c>
      <c r="O152" s="11"/>
      <c r="P152" s="6"/>
      <c r="Q152" s="2"/>
      <c r="R152" s="7">
        <f t="shared" si="98"/>
        <v>0</v>
      </c>
      <c r="S152" s="2"/>
      <c r="T152" s="6">
        <v>107.04</v>
      </c>
      <c r="U152" s="2"/>
      <c r="V152" s="7">
        <f t="shared" si="99"/>
        <v>7.3729858537308708E-5</v>
      </c>
      <c r="W152" s="2"/>
      <c r="X152" s="6">
        <f t="shared" si="100"/>
        <v>-107.04</v>
      </c>
      <c r="Y152" s="2"/>
      <c r="Z152" s="7">
        <f t="shared" si="101"/>
        <v>-1</v>
      </c>
    </row>
    <row r="153" spans="1:26" s="24" customFormat="1" hidden="1" outlineLevel="2" x14ac:dyDescent="0.25">
      <c r="A153" s="25"/>
      <c r="B153" s="11" t="str">
        <f>CONCATENATE("          ", "6294", " - ", "TRAVEL OPERATIONAL")</f>
        <v xml:space="preserve">          6294 - TRAVEL OPERATIONAL</v>
      </c>
      <c r="C153" s="11"/>
      <c r="D153" s="6"/>
      <c r="E153" s="2"/>
      <c r="F153" s="7">
        <f t="shared" si="94"/>
        <v>0</v>
      </c>
      <c r="G153" s="2"/>
      <c r="H153" s="6">
        <v>241.66</v>
      </c>
      <c r="I153" s="2"/>
      <c r="J153" s="7">
        <f t="shared" si="95"/>
        <v>7.3365838635957659E-4</v>
      </c>
      <c r="K153" s="2"/>
      <c r="L153" s="6">
        <f t="shared" si="96"/>
        <v>-241.66</v>
      </c>
      <c r="M153" s="2"/>
      <c r="N153" s="7">
        <f t="shared" si="97"/>
        <v>-1</v>
      </c>
      <c r="O153" s="11"/>
      <c r="P153" s="6">
        <v>321.88</v>
      </c>
      <c r="Q153" s="2"/>
      <c r="R153" s="7">
        <f t="shared" si="98"/>
        <v>3.9452464799111898E-4</v>
      </c>
      <c r="S153" s="2"/>
      <c r="T153" s="6">
        <v>678.13</v>
      </c>
      <c r="U153" s="2"/>
      <c r="V153" s="7">
        <f t="shared" si="99"/>
        <v>4.6710042012243226E-4</v>
      </c>
      <c r="W153" s="2"/>
      <c r="X153" s="6">
        <f t="shared" si="100"/>
        <v>-356.25</v>
      </c>
      <c r="Y153" s="2"/>
      <c r="Z153" s="7">
        <f t="shared" si="101"/>
        <v>-0.52534174863226812</v>
      </c>
    </row>
    <row r="154" spans="1:26" s="26" customFormat="1" outlineLevel="1" collapsed="1" x14ac:dyDescent="0.25">
      <c r="A154" s="27"/>
      <c r="B154" s="13" t="str">
        <f>CONCATENATE("     ","Utilities                                         ")</f>
        <v xml:space="preserve">     Utilities                                         </v>
      </c>
      <c r="C154" s="13"/>
      <c r="D154" s="1">
        <f>SUM(OSRRefD22_21x_0)</f>
        <v>17.38</v>
      </c>
      <c r="E154" s="1"/>
      <c r="F154" s="5">
        <f t="shared" ref="F154:F155" si="102">IF(D$12=0,0,D154/D$12)</f>
        <v>1.7233410883682305E-4</v>
      </c>
      <c r="G154" s="1"/>
      <c r="H154" s="1">
        <f>SUM(OSRRefH22_21x_0)</f>
        <v>31.26</v>
      </c>
      <c r="I154" s="1"/>
      <c r="J154" s="5">
        <f t="shared" ref="J154:J155" si="103">IF(H$12=0,0,H154/H$12)</f>
        <v>9.4902595206489964E-5</v>
      </c>
      <c r="K154" s="1"/>
      <c r="L154" s="1">
        <f t="shared" ref="L154:L155" si="104">+D154-H154</f>
        <v>-13.880000000000003</v>
      </c>
      <c r="M154" s="1"/>
      <c r="N154" s="5">
        <f t="shared" ref="N154:N155" si="105">IF(H154=0,0,L154/H154)</f>
        <v>-0.44401791426743448</v>
      </c>
      <c r="O154" s="13"/>
      <c r="P154" s="1">
        <f>SUM(OSRRefP22_21x_0)</f>
        <v>101.79</v>
      </c>
      <c r="Q154" s="1"/>
      <c r="R154" s="5">
        <f t="shared" ref="R154:R155" si="106">IF(P$12=0,0,P154/P$12)</f>
        <v>1.2476284304404126E-4</v>
      </c>
      <c r="S154" s="1"/>
      <c r="T154" s="1">
        <f>SUM(OSRRefT22_21x_0)</f>
        <v>226.92</v>
      </c>
      <c r="U154" s="1"/>
      <c r="V154" s="5">
        <f t="shared" ref="V154:V155" si="107">IF(T$12=0,0,T154/T$12)</f>
        <v>1.5630399382741115E-4</v>
      </c>
      <c r="W154" s="1"/>
      <c r="X154" s="1">
        <f t="shared" ref="X154:X155" si="108">+P154-T154</f>
        <v>-125.12999999999998</v>
      </c>
      <c r="Y154" s="1"/>
      <c r="Z154" s="5">
        <f t="shared" ref="Z154:Z155" si="109">IF(T154=0,0,X154/T154)</f>
        <v>-0.55142781597038604</v>
      </c>
    </row>
    <row r="155" spans="1:26" s="24" customFormat="1" hidden="1" outlineLevel="2" x14ac:dyDescent="0.25">
      <c r="A155" s="25"/>
      <c r="B155" s="11" t="str">
        <f>CONCATENATE("          ", "6274", " - ", "UTILITIES")</f>
        <v xml:space="preserve">          6274 - UTILITIES</v>
      </c>
      <c r="C155" s="11"/>
      <c r="D155" s="6">
        <v>17.38</v>
      </c>
      <c r="E155" s="2"/>
      <c r="F155" s="7">
        <f t="shared" si="102"/>
        <v>1.7233410883682305E-4</v>
      </c>
      <c r="G155" s="2"/>
      <c r="H155" s="6">
        <v>31.26</v>
      </c>
      <c r="I155" s="2"/>
      <c r="J155" s="7">
        <f t="shared" si="103"/>
        <v>9.4902595206489964E-5</v>
      </c>
      <c r="K155" s="2"/>
      <c r="L155" s="6">
        <f t="shared" si="104"/>
        <v>-13.880000000000003</v>
      </c>
      <c r="M155" s="2"/>
      <c r="N155" s="7">
        <f t="shared" si="105"/>
        <v>-0.44401791426743448</v>
      </c>
      <c r="O155" s="11"/>
      <c r="P155" s="6">
        <v>101.79</v>
      </c>
      <c r="Q155" s="2"/>
      <c r="R155" s="7">
        <f t="shared" si="106"/>
        <v>1.2476284304404126E-4</v>
      </c>
      <c r="S155" s="2"/>
      <c r="T155" s="6">
        <v>226.92</v>
      </c>
      <c r="U155" s="2"/>
      <c r="V155" s="7">
        <f t="shared" si="107"/>
        <v>1.5630399382741115E-4</v>
      </c>
      <c r="W155" s="2"/>
      <c r="X155" s="6">
        <f t="shared" si="108"/>
        <v>-125.12999999999998</v>
      </c>
      <c r="Y155" s="2"/>
      <c r="Z155" s="7">
        <f t="shared" si="109"/>
        <v>-0.55142781597038604</v>
      </c>
    </row>
    <row r="156" spans="1:26" s="53" customFormat="1" x14ac:dyDescent="0.25">
      <c r="A156" s="37"/>
      <c r="B156" s="37"/>
      <c r="C156" s="37"/>
      <c r="D156" s="1"/>
      <c r="E156" s="1"/>
      <c r="F156" s="5"/>
      <c r="G156" s="1"/>
      <c r="H156" s="1"/>
      <c r="I156" s="1"/>
      <c r="J156" s="5"/>
      <c r="K156" s="1"/>
      <c r="L156" s="1"/>
      <c r="M156" s="1"/>
      <c r="N156" s="5"/>
      <c r="O156" s="37"/>
      <c r="P156" s="1"/>
      <c r="Q156" s="1"/>
      <c r="R156" s="5"/>
      <c r="S156" s="1"/>
      <c r="T156" s="1"/>
      <c r="U156" s="1"/>
      <c r="V156" s="5"/>
      <c r="W156" s="1"/>
      <c r="X156" s="1"/>
      <c r="Y156" s="1"/>
      <c r="Z156" s="5"/>
    </row>
    <row r="157" spans="1:26" s="23" customFormat="1" collapsed="1" x14ac:dyDescent="0.25">
      <c r="A157" s="10"/>
      <c r="B157" s="29" t="s">
        <v>0</v>
      </c>
      <c r="C157" s="10"/>
      <c r="D157" s="4">
        <f>SUM(OSRRefD25x_0)</f>
        <v>14886.94</v>
      </c>
      <c r="E157" s="4"/>
      <c r="F157" s="12">
        <f t="shared" ref="F157:F159" si="110">IF(D$12=0,0,D157/D$12)</f>
        <v>0.1476137824054807</v>
      </c>
      <c r="G157" s="4"/>
      <c r="H157" s="4">
        <f>SUM(OSRRefH25x_0)</f>
        <v>433.18</v>
      </c>
      <c r="I157" s="4"/>
      <c r="J157" s="12">
        <f t="shared" ref="J157:J159" si="111">IF(H$12=0,0,H157/H$12)</f>
        <v>1.3150961673559604E-3</v>
      </c>
      <c r="K157" s="4"/>
      <c r="L157" s="4">
        <f t="shared" ref="L157:L159" si="112">+D157-H157</f>
        <v>14453.76</v>
      </c>
      <c r="M157" s="4"/>
      <c r="N157" s="12">
        <f t="shared" ref="N157:N159" si="113">IF(H157=0,0,L157/H157)</f>
        <v>33.366637425550579</v>
      </c>
      <c r="O157" s="10"/>
      <c r="P157" s="4">
        <f>SUM(OSRRefP25x_0)</f>
        <v>207874.45</v>
      </c>
      <c r="Q157" s="4"/>
      <c r="R157" s="12">
        <f t="shared" ref="R157:R159" si="114">IF(P$12=0,0,P157/P$12)</f>
        <v>0.25478934451533947</v>
      </c>
      <c r="S157" s="4"/>
      <c r="T157" s="4">
        <f>SUM(OSRRefT25x_0)</f>
        <v>14830.16</v>
      </c>
      <c r="U157" s="4"/>
      <c r="V157" s="12">
        <f t="shared" ref="V157:V159" si="115">IF(T$12=0,0,T157/T$12)</f>
        <v>1.0215112097212761E-2</v>
      </c>
      <c r="W157" s="4"/>
      <c r="X157" s="4">
        <f t="shared" ref="X157:X159" si="116">+P157-T157</f>
        <v>193044.29</v>
      </c>
      <c r="Y157" s="4"/>
      <c r="Z157" s="12">
        <f t="shared" ref="Z157:Z159" si="117">IF(T157=0,0,X157/T157)</f>
        <v>13.01700655960556</v>
      </c>
    </row>
    <row r="158" spans="1:26" s="24" customFormat="1" hidden="1" outlineLevel="1" x14ac:dyDescent="0.25">
      <c r="A158" s="44"/>
      <c r="B158" s="11" t="str">
        <f>CONCATENATE("          ", "9150", " - ", "MISC. INCOME")</f>
        <v xml:space="preserve">          9150 - MISC. INCOME</v>
      </c>
      <c r="C158" s="11"/>
      <c r="D158" s="2">
        <f>--145</f>
        <v>145</v>
      </c>
      <c r="E158" s="2"/>
      <c r="F158" s="19">
        <f t="shared" si="110"/>
        <v>1.4377701830459921E-3</v>
      </c>
      <c r="G158" s="2"/>
      <c r="H158" s="2">
        <f>--433.18</f>
        <v>433.18</v>
      </c>
      <c r="I158" s="2"/>
      <c r="J158" s="19">
        <f t="shared" si="111"/>
        <v>1.3150961673559604E-3</v>
      </c>
      <c r="K158" s="2"/>
      <c r="L158" s="2">
        <f t="shared" si="112"/>
        <v>-288.18</v>
      </c>
      <c r="M158" s="2"/>
      <c r="N158" s="19">
        <f t="shared" si="113"/>
        <v>-0.66526617110669928</v>
      </c>
      <c r="O158" s="11"/>
      <c r="P158" s="2">
        <f>--32468.61</f>
        <v>32468.61</v>
      </c>
      <c r="Q158" s="2"/>
      <c r="R158" s="19">
        <f t="shared" si="114"/>
        <v>3.9796405278398554E-2</v>
      </c>
      <c r="S158" s="2"/>
      <c r="T158" s="2">
        <f>--14830.16</f>
        <v>14830.16</v>
      </c>
      <c r="U158" s="2"/>
      <c r="V158" s="19">
        <f t="shared" si="115"/>
        <v>1.0215112097212761E-2</v>
      </c>
      <c r="W158" s="2"/>
      <c r="X158" s="2">
        <f t="shared" si="116"/>
        <v>17638.45</v>
      </c>
      <c r="Y158" s="2"/>
      <c r="Z158" s="19">
        <f t="shared" si="117"/>
        <v>1.189363432356765</v>
      </c>
    </row>
    <row r="159" spans="1:26" s="24" customFormat="1" hidden="1" outlineLevel="1" x14ac:dyDescent="0.25">
      <c r="A159" s="44"/>
      <c r="B159" s="11" t="str">
        <f>CONCATENATE("          ", "9163", " - ", "MISC. INCOME")</f>
        <v xml:space="preserve">          9163 - MISC. INCOME</v>
      </c>
      <c r="C159" s="11"/>
      <c r="D159" s="2">
        <f>--14741.94</f>
        <v>14741.94</v>
      </c>
      <c r="E159" s="2"/>
      <c r="F159" s="19">
        <f t="shared" si="110"/>
        <v>0.1461760122224347</v>
      </c>
      <c r="G159" s="2"/>
      <c r="H159" s="2">
        <f>0</f>
        <v>0</v>
      </c>
      <c r="I159" s="2"/>
      <c r="J159" s="19">
        <f t="shared" si="111"/>
        <v>0</v>
      </c>
      <c r="K159" s="2"/>
      <c r="L159" s="2">
        <f t="shared" si="112"/>
        <v>14741.94</v>
      </c>
      <c r="M159" s="2"/>
      <c r="N159" s="19">
        <f t="shared" si="113"/>
        <v>0</v>
      </c>
      <c r="O159" s="11"/>
      <c r="P159" s="2">
        <f>--175405.84</f>
        <v>175405.84</v>
      </c>
      <c r="Q159" s="2"/>
      <c r="R159" s="19">
        <f t="shared" si="114"/>
        <v>0.21499293923694091</v>
      </c>
      <c r="S159" s="2"/>
      <c r="T159" s="2">
        <f>0</f>
        <v>0</v>
      </c>
      <c r="U159" s="2"/>
      <c r="V159" s="19">
        <f t="shared" si="115"/>
        <v>0</v>
      </c>
      <c r="W159" s="2"/>
      <c r="X159" s="2">
        <f t="shared" si="116"/>
        <v>175405.84</v>
      </c>
      <c r="Y159" s="2"/>
      <c r="Z159" s="19">
        <f t="shared" si="117"/>
        <v>0</v>
      </c>
    </row>
    <row r="160" spans="1:26" x14ac:dyDescent="0.25">
      <c r="A160" s="9"/>
      <c r="B160" s="10"/>
      <c r="C160" s="10"/>
      <c r="D160" s="3"/>
      <c r="E160" s="3"/>
      <c r="F160" s="8"/>
      <c r="G160" s="3"/>
      <c r="H160" s="3"/>
      <c r="I160" s="3"/>
      <c r="J160" s="8"/>
      <c r="K160" s="3"/>
      <c r="L160" s="3"/>
      <c r="M160" s="3"/>
      <c r="N160" s="8"/>
      <c r="O160" s="10"/>
      <c r="P160" s="3"/>
      <c r="Q160" s="3"/>
      <c r="R160" s="8"/>
      <c r="S160" s="3"/>
      <c r="T160" s="3"/>
      <c r="U160" s="3"/>
      <c r="V160" s="8"/>
      <c r="W160" s="3"/>
      <c r="X160" s="3"/>
      <c r="Y160" s="3"/>
      <c r="Z160" s="8"/>
    </row>
    <row r="161" spans="1:26" s="23" customFormat="1" x14ac:dyDescent="0.25">
      <c r="A161" s="10"/>
      <c r="B161" s="28" t="s">
        <v>3</v>
      </c>
      <c r="C161" s="28"/>
      <c r="D161" s="20">
        <f>+D84-D86+D157</f>
        <v>4607.2500000000418</v>
      </c>
      <c r="E161" s="14"/>
      <c r="F161" s="22">
        <f>IF(D$12=0,0,D161/D$12)</f>
        <v>4.5683908109232466E-2</v>
      </c>
      <c r="G161" s="14"/>
      <c r="H161" s="20">
        <f>+H84-H86+H157</f>
        <v>69647.549999999945</v>
      </c>
      <c r="I161" s="14"/>
      <c r="J161" s="22">
        <f>IF(H$12=0,0,H161/H$12)</f>
        <v>0.21144380181617928</v>
      </c>
      <c r="K161" s="15"/>
      <c r="L161" s="20">
        <f>+D161-H161</f>
        <v>-65040.299999999901</v>
      </c>
      <c r="M161" s="15"/>
      <c r="N161" s="22">
        <f>IF(H161=0,0,L161/H161)</f>
        <v>-0.93384907293939201</v>
      </c>
      <c r="O161" s="29"/>
      <c r="P161" s="20">
        <f>+P84-P86+P157</f>
        <v>207273.20000000013</v>
      </c>
      <c r="Q161" s="14"/>
      <c r="R161" s="22">
        <f>IF(P$12=0,0,P161/P$12)</f>
        <v>0.25405239924193129</v>
      </c>
      <c r="S161" s="14"/>
      <c r="T161" s="20">
        <f>+T84-T86+T157</f>
        <v>343153.81000000046</v>
      </c>
      <c r="U161" s="14"/>
      <c r="V161" s="22">
        <f>IF(T$12=0,0,T161/T$12)</f>
        <v>0.23636660937816276</v>
      </c>
      <c r="W161" s="15"/>
      <c r="X161" s="20">
        <f>+P161-T161</f>
        <v>-135880.61000000034</v>
      </c>
      <c r="Y161" s="15"/>
      <c r="Z161" s="22">
        <f>IF(T161=0,0,X161/T161)</f>
        <v>-0.39597581620906425</v>
      </c>
    </row>
    <row r="162" spans="1:26" x14ac:dyDescent="0.25">
      <c r="A162" s="9"/>
      <c r="B162" s="10"/>
      <c r="C162" s="9"/>
      <c r="D162" s="3"/>
      <c r="E162" s="3"/>
      <c r="F162" s="8"/>
      <c r="G162" s="3"/>
      <c r="H162" s="3"/>
      <c r="I162" s="3"/>
      <c r="J162" s="8"/>
      <c r="K162" s="3"/>
      <c r="L162" s="3"/>
      <c r="M162" s="3"/>
      <c r="N162" s="8"/>
      <c r="P162" s="3"/>
      <c r="Q162" s="3"/>
      <c r="R162" s="8"/>
      <c r="S162" s="3"/>
      <c r="T162" s="3"/>
      <c r="U162" s="3"/>
      <c r="V162" s="8"/>
      <c r="W162" s="3"/>
      <c r="X162" s="3"/>
      <c r="Y162" s="3"/>
      <c r="Z162" s="8"/>
    </row>
    <row r="163" spans="1:26" s="23" customFormat="1" x14ac:dyDescent="0.25">
      <c r="A163" s="51"/>
      <c r="B163" s="10" t="s">
        <v>13</v>
      </c>
      <c r="C163" s="10"/>
      <c r="D163" s="4">
        <v>-25246.720000000001</v>
      </c>
      <c r="E163" s="4"/>
      <c r="F163" s="12">
        <f>IF(D$12=0,0,D163/D$12)</f>
        <v>-0.25033780162559249</v>
      </c>
      <c r="G163" s="4"/>
      <c r="H163" s="4">
        <v>40751.11</v>
      </c>
      <c r="I163" s="4"/>
      <c r="J163" s="12">
        <f>IF(H$12=0,0,H163/H$12)</f>
        <v>0.12371676572441283</v>
      </c>
      <c r="K163" s="4"/>
      <c r="L163" s="4">
        <f>+D163-H163</f>
        <v>-65997.83</v>
      </c>
      <c r="M163" s="4"/>
      <c r="N163" s="12">
        <f>IF(H163=0,0,L163/H163)</f>
        <v>-1.6195345353783002</v>
      </c>
      <c r="O163" s="10"/>
      <c r="P163" s="4">
        <v>129641.43</v>
      </c>
      <c r="Q163" s="4"/>
      <c r="R163" s="12">
        <f>IF(P$12=0,0,P163/P$12)</f>
        <v>0.15890002341187801</v>
      </c>
      <c r="S163" s="4"/>
      <c r="T163" s="4">
        <v>153734.35</v>
      </c>
      <c r="U163" s="4"/>
      <c r="V163" s="12">
        <f>IF(T$12=0,0,T163/T$12)</f>
        <v>0.10589323503199835</v>
      </c>
      <c r="W163" s="4"/>
      <c r="X163" s="4">
        <f>+P163-T163</f>
        <v>-24092.920000000013</v>
      </c>
      <c r="Y163" s="4"/>
      <c r="Z163" s="12">
        <f>IF(T163=0,0,X163/T163)</f>
        <v>-0.15671787079465332</v>
      </c>
    </row>
    <row r="164" spans="1:26" x14ac:dyDescent="0.25">
      <c r="A164" s="9"/>
      <c r="B164" s="10"/>
      <c r="C164" s="10"/>
      <c r="D164" s="3"/>
      <c r="E164" s="3"/>
      <c r="F164" s="8"/>
      <c r="G164" s="3"/>
      <c r="H164" s="3"/>
      <c r="I164" s="3"/>
      <c r="J164" s="8"/>
      <c r="K164" s="3"/>
      <c r="L164" s="3"/>
      <c r="M164" s="3"/>
      <c r="N164" s="8"/>
      <c r="O164" s="10"/>
      <c r="P164" s="3"/>
      <c r="Q164" s="3"/>
      <c r="R164" s="8"/>
      <c r="S164" s="3"/>
      <c r="T164" s="3"/>
      <c r="U164" s="3"/>
      <c r="V164" s="8"/>
      <c r="W164" s="3"/>
      <c r="X164" s="3"/>
      <c r="Y164" s="3"/>
      <c r="Z164" s="8"/>
    </row>
    <row r="165" spans="1:26" s="23" customFormat="1" ht="15.75" thickBot="1" x14ac:dyDescent="0.3">
      <c r="A165" s="10"/>
      <c r="B165" s="28" t="s">
        <v>4</v>
      </c>
      <c r="C165" s="28"/>
      <c r="D165" s="31">
        <f>+D161-D163</f>
        <v>29853.970000000045</v>
      </c>
      <c r="E165" s="14"/>
      <c r="F165" s="34">
        <f>IF(D$12=0,0,D165/D$12)</f>
        <v>0.29602170973482494</v>
      </c>
      <c r="G165" s="14"/>
      <c r="H165" s="31">
        <f>+H161-H163</f>
        <v>28896.439999999944</v>
      </c>
      <c r="I165" s="14"/>
      <c r="J165" s="34">
        <f>IF(H$12=0,0,H165/H$12)</f>
        <v>8.772703609176645E-2</v>
      </c>
      <c r="K165" s="15"/>
      <c r="L165" s="31">
        <f>D165-H165</f>
        <v>957.5300000001007</v>
      </c>
      <c r="M165" s="15"/>
      <c r="N165" s="34">
        <f>IF(H165=0,0,L165/H165)</f>
        <v>3.3136607831279648E-2</v>
      </c>
      <c r="O165" s="29"/>
      <c r="P165" s="31">
        <f>+P161-P163</f>
        <v>77631.770000000135</v>
      </c>
      <c r="Q165" s="14"/>
      <c r="R165" s="34">
        <f>IF(P$12=0,0,P165/P$12)</f>
        <v>9.5152375830053329E-2</v>
      </c>
      <c r="S165" s="14"/>
      <c r="T165" s="31">
        <f>+T161-T163</f>
        <v>189419.46000000046</v>
      </c>
      <c r="U165" s="14"/>
      <c r="V165" s="34">
        <f>IF(T$12=0,0,T165/T$12)</f>
        <v>0.13047337434616441</v>
      </c>
      <c r="W165" s="15"/>
      <c r="X165" s="31">
        <f>P165-T165</f>
        <v>-111787.69000000032</v>
      </c>
      <c r="Y165" s="15"/>
      <c r="Z165" s="34">
        <f>IF(T165=0,0,X165/T165)</f>
        <v>-0.59015947991827267</v>
      </c>
    </row>
    <row r="166" spans="1:26" ht="15.75" thickTop="1" x14ac:dyDescent="0.25">
      <c r="A166" s="9"/>
      <c r="B166" s="9"/>
      <c r="C166" s="9"/>
      <c r="D166" s="3"/>
      <c r="E166" s="3"/>
      <c r="F166" s="8"/>
      <c r="G166" s="3"/>
      <c r="H166" s="3"/>
      <c r="I166" s="3"/>
      <c r="J166" s="8"/>
      <c r="K166" s="3"/>
      <c r="L166" s="3"/>
      <c r="M166" s="3"/>
      <c r="N166" s="8"/>
      <c r="P166" s="3"/>
      <c r="Q166" s="3"/>
      <c r="R166" s="8"/>
      <c r="S166" s="3"/>
      <c r="T166" s="3"/>
      <c r="U166" s="3"/>
      <c r="V166" s="8"/>
      <c r="W166" s="3"/>
      <c r="X166" s="3"/>
      <c r="Y166" s="3"/>
      <c r="Z166" s="8"/>
    </row>
    <row r="167" spans="1:26" x14ac:dyDescent="0.25">
      <c r="A167" s="9"/>
      <c r="B167" s="9"/>
      <c r="C167" s="9"/>
      <c r="D167" s="3"/>
      <c r="E167" s="3"/>
      <c r="F167" s="8"/>
      <c r="G167" s="3"/>
      <c r="H167" s="3"/>
      <c r="I167" s="3"/>
      <c r="J167" s="8"/>
      <c r="K167" s="3"/>
      <c r="L167" s="3"/>
      <c r="M167" s="3"/>
      <c r="N167" s="8"/>
      <c r="P167" s="3"/>
      <c r="Q167" s="3"/>
      <c r="R167" s="8"/>
      <c r="S167" s="3"/>
      <c r="T167" s="3"/>
      <c r="U167" s="3"/>
      <c r="V167" s="8"/>
      <c r="W167" s="3"/>
      <c r="X167" s="3"/>
      <c r="Y167" s="3"/>
      <c r="Z167" s="8"/>
    </row>
    <row r="168" spans="1:26" s="23" customFormat="1" ht="15.75" thickBot="1" x14ac:dyDescent="0.3">
      <c r="A168" s="10"/>
      <c r="B168" s="28" t="s">
        <v>5</v>
      </c>
      <c r="C168" s="28"/>
      <c r="D168" s="32">
        <f>SUM(D165:D167)</f>
        <v>29853.970000000045</v>
      </c>
      <c r="E168" s="14"/>
      <c r="F168" s="30">
        <f>IF(D$12=0,0,D168/D$12)</f>
        <v>0.29602170973482494</v>
      </c>
      <c r="G168" s="14"/>
      <c r="H168" s="32">
        <f>SUM(H165:H167)</f>
        <v>28896.439999999944</v>
      </c>
      <c r="I168" s="14"/>
      <c r="J168" s="30">
        <f>IF(H$12=0,0,H168/H$12)</f>
        <v>8.772703609176645E-2</v>
      </c>
      <c r="K168" s="15"/>
      <c r="L168" s="32">
        <f>+D168-H168</f>
        <v>957.5300000001007</v>
      </c>
      <c r="M168" s="15"/>
      <c r="N168" s="30">
        <f>IF(H168=0,0,L168/H168)</f>
        <v>3.3136607831279648E-2</v>
      </c>
      <c r="O168" s="29"/>
      <c r="P168" s="32">
        <f>SUM(P165:P167)</f>
        <v>77631.770000000135</v>
      </c>
      <c r="Q168" s="14"/>
      <c r="R168" s="30">
        <f>IF(P$12=0,0,P168/P$12)</f>
        <v>9.5152375830053329E-2</v>
      </c>
      <c r="S168" s="14"/>
      <c r="T168" s="32">
        <f>SUM(T165:T167)</f>
        <v>189419.46000000046</v>
      </c>
      <c r="U168" s="14"/>
      <c r="V168" s="30">
        <f>IF(T$12=0,0,T168/T$12)</f>
        <v>0.13047337434616441</v>
      </c>
      <c r="W168" s="15"/>
      <c r="X168" s="32">
        <f>+P168-T168</f>
        <v>-111787.69000000032</v>
      </c>
      <c r="Y168" s="15"/>
      <c r="Z168" s="30">
        <f>IF(T168=0,0,X168/T168)</f>
        <v>-0.59015947991827267</v>
      </c>
    </row>
    <row r="169" spans="1:26" ht="15.75" thickTop="1" x14ac:dyDescent="0.25">
      <c r="A169" s="9"/>
      <c r="C169" s="9"/>
      <c r="D169" s="17"/>
      <c r="E169" s="17"/>
      <c r="G169" s="17"/>
      <c r="H169" s="17"/>
      <c r="I169" s="17"/>
      <c r="J169" s="43"/>
      <c r="K169" s="17"/>
      <c r="L169" s="17"/>
      <c r="M169" s="17"/>
      <c r="P169" s="17"/>
      <c r="Q169" s="17"/>
      <c r="R169" s="43"/>
      <c r="S169" s="17"/>
      <c r="T169" s="17"/>
      <c r="U169" s="17"/>
      <c r="V169" s="43"/>
      <c r="W169" s="17"/>
      <c r="X169" s="17"/>
    </row>
    <row r="170" spans="1:26" x14ac:dyDescent="0.25">
      <c r="A170" s="9"/>
      <c r="B170" s="54">
        <v>44174.685155868057</v>
      </c>
      <c r="D170" s="17"/>
      <c r="E170" s="17"/>
      <c r="G170" s="17"/>
      <c r="H170" s="17"/>
      <c r="I170" s="17"/>
      <c r="J170" s="43"/>
      <c r="K170" s="17"/>
      <c r="L170" s="17"/>
      <c r="M170" s="17"/>
      <c r="P170" s="17"/>
      <c r="Q170" s="17"/>
      <c r="R170" s="43"/>
      <c r="S170" s="17"/>
      <c r="T170" s="17"/>
      <c r="U170" s="17"/>
      <c r="V170" s="43"/>
      <c r="W170" s="17"/>
      <c r="X170" s="17"/>
    </row>
    <row r="171" spans="1:26" x14ac:dyDescent="0.25">
      <c r="A171" s="9"/>
      <c r="B171" s="56" t="s">
        <v>313</v>
      </c>
      <c r="D171" s="17"/>
      <c r="E171" s="17"/>
      <c r="G171" s="17"/>
      <c r="H171" s="17"/>
      <c r="I171" s="17"/>
      <c r="J171" s="43"/>
      <c r="K171" s="17"/>
      <c r="L171" s="17"/>
      <c r="M171" s="17"/>
      <c r="P171" s="17"/>
      <c r="Q171" s="17"/>
      <c r="R171" s="43"/>
      <c r="S171" s="17"/>
      <c r="T171" s="17"/>
      <c r="U171" s="17"/>
      <c r="V171" s="43"/>
      <c r="W171" s="17"/>
      <c r="X171" s="17"/>
    </row>
    <row r="172" spans="1:26" x14ac:dyDescent="0.25">
      <c r="A172" s="9"/>
      <c r="B172" s="61"/>
      <c r="D172" s="17"/>
      <c r="E172" s="17"/>
      <c r="G172" s="17"/>
      <c r="H172" s="17"/>
      <c r="I172" s="17"/>
      <c r="J172" s="43"/>
      <c r="K172" s="17"/>
      <c r="L172" s="17"/>
      <c r="M172" s="17"/>
      <c r="P172" s="17"/>
      <c r="Q172" s="17"/>
      <c r="R172" s="43"/>
      <c r="S172" s="17"/>
      <c r="T172" s="17"/>
      <c r="U172" s="17"/>
      <c r="V172" s="43"/>
      <c r="W172" s="17"/>
      <c r="X172" s="17"/>
    </row>
    <row r="173" spans="1:26" x14ac:dyDescent="0.25">
      <c r="D173" s="17"/>
      <c r="E173" s="17"/>
      <c r="G173" s="17"/>
      <c r="H173" s="17"/>
      <c r="I173" s="17"/>
      <c r="J173" s="43"/>
      <c r="K173" s="17"/>
      <c r="L173" s="17"/>
      <c r="M173" s="17"/>
      <c r="P173" s="17"/>
      <c r="Q173" s="17"/>
      <c r="R173" s="43"/>
      <c r="S173" s="17"/>
      <c r="T173" s="17"/>
      <c r="U173" s="17"/>
      <c r="V173" s="43"/>
      <c r="W173" s="17"/>
      <c r="X173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297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SUM(0)</f>
        <v>0</v>
      </c>
      <c r="E18" s="21"/>
      <c r="F18" s="35">
        <f>IF(D$12=0,0,D18/D$12)</f>
        <v>0</v>
      </c>
      <c r="G18" s="21"/>
      <c r="H18" s="21">
        <f>SUM(0)</f>
        <v>0</v>
      </c>
      <c r="I18" s="21"/>
      <c r="J18" s="35">
        <f>IF(H$12=0,0,H18/H$12)</f>
        <v>0</v>
      </c>
      <c r="K18" s="4"/>
      <c r="L18" s="21">
        <f>+D18-H18</f>
        <v>0</v>
      </c>
      <c r="M18" s="4"/>
      <c r="N18" s="35">
        <f>IF(H18=0,0,L18/H18)</f>
        <v>0</v>
      </c>
      <c r="O18" s="10"/>
      <c r="P18" s="21">
        <f>SUM(0)</f>
        <v>0</v>
      </c>
      <c r="Q18" s="21"/>
      <c r="R18" s="35">
        <f>IF(P$12=0,0,P18/P$12)</f>
        <v>0</v>
      </c>
      <c r="S18" s="21"/>
      <c r="T18" s="21">
        <f>SUM(0)</f>
        <v>0</v>
      </c>
      <c r="U18" s="21"/>
      <c r="V18" s="35">
        <f>IF(T$12=0,0,T18/T$12)</f>
        <v>0</v>
      </c>
      <c r="W18" s="4"/>
      <c r="X18" s="21">
        <f>+P18-T18</f>
        <v>0</v>
      </c>
      <c r="Y18" s="4"/>
      <c r="Z18" s="35">
        <f>IF(T18=0,0,X18/T18)</f>
        <v>0</v>
      </c>
    </row>
    <row r="19" spans="1:26" s="53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0">
        <f>+D16-D18+D20</f>
        <v>0</v>
      </c>
      <c r="E22" s="14"/>
      <c r="F22" s="22">
        <f>IF(D$12=0,0,D22/D$12)</f>
        <v>0</v>
      </c>
      <c r="G22" s="14"/>
      <c r="H22" s="20">
        <f>+H16-H18+H20</f>
        <v>0</v>
      </c>
      <c r="I22" s="14"/>
      <c r="J22" s="22">
        <f>IF(H$12=0,0,H22/H$12)</f>
        <v>0</v>
      </c>
      <c r="K22" s="15"/>
      <c r="L22" s="20">
        <f>+D22-H22</f>
        <v>0</v>
      </c>
      <c r="M22" s="15"/>
      <c r="N22" s="22">
        <f>IF(H22=0,0,L22/H22)</f>
        <v>0</v>
      </c>
      <c r="O22" s="29"/>
      <c r="P22" s="20">
        <f>+P16-P18+P20</f>
        <v>0</v>
      </c>
      <c r="Q22" s="14"/>
      <c r="R22" s="22">
        <f>IF(P$12=0,0,P22/P$12)</f>
        <v>0</v>
      </c>
      <c r="S22" s="14"/>
      <c r="T22" s="20">
        <f>+T16-T18+T20</f>
        <v>0</v>
      </c>
      <c r="U22" s="14"/>
      <c r="V22" s="22">
        <f>IF(T$12=0,0,T22/T$12)</f>
        <v>0</v>
      </c>
      <c r="W22" s="15"/>
      <c r="X22" s="20">
        <f>+P22-T22</f>
        <v>0</v>
      </c>
      <c r="Y22" s="15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1">
        <f>+D22-D24</f>
        <v>0</v>
      </c>
      <c r="E26" s="14"/>
      <c r="F26" s="34">
        <f>IF(D$12=0,0,D26/D$12)</f>
        <v>0</v>
      </c>
      <c r="G26" s="14"/>
      <c r="H26" s="31">
        <f>+H22-H24</f>
        <v>0</v>
      </c>
      <c r="I26" s="14"/>
      <c r="J26" s="34">
        <f>IF(H$12=0,0,H26/H$12)</f>
        <v>0</v>
      </c>
      <c r="K26" s="15"/>
      <c r="L26" s="31">
        <f>D26-H26</f>
        <v>0</v>
      </c>
      <c r="M26" s="15"/>
      <c r="N26" s="34">
        <f>IF(H26=0,0,L26/H26)</f>
        <v>0</v>
      </c>
      <c r="O26" s="29"/>
      <c r="P26" s="31">
        <f>+P22-P24</f>
        <v>0</v>
      </c>
      <c r="Q26" s="14"/>
      <c r="R26" s="34">
        <f>IF(P$12=0,0,P26/P$12)</f>
        <v>0</v>
      </c>
      <c r="S26" s="14"/>
      <c r="T26" s="31">
        <f>+T22-T24</f>
        <v>0</v>
      </c>
      <c r="U26" s="14"/>
      <c r="V26" s="34">
        <f>IF(T$12=0,0,T26/T$12)</f>
        <v>0</v>
      </c>
      <c r="W26" s="15"/>
      <c r="X26" s="31">
        <f>P26-T26</f>
        <v>0</v>
      </c>
      <c r="Y26" s="15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--1068713.4</f>
        <v>1068713.3999999999</v>
      </c>
      <c r="E28" s="4"/>
      <c r="F28" s="12">
        <f t="shared" ref="F28:F29" si="0">IF(D$12=0,0,D28/D$12)</f>
        <v>0</v>
      </c>
      <c r="G28" s="4"/>
      <c r="H28" s="4">
        <f>--198901.42</f>
        <v>198901.42</v>
      </c>
      <c r="I28" s="4"/>
      <c r="J28" s="12">
        <f t="shared" ref="J28:J29" si="1">IF(H$12=0,0,H28/H$12)</f>
        <v>0</v>
      </c>
      <c r="K28" s="4"/>
      <c r="L28" s="4">
        <f t="shared" ref="L28:L29" si="2">+D28-H28</f>
        <v>869811.97999999986</v>
      </c>
      <c r="M28" s="4"/>
      <c r="N28" s="12">
        <f t="shared" ref="N28:N29" si="3">IF(H28=0,0,L28/H28)</f>
        <v>4.3730807955016102</v>
      </c>
      <c r="O28" s="10"/>
      <c r="P28" s="4">
        <f>--1649406.18</f>
        <v>1649406.18</v>
      </c>
      <c r="Q28" s="4"/>
      <c r="R28" s="12">
        <f t="shared" ref="R28:R29" si="4">IF(P$12=0,0,P28/P$12)</f>
        <v>0</v>
      </c>
      <c r="S28" s="4"/>
      <c r="T28" s="4">
        <f>--317204.67</f>
        <v>317204.67</v>
      </c>
      <c r="U28" s="4"/>
      <c r="V28" s="12">
        <f t="shared" ref="V28:V29" si="5">IF(T$12=0,0,T28/T$12)</f>
        <v>0</v>
      </c>
      <c r="W28" s="4"/>
      <c r="X28" s="4">
        <f t="shared" ref="X28:X29" si="6">+P28-T28</f>
        <v>1332201.51</v>
      </c>
      <c r="Y28" s="4"/>
      <c r="Z28" s="12">
        <f t="shared" ref="Z28:Z29" si="7">IF(T28=0,0,X28/T28)</f>
        <v>4.1998168248910082</v>
      </c>
    </row>
    <row r="29" spans="1:26" s="23" customFormat="1" x14ac:dyDescent="0.25">
      <c r="A29" s="51"/>
      <c r="B29" s="10" t="s">
        <v>1</v>
      </c>
      <c r="C29" s="10"/>
      <c r="D29" s="4">
        <f>--16697.28</f>
        <v>16697.28</v>
      </c>
      <c r="E29" s="4"/>
      <c r="F29" s="12">
        <f t="shared" si="0"/>
        <v>0</v>
      </c>
      <c r="G29" s="4"/>
      <c r="H29" s="4">
        <f>--12962.29</f>
        <v>12962.29</v>
      </c>
      <c r="I29" s="4"/>
      <c r="J29" s="12">
        <f t="shared" si="1"/>
        <v>0</v>
      </c>
      <c r="K29" s="4"/>
      <c r="L29" s="4">
        <f t="shared" si="2"/>
        <v>3734.989999999998</v>
      </c>
      <c r="M29" s="4"/>
      <c r="N29" s="12">
        <f t="shared" si="3"/>
        <v>0.28814275872550282</v>
      </c>
      <c r="O29" s="10"/>
      <c r="P29" s="4">
        <f>-6422.54</f>
        <v>-6422.54</v>
      </c>
      <c r="Q29" s="4"/>
      <c r="R29" s="12">
        <f t="shared" si="4"/>
        <v>0</v>
      </c>
      <c r="S29" s="4"/>
      <c r="T29" s="4">
        <f>--78175.3</f>
        <v>78175.3</v>
      </c>
      <c r="U29" s="4"/>
      <c r="V29" s="12">
        <f t="shared" si="5"/>
        <v>0</v>
      </c>
      <c r="W29" s="4"/>
      <c r="X29" s="4">
        <f t="shared" si="6"/>
        <v>-84597.84</v>
      </c>
      <c r="Y29" s="4"/>
      <c r="Z29" s="12">
        <f t="shared" si="7"/>
        <v>-1.0821556169275972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2">
        <f>SUM(D26:D30)</f>
        <v>1085410.68</v>
      </c>
      <c r="E31" s="14"/>
      <c r="F31" s="30">
        <f>IF(D$12=0,0,D31/D$12)</f>
        <v>0</v>
      </c>
      <c r="G31" s="14"/>
      <c r="H31" s="32">
        <f>SUM(H26:H30)</f>
        <v>211863.71000000002</v>
      </c>
      <c r="I31" s="14"/>
      <c r="J31" s="30">
        <f>IF(H$12=0,0,H31/H$12)</f>
        <v>0</v>
      </c>
      <c r="K31" s="15"/>
      <c r="L31" s="32">
        <f>+D31-H31</f>
        <v>873546.97</v>
      </c>
      <c r="M31" s="15"/>
      <c r="N31" s="30">
        <f>IF(H31=0,0,L31/H31)</f>
        <v>4.1231552586330142</v>
      </c>
      <c r="O31" s="29"/>
      <c r="P31" s="32">
        <f>SUM(P26:P30)</f>
        <v>1642983.64</v>
      </c>
      <c r="Q31" s="14"/>
      <c r="R31" s="30">
        <f>IF(P$12=0,0,P31/P$12)</f>
        <v>0</v>
      </c>
      <c r="S31" s="14"/>
      <c r="T31" s="32">
        <f>SUM(T26:T30)</f>
        <v>395379.97</v>
      </c>
      <c r="U31" s="14"/>
      <c r="V31" s="30">
        <f>IF(T$12=0,0,T31/T$12)</f>
        <v>0</v>
      </c>
      <c r="W31" s="15"/>
      <c r="X31" s="32">
        <f>+P31-T31</f>
        <v>1247603.67</v>
      </c>
      <c r="Y31" s="15"/>
      <c r="Z31" s="30">
        <f>IF(T31=0,0,X31/T31)</f>
        <v>3.155454915938205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4">
        <v>44174.684976701392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56" t="s">
        <v>313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61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","315", " - ", "Beach Shop")</f>
        <v>Department 315 - Beach Shop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83257.350000000006</v>
      </c>
      <c r="E12" s="4"/>
      <c r="F12" s="12"/>
      <c r="G12" s="4"/>
      <c r="H12" s="4">
        <f>SUM(OSRRefH13x_0)</f>
        <v>291551.35999999999</v>
      </c>
      <c r="I12" s="4"/>
      <c r="J12" s="12"/>
      <c r="K12" s="4"/>
      <c r="L12" s="4">
        <f t="shared" ref="L12:L50" si="0">+D12-H12</f>
        <v>-208294.00999999998</v>
      </c>
      <c r="M12" s="4"/>
      <c r="N12" s="12">
        <f t="shared" ref="N12:N50" si="1">IF(H12=0,0,L12/H12)</f>
        <v>-0.71443333346138393</v>
      </c>
      <c r="O12" s="10"/>
      <c r="P12" s="4">
        <f>SUM(OSRRefP13x_0)</f>
        <v>709852.79000000015</v>
      </c>
      <c r="Q12" s="4"/>
      <c r="R12" s="12"/>
      <c r="S12" s="4"/>
      <c r="T12" s="4">
        <f>SUM(OSRRefT13x_0)</f>
        <v>1219478.8800000004</v>
      </c>
      <c r="U12" s="4"/>
      <c r="V12" s="12"/>
      <c r="W12" s="4"/>
      <c r="X12" s="4">
        <f t="shared" ref="X12:X50" si="2">+P12-T12</f>
        <v>-509626.0900000002</v>
      </c>
      <c r="Y12" s="4"/>
      <c r="Z12" s="12">
        <f t="shared" ref="Z12:Z50" si="3">IF(T12=0,0,X12/T12)</f>
        <v>-0.41790481029076948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-8967.87</f>
        <v>-8967.8700000000008</v>
      </c>
      <c r="E13" s="2"/>
      <c r="F13" s="19"/>
      <c r="G13" s="2"/>
      <c r="H13" s="2">
        <f t="shared" ref="H13:H18" si="4">0</f>
        <v>0</v>
      </c>
      <c r="I13" s="2"/>
      <c r="J13" s="19"/>
      <c r="K13" s="2"/>
      <c r="L13" s="2">
        <f t="shared" si="0"/>
        <v>-8967.8700000000008</v>
      </c>
      <c r="M13" s="2"/>
      <c r="N13" s="19">
        <f t="shared" si="1"/>
        <v>0</v>
      </c>
      <c r="O13" s="11"/>
      <c r="P13" s="2">
        <f>-46449.33</f>
        <v>-46449.33</v>
      </c>
      <c r="Q13" s="2"/>
      <c r="R13" s="19"/>
      <c r="S13" s="2"/>
      <c r="T13" s="2">
        <f t="shared" ref="T13:T18" si="5">0</f>
        <v>0</v>
      </c>
      <c r="U13" s="2"/>
      <c r="V13" s="19"/>
      <c r="W13" s="2"/>
      <c r="X13" s="2">
        <f t="shared" si="2"/>
        <v>-46449.33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--221.99</f>
        <v>221.99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221.99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--1684.19</f>
        <v>1684.19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1684.19</v>
      </c>
      <c r="M15" s="2"/>
      <c r="N15" s="19">
        <f t="shared" si="1"/>
        <v>0</v>
      </c>
      <c r="O15" s="11"/>
      <c r="P15" s="2">
        <f>--28679.91</f>
        <v>28679.91</v>
      </c>
      <c r="Q15" s="2"/>
      <c r="R15" s="19"/>
      <c r="S15" s="2"/>
      <c r="T15" s="2">
        <f t="shared" si="5"/>
        <v>0</v>
      </c>
      <c r="U15" s="2"/>
      <c r="V15" s="19"/>
      <c r="W15" s="2"/>
      <c r="X15" s="2">
        <f t="shared" si="2"/>
        <v>28679.91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--1730.73</f>
        <v>1730.73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1730.73</v>
      </c>
      <c r="M16" s="2"/>
      <c r="N16" s="19">
        <f t="shared" si="1"/>
        <v>0</v>
      </c>
      <c r="O16" s="11"/>
      <c r="P16" s="2">
        <f>--3520.53</f>
        <v>3520.53</v>
      </c>
      <c r="Q16" s="2"/>
      <c r="R16" s="19"/>
      <c r="S16" s="2"/>
      <c r="T16" s="2">
        <f t="shared" si="5"/>
        <v>0</v>
      </c>
      <c r="U16" s="2"/>
      <c r="V16" s="19"/>
      <c r="W16" s="2"/>
      <c r="X16" s="2">
        <f t="shared" si="2"/>
        <v>3520.53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>--194.65</f>
        <v>194.65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194.65</v>
      </c>
      <c r="M17" s="2"/>
      <c r="N17" s="19">
        <f t="shared" si="1"/>
        <v>0</v>
      </c>
      <c r="O17" s="11"/>
      <c r="P17" s="2">
        <f>--1488.06</f>
        <v>1488.06</v>
      </c>
      <c r="Q17" s="2"/>
      <c r="R17" s="19"/>
      <c r="S17" s="2"/>
      <c r="T17" s="2">
        <f t="shared" si="5"/>
        <v>0</v>
      </c>
      <c r="U17" s="2"/>
      <c r="V17" s="19"/>
      <c r="W17" s="2"/>
      <c r="X17" s="2">
        <f t="shared" si="2"/>
        <v>1488.06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--6.78</f>
        <v>6.78</v>
      </c>
      <c r="Q18" s="2"/>
      <c r="R18" s="19"/>
      <c r="S18" s="2"/>
      <c r="T18" s="2">
        <f t="shared" si="5"/>
        <v>0</v>
      </c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>--27086.99</f>
        <v>27086.99</v>
      </c>
      <c r="E19" s="2"/>
      <c r="F19" s="19"/>
      <c r="G19" s="2"/>
      <c r="H19" s="2">
        <f>--216676.29</f>
        <v>216676.29</v>
      </c>
      <c r="I19" s="2"/>
      <c r="J19" s="19"/>
      <c r="K19" s="2"/>
      <c r="L19" s="2">
        <f t="shared" si="0"/>
        <v>-189589.30000000002</v>
      </c>
      <c r="M19" s="2"/>
      <c r="N19" s="19">
        <f t="shared" si="1"/>
        <v>-0.87498867550298198</v>
      </c>
      <c r="O19" s="11"/>
      <c r="P19" s="2">
        <f>--335191.71</f>
        <v>335191.71000000002</v>
      </c>
      <c r="Q19" s="2"/>
      <c r="R19" s="19"/>
      <c r="S19" s="2"/>
      <c r="T19" s="2">
        <f>--901370.37</f>
        <v>901370.37</v>
      </c>
      <c r="U19" s="2"/>
      <c r="V19" s="19"/>
      <c r="W19" s="2"/>
      <c r="X19" s="2">
        <f t="shared" si="2"/>
        <v>-566178.65999999992</v>
      </c>
      <c r="Y19" s="2"/>
      <c r="Z19" s="19">
        <f t="shared" si="3"/>
        <v>-0.62813098682176549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>--10311.63</f>
        <v>10311.629999999999</v>
      </c>
      <c r="E20" s="2"/>
      <c r="F20" s="19"/>
      <c r="G20" s="2"/>
      <c r="H20" s="2">
        <f>--25268.56</f>
        <v>25268.560000000001</v>
      </c>
      <c r="I20" s="2"/>
      <c r="J20" s="19"/>
      <c r="K20" s="2"/>
      <c r="L20" s="2">
        <f t="shared" si="0"/>
        <v>-14956.930000000002</v>
      </c>
      <c r="M20" s="2"/>
      <c r="N20" s="19">
        <f t="shared" si="1"/>
        <v>-0.59191857391161196</v>
      </c>
      <c r="O20" s="11"/>
      <c r="P20" s="2">
        <f>--91005.93</f>
        <v>91005.93</v>
      </c>
      <c r="Q20" s="2"/>
      <c r="R20" s="19"/>
      <c r="S20" s="2"/>
      <c r="T20" s="2">
        <f>--136131.52</f>
        <v>136131.51999999999</v>
      </c>
      <c r="U20" s="2"/>
      <c r="V20" s="19"/>
      <c r="W20" s="2"/>
      <c r="X20" s="2">
        <f t="shared" si="2"/>
        <v>-45125.59</v>
      </c>
      <c r="Y20" s="2"/>
      <c r="Z20" s="19">
        <f t="shared" si="3"/>
        <v>-0.33148524309432525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--1278.37</f>
        <v>1278.3699999999999</v>
      </c>
      <c r="E21" s="2"/>
      <c r="F21" s="19"/>
      <c r="G21" s="2"/>
      <c r="H21" s="2">
        <f>--20997.65</f>
        <v>20997.65</v>
      </c>
      <c r="I21" s="2"/>
      <c r="J21" s="19"/>
      <c r="K21" s="2"/>
      <c r="L21" s="2">
        <f t="shared" si="0"/>
        <v>-19719.280000000002</v>
      </c>
      <c r="M21" s="2"/>
      <c r="N21" s="19">
        <f t="shared" si="1"/>
        <v>-0.93911842515710098</v>
      </c>
      <c r="O21" s="11"/>
      <c r="P21" s="2">
        <f>--39981.45</f>
        <v>39981.449999999997</v>
      </c>
      <c r="Q21" s="2"/>
      <c r="R21" s="19"/>
      <c r="S21" s="2"/>
      <c r="T21" s="2">
        <f>--99175.84</f>
        <v>99175.84</v>
      </c>
      <c r="U21" s="2"/>
      <c r="V21" s="19"/>
      <c r="W21" s="2"/>
      <c r="X21" s="2">
        <f t="shared" si="2"/>
        <v>-59194.39</v>
      </c>
      <c r="Y21" s="2"/>
      <c r="Z21" s="19">
        <f t="shared" si="3"/>
        <v>-0.59686300615149823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>--14878.42</f>
        <v>14878.42</v>
      </c>
      <c r="E22" s="2"/>
      <c r="F22" s="19"/>
      <c r="G22" s="2"/>
      <c r="H22" s="2">
        <f>--4266.49</f>
        <v>4266.49</v>
      </c>
      <c r="I22" s="2"/>
      <c r="J22" s="19"/>
      <c r="K22" s="2"/>
      <c r="L22" s="2">
        <f t="shared" si="0"/>
        <v>10611.93</v>
      </c>
      <c r="M22" s="2"/>
      <c r="N22" s="19">
        <f t="shared" si="1"/>
        <v>2.4872740824424762</v>
      </c>
      <c r="O22" s="11"/>
      <c r="P22" s="2">
        <f>--54299.26</f>
        <v>54299.26</v>
      </c>
      <c r="Q22" s="2"/>
      <c r="R22" s="19"/>
      <c r="S22" s="2"/>
      <c r="T22" s="2">
        <f>--4689.06</f>
        <v>4689.0600000000004</v>
      </c>
      <c r="U22" s="2"/>
      <c r="V22" s="19"/>
      <c r="W22" s="2"/>
      <c r="X22" s="2">
        <f t="shared" si="2"/>
        <v>49610.200000000004</v>
      </c>
      <c r="Y22" s="2"/>
      <c r="Z22" s="19">
        <f t="shared" si="3"/>
        <v>10.579988313222692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>--2286.03</f>
        <v>2286.0300000000002</v>
      </c>
      <c r="E23" s="2"/>
      <c r="F23" s="19"/>
      <c r="G23" s="2"/>
      <c r="H23" s="2">
        <f>--7506.24</f>
        <v>7506.24</v>
      </c>
      <c r="I23" s="2"/>
      <c r="J23" s="19"/>
      <c r="K23" s="2"/>
      <c r="L23" s="2">
        <f t="shared" si="0"/>
        <v>-5220.2099999999991</v>
      </c>
      <c r="M23" s="2"/>
      <c r="N23" s="19">
        <f t="shared" si="1"/>
        <v>-0.6954493861107558</v>
      </c>
      <c r="O23" s="11"/>
      <c r="P23" s="2">
        <f>--13778.17</f>
        <v>13778.17</v>
      </c>
      <c r="Q23" s="2"/>
      <c r="R23" s="19"/>
      <c r="S23" s="2"/>
      <c r="T23" s="2">
        <f>--39360.44</f>
        <v>39360.44</v>
      </c>
      <c r="U23" s="2"/>
      <c r="V23" s="19"/>
      <c r="W23" s="2"/>
      <c r="X23" s="2">
        <f t="shared" si="2"/>
        <v>-25582.270000000004</v>
      </c>
      <c r="Y23" s="2"/>
      <c r="Z23" s="19">
        <f t="shared" si="3"/>
        <v>-0.64994878106037435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--11240.61</f>
        <v>11240.61</v>
      </c>
      <c r="E24" s="2"/>
      <c r="F24" s="19"/>
      <c r="G24" s="2"/>
      <c r="H24" s="2">
        <f>--18575.49</f>
        <v>18575.490000000002</v>
      </c>
      <c r="I24" s="2"/>
      <c r="J24" s="19"/>
      <c r="K24" s="2"/>
      <c r="L24" s="2">
        <f t="shared" si="0"/>
        <v>-7334.880000000001</v>
      </c>
      <c r="M24" s="2"/>
      <c r="N24" s="19">
        <f t="shared" si="1"/>
        <v>-0.39486872217098984</v>
      </c>
      <c r="O24" s="11"/>
      <c r="P24" s="2">
        <f>--107925.7</f>
        <v>107925.7</v>
      </c>
      <c r="Q24" s="2"/>
      <c r="R24" s="19"/>
      <c r="S24" s="2"/>
      <c r="T24" s="2">
        <f>--54060.83</f>
        <v>54060.83</v>
      </c>
      <c r="U24" s="2"/>
      <c r="V24" s="19"/>
      <c r="W24" s="2"/>
      <c r="X24" s="2">
        <f t="shared" si="2"/>
        <v>53864.869999999995</v>
      </c>
      <c r="Y24" s="2"/>
      <c r="Z24" s="19">
        <f t="shared" si="3"/>
        <v>0.99637519438750743</v>
      </c>
    </row>
    <row r="25" spans="1:26" s="24" customFormat="1" hidden="1" outlineLevel="1" x14ac:dyDescent="0.25">
      <c r="A25" s="44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19"/>
      <c r="G25" s="2"/>
      <c r="H25" s="2">
        <f t="shared" ref="H25:H32" si="6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--52.68</f>
        <v>52.68</v>
      </c>
      <c r="Q25" s="2"/>
      <c r="R25" s="19"/>
      <c r="S25" s="2"/>
      <c r="T25" s="2">
        <f t="shared" ref="T25:T32" si="7">0</f>
        <v>0</v>
      </c>
      <c r="U25" s="2"/>
      <c r="V25" s="19"/>
      <c r="W25" s="2"/>
      <c r="X25" s="2">
        <f t="shared" si="2"/>
        <v>52.68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--114.89</f>
        <v>114.89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114.89</v>
      </c>
      <c r="M26" s="2"/>
      <c r="N26" s="19">
        <f t="shared" si="1"/>
        <v>0</v>
      </c>
      <c r="O26" s="11"/>
      <c r="P26" s="2">
        <f>--2946.58</f>
        <v>2946.58</v>
      </c>
      <c r="Q26" s="2"/>
      <c r="R26" s="19"/>
      <c r="S26" s="2"/>
      <c r="T26" s="2">
        <f t="shared" si="7"/>
        <v>0</v>
      </c>
      <c r="U26" s="2"/>
      <c r="V26" s="19"/>
      <c r="W26" s="2"/>
      <c r="X26" s="2">
        <f t="shared" si="2"/>
        <v>2946.58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"4128", " - ", "NON-TAXABLE SALES-ART/TECH")</f>
        <v xml:space="preserve">          4128 - NON-TAXABLE SALES-ART/TECH</v>
      </c>
      <c r="C27" s="11"/>
      <c r="D27" s="2">
        <f>--24.78</f>
        <v>24.78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24.78</v>
      </c>
      <c r="M27" s="2"/>
      <c r="N27" s="19">
        <f t="shared" si="1"/>
        <v>0</v>
      </c>
      <c r="O27" s="11"/>
      <c r="P27" s="2">
        <f>--24.78</f>
        <v>24.78</v>
      </c>
      <c r="Q27" s="2"/>
      <c r="R27" s="19"/>
      <c r="S27" s="2"/>
      <c r="T27" s="2">
        <f t="shared" si="7"/>
        <v>0</v>
      </c>
      <c r="U27" s="2"/>
      <c r="V27" s="19"/>
      <c r="W27" s="2"/>
      <c r="X27" s="2">
        <f t="shared" si="2"/>
        <v>24.78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"4131", " - ", "NON-TAXABLE SALES-FOOD")</f>
        <v xml:space="preserve">          4131 - NON-TAXABLE SALES-FOOD</v>
      </c>
      <c r="C28" s="11"/>
      <c r="D28" s="2">
        <f>--977.89</f>
        <v>977.89</v>
      </c>
      <c r="E28" s="2"/>
      <c r="F28" s="19"/>
      <c r="G28" s="2"/>
      <c r="H28" s="2">
        <f t="shared" si="6"/>
        <v>0</v>
      </c>
      <c r="I28" s="2"/>
      <c r="J28" s="19"/>
      <c r="K28" s="2"/>
      <c r="L28" s="2">
        <f t="shared" si="0"/>
        <v>977.89</v>
      </c>
      <c r="M28" s="2"/>
      <c r="N28" s="19">
        <f t="shared" si="1"/>
        <v>0</v>
      </c>
      <c r="O28" s="11"/>
      <c r="P28" s="2">
        <f>--4626.17</f>
        <v>4626.17</v>
      </c>
      <c r="Q28" s="2"/>
      <c r="R28" s="19"/>
      <c r="S28" s="2"/>
      <c r="T28" s="2">
        <f t="shared" si="7"/>
        <v>0</v>
      </c>
      <c r="U28" s="2"/>
      <c r="V28" s="19"/>
      <c r="W28" s="2"/>
      <c r="X28" s="2">
        <f t="shared" si="2"/>
        <v>4626.17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ref="D29:D32" si="8">0</f>
        <v>0</v>
      </c>
      <c r="E29" s="2"/>
      <c r="F29" s="19"/>
      <c r="G29" s="2"/>
      <c r="H29" s="2">
        <f t="shared" si="6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--22.49</f>
        <v>22.49</v>
      </c>
      <c r="Q29" s="2"/>
      <c r="R29" s="19"/>
      <c r="S29" s="2"/>
      <c r="T29" s="2">
        <f t="shared" si="7"/>
        <v>0</v>
      </c>
      <c r="U29" s="2"/>
      <c r="V29" s="19"/>
      <c r="W29" s="2"/>
      <c r="X29" s="2">
        <f t="shared" si="2"/>
        <v>22.49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8"/>
        <v>0</v>
      </c>
      <c r="E30" s="2"/>
      <c r="F30" s="19"/>
      <c r="G30" s="2"/>
      <c r="H30" s="2">
        <f t="shared" si="6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--80.71</f>
        <v>80.709999999999994</v>
      </c>
      <c r="Q30" s="2"/>
      <c r="R30" s="19"/>
      <c r="S30" s="2"/>
      <c r="T30" s="2">
        <f t="shared" si="7"/>
        <v>0</v>
      </c>
      <c r="U30" s="2"/>
      <c r="V30" s="19"/>
      <c r="W30" s="2"/>
      <c r="X30" s="2">
        <f t="shared" si="2"/>
        <v>80.709999999999994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8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--45.53</f>
        <v>45.53</v>
      </c>
      <c r="Q31" s="2"/>
      <c r="R31" s="19"/>
      <c r="S31" s="2"/>
      <c r="T31" s="2">
        <f t="shared" si="7"/>
        <v>0</v>
      </c>
      <c r="U31" s="2"/>
      <c r="V31" s="19"/>
      <c r="W31" s="2"/>
      <c r="X31" s="2">
        <f t="shared" si="2"/>
        <v>45.53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8"/>
        <v>0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--59.25</f>
        <v>59.25</v>
      </c>
      <c r="Q32" s="2"/>
      <c r="R32" s="19"/>
      <c r="S32" s="2"/>
      <c r="T32" s="2">
        <f t="shared" si="7"/>
        <v>0</v>
      </c>
      <c r="U32" s="2"/>
      <c r="V32" s="19"/>
      <c r="W32" s="2"/>
      <c r="X32" s="2">
        <f t="shared" si="2"/>
        <v>59.25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>--19679.84</f>
        <v>19679.84</v>
      </c>
      <c r="E33" s="2"/>
      <c r="F33" s="19"/>
      <c r="G33" s="2"/>
      <c r="H33" s="2">
        <f>--7373.27</f>
        <v>7373.27</v>
      </c>
      <c r="I33" s="2"/>
      <c r="J33" s="19"/>
      <c r="K33" s="2"/>
      <c r="L33" s="2">
        <f t="shared" si="0"/>
        <v>12306.57</v>
      </c>
      <c r="M33" s="2"/>
      <c r="N33" s="19">
        <f t="shared" si="1"/>
        <v>1.6690789839514895</v>
      </c>
      <c r="O33" s="11"/>
      <c r="P33" s="2">
        <f>--50154.49</f>
        <v>50154.49</v>
      </c>
      <c r="Q33" s="2"/>
      <c r="R33" s="19"/>
      <c r="S33" s="2"/>
      <c r="T33" s="2">
        <f>--20008.79</f>
        <v>20008.79</v>
      </c>
      <c r="U33" s="2"/>
      <c r="V33" s="19"/>
      <c r="W33" s="2"/>
      <c r="X33" s="2">
        <f t="shared" si="2"/>
        <v>30145.699999999997</v>
      </c>
      <c r="Y33" s="2"/>
      <c r="Z33" s="19">
        <f t="shared" si="3"/>
        <v>1.5066228392621441</v>
      </c>
    </row>
    <row r="34" spans="1:26" s="24" customFormat="1" hidden="1" outlineLevel="1" x14ac:dyDescent="0.25">
      <c r="A34" s="44"/>
      <c r="B34" s="11" t="str">
        <f>CONCATENATE("          ", "4141", " - ", "NON-TAXABLE SALES-LOGO GIFTS")</f>
        <v xml:space="preserve">          4141 - NON-TAXABLE SALES-LOGO GIFTS</v>
      </c>
      <c r="C34" s="11"/>
      <c r="D34" s="2">
        <f>--806.32</f>
        <v>806.32</v>
      </c>
      <c r="E34" s="2"/>
      <c r="F34" s="19"/>
      <c r="G34" s="2"/>
      <c r="H34" s="2">
        <f>--434.35</f>
        <v>434.35</v>
      </c>
      <c r="I34" s="2"/>
      <c r="J34" s="19"/>
      <c r="K34" s="2"/>
      <c r="L34" s="2">
        <f t="shared" si="0"/>
        <v>371.97</v>
      </c>
      <c r="M34" s="2"/>
      <c r="N34" s="19">
        <f t="shared" si="1"/>
        <v>0.85638310118567973</v>
      </c>
      <c r="O34" s="11"/>
      <c r="P34" s="2">
        <f>--3677.52</f>
        <v>3677.52</v>
      </c>
      <c r="Q34" s="2"/>
      <c r="R34" s="19"/>
      <c r="S34" s="2"/>
      <c r="T34" s="2">
        <f>--1677.53</f>
        <v>1677.53</v>
      </c>
      <c r="U34" s="2"/>
      <c r="V34" s="19"/>
      <c r="W34" s="2"/>
      <c r="X34" s="2">
        <f t="shared" si="2"/>
        <v>1999.99</v>
      </c>
      <c r="Y34" s="2"/>
      <c r="Z34" s="19">
        <f t="shared" si="3"/>
        <v>1.1922230899000317</v>
      </c>
    </row>
    <row r="35" spans="1:26" s="24" customFormat="1" hidden="1" outlineLevel="1" x14ac:dyDescent="0.25">
      <c r="A35" s="44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>--28.17</f>
        <v>28.17</v>
      </c>
      <c r="E35" s="2"/>
      <c r="F35" s="19"/>
      <c r="G35" s="2"/>
      <c r="H35" s="2">
        <f>--843.26</f>
        <v>843.26</v>
      </c>
      <c r="I35" s="2"/>
      <c r="J35" s="19"/>
      <c r="K35" s="2"/>
      <c r="L35" s="2">
        <f t="shared" si="0"/>
        <v>-815.09</v>
      </c>
      <c r="M35" s="2"/>
      <c r="N35" s="19">
        <f t="shared" si="1"/>
        <v>-0.96659393306927877</v>
      </c>
      <c r="O35" s="11"/>
      <c r="P35" s="2">
        <f>--1097.6</f>
        <v>1097.5999999999999</v>
      </c>
      <c r="Q35" s="2"/>
      <c r="R35" s="19"/>
      <c r="S35" s="2"/>
      <c r="T35" s="2">
        <f>--2257</f>
        <v>2257</v>
      </c>
      <c r="U35" s="2"/>
      <c r="V35" s="19"/>
      <c r="W35" s="2"/>
      <c r="X35" s="2">
        <f t="shared" si="2"/>
        <v>-1159.4000000000001</v>
      </c>
      <c r="Y35" s="2"/>
      <c r="Z35" s="19">
        <f t="shared" si="3"/>
        <v>-0.51369073992024816</v>
      </c>
    </row>
    <row r="36" spans="1:26" s="24" customFormat="1" hidden="1" outlineLevel="1" x14ac:dyDescent="0.25">
      <c r="A36" s="44"/>
      <c r="B36" s="11" t="str">
        <f>CONCATENATE("          ", "4143", " - ", "NON-TAXABLE SALES-CARDS")</f>
        <v xml:space="preserve">          4143 - NON-TAXABLE SALES-CARDS</v>
      </c>
      <c r="C36" s="11"/>
      <c r="D36" s="2">
        <f>--9.99</f>
        <v>9.99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9.99</v>
      </c>
      <c r="M36" s="2"/>
      <c r="N36" s="19">
        <f t="shared" si="1"/>
        <v>0</v>
      </c>
      <c r="O36" s="11"/>
      <c r="P36" s="2">
        <f>--39.96</f>
        <v>39.96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39.96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>--19.95</f>
        <v>19.95</v>
      </c>
      <c r="E37" s="2"/>
      <c r="F37" s="19"/>
      <c r="G37" s="2"/>
      <c r="H37" s="2">
        <f>--29.95</f>
        <v>29.95</v>
      </c>
      <c r="I37" s="2"/>
      <c r="J37" s="19"/>
      <c r="K37" s="2"/>
      <c r="L37" s="2">
        <f t="shared" si="0"/>
        <v>-10</v>
      </c>
      <c r="M37" s="2"/>
      <c r="N37" s="19">
        <f t="shared" si="1"/>
        <v>-0.333889816360601</v>
      </c>
      <c r="O37" s="11"/>
      <c r="P37" s="2">
        <f>--389.7</f>
        <v>389.7</v>
      </c>
      <c r="Q37" s="2"/>
      <c r="R37" s="19"/>
      <c r="S37" s="2"/>
      <c r="T37" s="2">
        <f>--241.56</f>
        <v>241.56</v>
      </c>
      <c r="U37" s="2"/>
      <c r="V37" s="19"/>
      <c r="W37" s="2"/>
      <c r="X37" s="2">
        <f t="shared" si="2"/>
        <v>148.13999999999999</v>
      </c>
      <c r="Y37" s="2"/>
      <c r="Z37" s="19">
        <f t="shared" si="3"/>
        <v>0.61326378539493287</v>
      </c>
    </row>
    <row r="38" spans="1:26" s="24" customFormat="1" hidden="1" outlineLevel="1" x14ac:dyDescent="0.25">
      <c r="A38" s="44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>--2800</f>
        <v>2800</v>
      </c>
      <c r="E38" s="2"/>
      <c r="F38" s="19"/>
      <c r="G38" s="2"/>
      <c r="H38" s="2">
        <f>--50</f>
        <v>50</v>
      </c>
      <c r="I38" s="2"/>
      <c r="J38" s="19"/>
      <c r="K38" s="2"/>
      <c r="L38" s="2">
        <f t="shared" si="0"/>
        <v>2750</v>
      </c>
      <c r="M38" s="2"/>
      <c r="N38" s="19">
        <f t="shared" si="1"/>
        <v>55</v>
      </c>
      <c r="O38" s="11"/>
      <c r="P38" s="2">
        <f>--38639</f>
        <v>38639</v>
      </c>
      <c r="Q38" s="2"/>
      <c r="R38" s="19"/>
      <c r="S38" s="2"/>
      <c r="T38" s="2">
        <f>--140</f>
        <v>140</v>
      </c>
      <c r="U38" s="2"/>
      <c r="V38" s="19"/>
      <c r="W38" s="2"/>
      <c r="X38" s="2">
        <f t="shared" si="2"/>
        <v>38499</v>
      </c>
      <c r="Y38" s="2"/>
      <c r="Z38" s="19">
        <f t="shared" si="3"/>
        <v>274.99285714285713</v>
      </c>
    </row>
    <row r="39" spans="1:26" s="24" customFormat="1" hidden="1" outlineLevel="1" x14ac:dyDescent="0.25">
      <c r="A39" s="44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>0</f>
        <v>0</v>
      </c>
      <c r="E39" s="2"/>
      <c r="F39" s="19"/>
      <c r="G39" s="2"/>
      <c r="H39" s="2">
        <f t="shared" ref="H39:H41" si="9">0</f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-6.38</f>
        <v>-6.38</v>
      </c>
      <c r="Q39" s="2"/>
      <c r="R39" s="19"/>
      <c r="S39" s="2"/>
      <c r="T39" s="2">
        <f t="shared" ref="T39:T41" si="10">0</f>
        <v>0</v>
      </c>
      <c r="U39" s="2"/>
      <c r="V39" s="19"/>
      <c r="W39" s="2"/>
      <c r="X39" s="2">
        <f t="shared" si="2"/>
        <v>-6.38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-31.98</f>
        <v>-31.98</v>
      </c>
      <c r="E40" s="2"/>
      <c r="F40" s="19"/>
      <c r="G40" s="2"/>
      <c r="H40" s="2">
        <f t="shared" si="9"/>
        <v>0</v>
      </c>
      <c r="I40" s="2"/>
      <c r="J40" s="19"/>
      <c r="K40" s="2"/>
      <c r="L40" s="2">
        <f t="shared" si="0"/>
        <v>-31.98</v>
      </c>
      <c r="M40" s="2"/>
      <c r="N40" s="19">
        <f t="shared" si="1"/>
        <v>0</v>
      </c>
      <c r="O40" s="11"/>
      <c r="P40" s="2">
        <f>-420.67</f>
        <v>-420.67</v>
      </c>
      <c r="Q40" s="2"/>
      <c r="R40" s="19"/>
      <c r="S40" s="2"/>
      <c r="T40" s="2">
        <f t="shared" si="10"/>
        <v>0</v>
      </c>
      <c r="U40" s="2"/>
      <c r="V40" s="19"/>
      <c r="W40" s="2"/>
      <c r="X40" s="2">
        <f t="shared" si="2"/>
        <v>-420.67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-32.49</f>
        <v>-32.49</v>
      </c>
      <c r="E41" s="2"/>
      <c r="F41" s="19"/>
      <c r="G41" s="2"/>
      <c r="H41" s="2">
        <f t="shared" si="9"/>
        <v>0</v>
      </c>
      <c r="I41" s="2"/>
      <c r="J41" s="19"/>
      <c r="K41" s="2"/>
      <c r="L41" s="2">
        <f t="shared" si="0"/>
        <v>-32.49</v>
      </c>
      <c r="M41" s="2"/>
      <c r="N41" s="19">
        <f t="shared" si="1"/>
        <v>0</v>
      </c>
      <c r="O41" s="11"/>
      <c r="P41" s="2">
        <f>-32.49</f>
        <v>-32.49</v>
      </c>
      <c r="Q41" s="2"/>
      <c r="R41" s="19"/>
      <c r="S41" s="2"/>
      <c r="T41" s="2">
        <f t="shared" si="10"/>
        <v>0</v>
      </c>
      <c r="U41" s="2"/>
      <c r="V41" s="19"/>
      <c r="W41" s="2"/>
      <c r="X41" s="2">
        <f t="shared" si="2"/>
        <v>-32.49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-1377.35</f>
        <v>-1377.35</v>
      </c>
      <c r="E42" s="2"/>
      <c r="F42" s="19"/>
      <c r="G42" s="2"/>
      <c r="H42" s="2">
        <f>-9401.37</f>
        <v>-9401.3700000000008</v>
      </c>
      <c r="I42" s="2"/>
      <c r="J42" s="19"/>
      <c r="K42" s="2"/>
      <c r="L42" s="2">
        <f t="shared" si="0"/>
        <v>8024.02</v>
      </c>
      <c r="M42" s="2"/>
      <c r="N42" s="19">
        <f t="shared" si="1"/>
        <v>-0.8534947566152592</v>
      </c>
      <c r="O42" s="11"/>
      <c r="P42" s="2">
        <f>-12805.64</f>
        <v>-12805.64</v>
      </c>
      <c r="Q42" s="2"/>
      <c r="R42" s="19"/>
      <c r="S42" s="2"/>
      <c r="T42" s="2">
        <f>-34457.93</f>
        <v>-34457.93</v>
      </c>
      <c r="U42" s="2"/>
      <c r="V42" s="19"/>
      <c r="W42" s="2"/>
      <c r="X42" s="2">
        <f t="shared" si="2"/>
        <v>21652.29</v>
      </c>
      <c r="Y42" s="2"/>
      <c r="Z42" s="19">
        <f t="shared" si="3"/>
        <v>-0.62836885442625257</v>
      </c>
    </row>
    <row r="43" spans="1:26" s="24" customFormat="1" hidden="1" outlineLevel="1" x14ac:dyDescent="0.25">
      <c r="A43" s="44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-67.89</f>
        <v>-67.89</v>
      </c>
      <c r="E43" s="2"/>
      <c r="F43" s="19"/>
      <c r="G43" s="2"/>
      <c r="H43" s="2">
        <f>-356.48</f>
        <v>-356.48</v>
      </c>
      <c r="I43" s="2"/>
      <c r="J43" s="19"/>
      <c r="K43" s="2"/>
      <c r="L43" s="2">
        <f t="shared" si="0"/>
        <v>288.59000000000003</v>
      </c>
      <c r="M43" s="2"/>
      <c r="N43" s="19">
        <f t="shared" si="1"/>
        <v>-0.80955453321364457</v>
      </c>
      <c r="O43" s="11"/>
      <c r="P43" s="2">
        <f>-1824.25</f>
        <v>-1824.25</v>
      </c>
      <c r="Q43" s="2"/>
      <c r="R43" s="19"/>
      <c r="S43" s="2"/>
      <c r="T43" s="2">
        <f>-1705.43</f>
        <v>-1705.43</v>
      </c>
      <c r="U43" s="2"/>
      <c r="V43" s="19"/>
      <c r="W43" s="2"/>
      <c r="X43" s="2">
        <f t="shared" si="2"/>
        <v>-118.81999999999994</v>
      </c>
      <c r="Y43" s="2"/>
      <c r="Z43" s="19">
        <f t="shared" si="3"/>
        <v>6.9671578428900593E-2</v>
      </c>
    </row>
    <row r="44" spans="1:26" s="24" customFormat="1" hidden="1" outlineLevel="1" x14ac:dyDescent="0.25">
      <c r="A44" s="44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-4.5</f>
        <v>-4.5</v>
      </c>
      <c r="E44" s="2"/>
      <c r="F44" s="19"/>
      <c r="G44" s="2"/>
      <c r="H44" s="2">
        <f>-305.3</f>
        <v>-305.3</v>
      </c>
      <c r="I44" s="2"/>
      <c r="J44" s="19"/>
      <c r="K44" s="2"/>
      <c r="L44" s="2">
        <f t="shared" si="0"/>
        <v>300.8</v>
      </c>
      <c r="M44" s="2"/>
      <c r="N44" s="19">
        <f t="shared" si="1"/>
        <v>-0.985260399606944</v>
      </c>
      <c r="O44" s="11"/>
      <c r="P44" s="2">
        <f>-1214.21</f>
        <v>-1214.21</v>
      </c>
      <c r="Q44" s="2"/>
      <c r="R44" s="19"/>
      <c r="S44" s="2"/>
      <c r="T44" s="2">
        <f>-1160.58</f>
        <v>-1160.58</v>
      </c>
      <c r="U44" s="2"/>
      <c r="V44" s="19"/>
      <c r="W44" s="2"/>
      <c r="X44" s="2">
        <f t="shared" si="2"/>
        <v>-53.630000000000109</v>
      </c>
      <c r="Y44" s="2"/>
      <c r="Z44" s="19">
        <f t="shared" si="3"/>
        <v>4.6209653793792854E-2</v>
      </c>
    </row>
    <row r="45" spans="1:26" s="24" customFormat="1" hidden="1" outlineLevel="1" x14ac:dyDescent="0.25">
      <c r="A45" s="44"/>
      <c r="B45" s="11" t="str">
        <f>CONCATENATE("          ", "4243", " - ", "SALES RETURN TAXABLE-CARDS")</f>
        <v xml:space="preserve">          4243 - SALES RETURN TAXABLE-CARDS</v>
      </c>
      <c r="C45" s="11"/>
      <c r="D45" s="2">
        <f>-829.54</f>
        <v>-829.54</v>
      </c>
      <c r="E45" s="2"/>
      <c r="F45" s="19"/>
      <c r="G45" s="2"/>
      <c r="H45" s="2">
        <f>-316.34</f>
        <v>-316.33999999999997</v>
      </c>
      <c r="I45" s="2"/>
      <c r="J45" s="19"/>
      <c r="K45" s="2"/>
      <c r="L45" s="2">
        <f t="shared" si="0"/>
        <v>-513.20000000000005</v>
      </c>
      <c r="M45" s="2"/>
      <c r="N45" s="19">
        <f t="shared" si="1"/>
        <v>1.6223051147499528</v>
      </c>
      <c r="O45" s="11"/>
      <c r="P45" s="2">
        <f>-1812.46</f>
        <v>-1812.46</v>
      </c>
      <c r="Q45" s="2"/>
      <c r="R45" s="19"/>
      <c r="S45" s="2"/>
      <c r="T45" s="2">
        <f>-320.84</f>
        <v>-320.83999999999997</v>
      </c>
      <c r="U45" s="2"/>
      <c r="V45" s="19"/>
      <c r="W45" s="2"/>
      <c r="X45" s="2">
        <f t="shared" si="2"/>
        <v>-1491.6200000000001</v>
      </c>
      <c r="Y45" s="2"/>
      <c r="Z45" s="19">
        <f t="shared" si="3"/>
        <v>4.6491085899513784</v>
      </c>
    </row>
    <row r="46" spans="1:26" s="24" customFormat="1" hidden="1" outlineLevel="1" x14ac:dyDescent="0.25">
      <c r="A46" s="44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-179.95</f>
        <v>-179.95</v>
      </c>
      <c r="E46" s="2"/>
      <c r="F46" s="19"/>
      <c r="G46" s="2"/>
      <c r="H46" s="2">
        <f>-53.8</f>
        <v>-53.8</v>
      </c>
      <c r="I46" s="2"/>
      <c r="J46" s="19"/>
      <c r="K46" s="2"/>
      <c r="L46" s="2">
        <f t="shared" si="0"/>
        <v>-126.14999999999999</v>
      </c>
      <c r="M46" s="2"/>
      <c r="N46" s="19">
        <f t="shared" si="1"/>
        <v>2.3447955390334574</v>
      </c>
      <c r="O46" s="11"/>
      <c r="P46" s="2">
        <f>-590.94</f>
        <v>-590.94000000000005</v>
      </c>
      <c r="Q46" s="2"/>
      <c r="R46" s="19"/>
      <c r="S46" s="2"/>
      <c r="T46" s="2">
        <f>-1463.21</f>
        <v>-1463.21</v>
      </c>
      <c r="U46" s="2"/>
      <c r="V46" s="19"/>
      <c r="W46" s="2"/>
      <c r="X46" s="2">
        <f t="shared" si="2"/>
        <v>872.27</v>
      </c>
      <c r="Y46" s="2"/>
      <c r="Z46" s="19">
        <f t="shared" si="3"/>
        <v>-0.59613452614457252</v>
      </c>
    </row>
    <row r="47" spans="1:26" s="24" customFormat="1" hidden="1" outlineLevel="1" x14ac:dyDescent="0.25">
      <c r="A47" s="44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-45.89</f>
        <v>-45.89</v>
      </c>
      <c r="E47" s="2"/>
      <c r="F47" s="19"/>
      <c r="G47" s="2"/>
      <c r="H47" s="2">
        <f>0</f>
        <v>0</v>
      </c>
      <c r="I47" s="2"/>
      <c r="J47" s="19"/>
      <c r="K47" s="2"/>
      <c r="L47" s="2">
        <f t="shared" si="0"/>
        <v>-45.89</v>
      </c>
      <c r="M47" s="2"/>
      <c r="N47" s="19">
        <f t="shared" si="1"/>
        <v>0</v>
      </c>
      <c r="O47" s="11"/>
      <c r="P47" s="2">
        <f>-1585.82</f>
        <v>-1585.82</v>
      </c>
      <c r="Q47" s="2"/>
      <c r="R47" s="19"/>
      <c r="S47" s="2"/>
      <c r="T47" s="2">
        <f>-81.97</f>
        <v>-81.97</v>
      </c>
      <c r="U47" s="2"/>
      <c r="V47" s="19"/>
      <c r="W47" s="2"/>
      <c r="X47" s="2">
        <f t="shared" si="2"/>
        <v>-1503.85</v>
      </c>
      <c r="Y47" s="2"/>
      <c r="Z47" s="19">
        <f t="shared" si="3"/>
        <v>18.346346224228377</v>
      </c>
    </row>
    <row r="48" spans="1:26" s="24" customFormat="1" hidden="1" outlineLevel="1" x14ac:dyDescent="0.25">
      <c r="A48" s="44"/>
      <c r="B48" s="11" t="str">
        <f>CONCATENATE("          ", "4340", " - ", "SALES RETURN NON TAXABLE-LOGO")</f>
        <v xml:space="preserve">          4340 - SALES RETURN NON TAXABLE-LOGO</v>
      </c>
      <c r="C48" s="11"/>
      <c r="D48" s="2">
        <f>-203.75</f>
        <v>-203.75</v>
      </c>
      <c r="E48" s="2"/>
      <c r="F48" s="19"/>
      <c r="G48" s="2"/>
      <c r="H48" s="2">
        <f>-29.95</f>
        <v>-29.95</v>
      </c>
      <c r="I48" s="2"/>
      <c r="J48" s="19"/>
      <c r="K48" s="2"/>
      <c r="L48" s="2">
        <f t="shared" si="0"/>
        <v>-173.8</v>
      </c>
      <c r="M48" s="2"/>
      <c r="N48" s="19">
        <f t="shared" si="1"/>
        <v>5.8030050083472462</v>
      </c>
      <c r="O48" s="11"/>
      <c r="P48" s="2">
        <f>-940.48</f>
        <v>-940.48</v>
      </c>
      <c r="Q48" s="2"/>
      <c r="R48" s="19"/>
      <c r="S48" s="2"/>
      <c r="T48" s="2">
        <f>-323.4</f>
        <v>-323.39999999999998</v>
      </c>
      <c r="U48" s="2"/>
      <c r="V48" s="19"/>
      <c r="W48" s="2"/>
      <c r="X48" s="2">
        <f t="shared" si="2"/>
        <v>-617.08000000000004</v>
      </c>
      <c r="Y48" s="2"/>
      <c r="Z48" s="19">
        <f t="shared" si="3"/>
        <v>1.9081014223871369</v>
      </c>
    </row>
    <row r="49" spans="1:26" s="24" customFormat="1" hidden="1" outlineLevel="1" x14ac:dyDescent="0.25">
      <c r="A49" s="44"/>
      <c r="B49" s="11" t="str">
        <f>CONCATENATE("          ", "4341", " - ", "SALES RETURN NON TAXABLE-LOGO")</f>
        <v xml:space="preserve">          4341 - SALES RETURN NON TAXABLE-LOGO</v>
      </c>
      <c r="C49" s="11"/>
      <c r="D49" s="2">
        <f>-154.89</f>
        <v>-154.88999999999999</v>
      </c>
      <c r="E49" s="2"/>
      <c r="F49" s="19"/>
      <c r="G49" s="2"/>
      <c r="H49" s="2">
        <f>0</f>
        <v>0</v>
      </c>
      <c r="I49" s="2"/>
      <c r="J49" s="19"/>
      <c r="K49" s="2"/>
      <c r="L49" s="2">
        <f t="shared" si="0"/>
        <v>-154.88999999999999</v>
      </c>
      <c r="M49" s="2"/>
      <c r="N49" s="19">
        <f t="shared" si="1"/>
        <v>0</v>
      </c>
      <c r="O49" s="11"/>
      <c r="P49" s="2">
        <f>-301.79</f>
        <v>-301.79000000000002</v>
      </c>
      <c r="Q49" s="2"/>
      <c r="R49" s="19"/>
      <c r="S49" s="2"/>
      <c r="T49" s="2">
        <f>-10.9</f>
        <v>-10.9</v>
      </c>
      <c r="U49" s="2"/>
      <c r="V49" s="19"/>
      <c r="W49" s="2"/>
      <c r="X49" s="2">
        <f t="shared" si="2"/>
        <v>-290.89000000000004</v>
      </c>
      <c r="Y49" s="2"/>
      <c r="Z49" s="19">
        <f t="shared" si="3"/>
        <v>26.687155963302754</v>
      </c>
    </row>
    <row r="50" spans="1:26" s="24" customFormat="1" hidden="1" outlineLevel="1" x14ac:dyDescent="0.25">
      <c r="A50" s="44"/>
      <c r="B50" s="11" t="str">
        <f>CONCATENATE("          ", "4342", " - ", "SALES RETURN NON TAXABLE-EVERY")</f>
        <v xml:space="preserve">          4342 - SALES RETURN NON TAXABLE-EVERY</v>
      </c>
      <c r="C50" s="11"/>
      <c r="D50" s="2">
        <f>0</f>
        <v>0</v>
      </c>
      <c r="E50" s="2"/>
      <c r="F50" s="19"/>
      <c r="G50" s="2"/>
      <c r="H50" s="2">
        <f>-6.95</f>
        <v>-6.95</v>
      </c>
      <c r="I50" s="2"/>
      <c r="J50" s="19"/>
      <c r="K50" s="2"/>
      <c r="L50" s="2">
        <f t="shared" si="0"/>
        <v>6.95</v>
      </c>
      <c r="M50" s="2"/>
      <c r="N50" s="19">
        <f t="shared" si="1"/>
        <v>-1</v>
      </c>
      <c r="O50" s="11"/>
      <c r="P50" s="2">
        <f>-118.7</f>
        <v>-118.7</v>
      </c>
      <c r="Q50" s="2"/>
      <c r="R50" s="19"/>
      <c r="S50" s="2"/>
      <c r="T50" s="2">
        <f>-109.8</f>
        <v>-109.8</v>
      </c>
      <c r="U50" s="2"/>
      <c r="V50" s="19"/>
      <c r="W50" s="2"/>
      <c r="X50" s="2">
        <f t="shared" si="2"/>
        <v>-8.9000000000000057</v>
      </c>
      <c r="Y50" s="2"/>
      <c r="Z50" s="19">
        <f t="shared" si="3"/>
        <v>8.1056466302367999E-2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25">
      <c r="A52" s="10"/>
      <c r="B52" s="29" t="s">
        <v>8</v>
      </c>
      <c r="C52" s="10"/>
      <c r="D52" s="4">
        <f>SUM(OSRRefD16x_0)</f>
        <v>46546</v>
      </c>
      <c r="E52" s="4"/>
      <c r="F52" s="12">
        <f t="shared" ref="F52:F75" si="11">IF(D$12=0,0,D52/D$12)</f>
        <v>0.55906175250593482</v>
      </c>
      <c r="G52" s="4"/>
      <c r="H52" s="4">
        <f>SUM(OSRRefH16x_0)</f>
        <v>138881.84</v>
      </c>
      <c r="I52" s="4"/>
      <c r="J52" s="12">
        <f t="shared" ref="J52:J75" si="12">IF(H$12=0,0,H52/H$12)</f>
        <v>0.47635462924954286</v>
      </c>
      <c r="K52" s="4"/>
      <c r="L52" s="4">
        <f t="shared" ref="L52:L75" si="13">+D52-H52</f>
        <v>-92335.84</v>
      </c>
      <c r="M52" s="4"/>
      <c r="N52" s="12">
        <f t="shared" ref="N52:N75" si="14">IF(H52=0,0,L52/H52)</f>
        <v>-0.66485179055807442</v>
      </c>
      <c r="O52" s="10"/>
      <c r="P52" s="4">
        <f>SUM(OSRRefP16x_0)</f>
        <v>430719.54</v>
      </c>
      <c r="Q52" s="4"/>
      <c r="R52" s="12">
        <f t="shared" ref="R52:R75" si="15">IF(P$12=0,0,P52/P$12)</f>
        <v>0.60677304656364017</v>
      </c>
      <c r="S52" s="4"/>
      <c r="T52" s="4">
        <f>SUM(OSRRefT16x_0)</f>
        <v>567581.90999999992</v>
      </c>
      <c r="U52" s="4"/>
      <c r="V52" s="12">
        <f t="shared" ref="V52:V75" si="16">IF(T$12=0,0,T52/T$12)</f>
        <v>0.46542988099966087</v>
      </c>
      <c r="W52" s="4"/>
      <c r="X52" s="4">
        <f t="shared" ref="X52:X75" si="17">+P52-T52</f>
        <v>-136862.36999999994</v>
      </c>
      <c r="Y52" s="4"/>
      <c r="Z52" s="12">
        <f t="shared" ref="Z52:Z75" si="18">IF(T52=0,0,X52/T52)</f>
        <v>-0.24113236801363164</v>
      </c>
    </row>
    <row r="53" spans="1:26" s="24" customFormat="1" hidden="1" outlineLevel="1" x14ac:dyDescent="0.25">
      <c r="A53" s="44"/>
      <c r="B53" s="11" t="str">
        <f>CONCATENATE("          ", "5025", " - ", "PURCHASES @ COST-TEST FORMS")</f>
        <v xml:space="preserve">          5025 - PURCHASES @ COST-TEST FORMS</v>
      </c>
      <c r="C53" s="11"/>
      <c r="D53" s="2"/>
      <c r="E53" s="2"/>
      <c r="F53" s="19">
        <f t="shared" si="11"/>
        <v>0</v>
      </c>
      <c r="G53" s="2"/>
      <c r="H53" s="2"/>
      <c r="I53" s="2"/>
      <c r="J53" s="19">
        <f t="shared" si="12"/>
        <v>0</v>
      </c>
      <c r="K53" s="2"/>
      <c r="L53" s="2">
        <f t="shared" si="13"/>
        <v>0</v>
      </c>
      <c r="M53" s="2"/>
      <c r="N53" s="19">
        <f t="shared" si="14"/>
        <v>0</v>
      </c>
      <c r="O53" s="11"/>
      <c r="P53" s="2">
        <v>599.29</v>
      </c>
      <c r="Q53" s="2"/>
      <c r="R53" s="19">
        <f t="shared" si="15"/>
        <v>8.4424546672557256E-4</v>
      </c>
      <c r="S53" s="2"/>
      <c r="T53" s="2"/>
      <c r="U53" s="2"/>
      <c r="V53" s="19">
        <f t="shared" si="16"/>
        <v>0</v>
      </c>
      <c r="W53" s="2"/>
      <c r="X53" s="2">
        <f t="shared" si="17"/>
        <v>599.29</v>
      </c>
      <c r="Y53" s="2"/>
      <c r="Z53" s="19">
        <f t="shared" si="18"/>
        <v>0</v>
      </c>
    </row>
    <row r="54" spans="1:26" s="24" customFormat="1" hidden="1" outlineLevel="1" x14ac:dyDescent="0.25">
      <c r="A54" s="44"/>
      <c r="B54" s="11" t="str">
        <f>CONCATENATE("          ", "5026", " - ", "PURCHASES @ COST-WRITING INSTR")</f>
        <v xml:space="preserve">          5026 - PURCHASES @ COST-WRITING INSTR</v>
      </c>
      <c r="C54" s="11"/>
      <c r="D54" s="2"/>
      <c r="E54" s="2"/>
      <c r="F54" s="19">
        <f t="shared" si="11"/>
        <v>0</v>
      </c>
      <c r="G54" s="2"/>
      <c r="H54" s="2"/>
      <c r="I54" s="2"/>
      <c r="J54" s="19">
        <f t="shared" si="12"/>
        <v>0</v>
      </c>
      <c r="K54" s="2"/>
      <c r="L54" s="2">
        <f t="shared" si="13"/>
        <v>0</v>
      </c>
      <c r="M54" s="2"/>
      <c r="N54" s="19">
        <f t="shared" si="14"/>
        <v>0</v>
      </c>
      <c r="O54" s="11"/>
      <c r="P54" s="2">
        <v>10</v>
      </c>
      <c r="Q54" s="2"/>
      <c r="R54" s="19">
        <f t="shared" si="15"/>
        <v>1.4087427901776645E-5</v>
      </c>
      <c r="S54" s="2"/>
      <c r="T54" s="2"/>
      <c r="U54" s="2"/>
      <c r="V54" s="19">
        <f t="shared" si="16"/>
        <v>0</v>
      </c>
      <c r="W54" s="2"/>
      <c r="X54" s="2">
        <f t="shared" si="17"/>
        <v>10</v>
      </c>
      <c r="Y54" s="2"/>
      <c r="Z54" s="19">
        <f t="shared" si="18"/>
        <v>0</v>
      </c>
    </row>
    <row r="55" spans="1:26" s="24" customFormat="1" hidden="1" outlineLevel="1" x14ac:dyDescent="0.25">
      <c r="A55" s="44"/>
      <c r="B55" s="11" t="str">
        <f>CONCATENATE("          ", "5027", " - ", "PURCHASES @ COST-SCHOOL SUPPLI")</f>
        <v xml:space="preserve">          5027 - PURCHASES @ COST-SCHOOL SUPPLI</v>
      </c>
      <c r="C55" s="11"/>
      <c r="D55" s="2"/>
      <c r="E55" s="2"/>
      <c r="F55" s="19">
        <f t="shared" si="11"/>
        <v>0</v>
      </c>
      <c r="G55" s="2"/>
      <c r="H55" s="2"/>
      <c r="I55" s="2"/>
      <c r="J55" s="19">
        <f t="shared" si="12"/>
        <v>0</v>
      </c>
      <c r="K55" s="2"/>
      <c r="L55" s="2">
        <f t="shared" si="13"/>
        <v>0</v>
      </c>
      <c r="M55" s="2"/>
      <c r="N55" s="19">
        <f t="shared" si="14"/>
        <v>0</v>
      </c>
      <c r="O55" s="11"/>
      <c r="P55" s="2">
        <v>18175.88</v>
      </c>
      <c r="Q55" s="2"/>
      <c r="R55" s="19">
        <f t="shared" si="15"/>
        <v>2.5605139905134411E-2</v>
      </c>
      <c r="S55" s="2"/>
      <c r="T55" s="2"/>
      <c r="U55" s="2"/>
      <c r="V55" s="19">
        <f t="shared" si="16"/>
        <v>0</v>
      </c>
      <c r="W55" s="2"/>
      <c r="X55" s="2">
        <f t="shared" si="17"/>
        <v>18175.88</v>
      </c>
      <c r="Y55" s="2"/>
      <c r="Z55" s="19">
        <f t="shared" si="18"/>
        <v>0</v>
      </c>
    </row>
    <row r="56" spans="1:26" s="24" customFormat="1" hidden="1" outlineLevel="1" x14ac:dyDescent="0.25">
      <c r="A56" s="44"/>
      <c r="B56" s="11" t="str">
        <f>CONCATENATE("          ", "5028", " - ", "PURCHASES @ COST-ART/TECH")</f>
        <v xml:space="preserve">          5028 - PURCHASES @ COST-ART/TECH</v>
      </c>
      <c r="C56" s="11"/>
      <c r="D56" s="2"/>
      <c r="E56" s="2"/>
      <c r="F56" s="19">
        <f t="shared" si="11"/>
        <v>0</v>
      </c>
      <c r="G56" s="2"/>
      <c r="H56" s="2"/>
      <c r="I56" s="2"/>
      <c r="J56" s="19">
        <f t="shared" si="12"/>
        <v>0</v>
      </c>
      <c r="K56" s="2"/>
      <c r="L56" s="2">
        <f t="shared" si="13"/>
        <v>0</v>
      </c>
      <c r="M56" s="2"/>
      <c r="N56" s="19">
        <f t="shared" si="14"/>
        <v>0</v>
      </c>
      <c r="O56" s="11"/>
      <c r="P56" s="2">
        <v>-83.4</v>
      </c>
      <c r="Q56" s="2"/>
      <c r="R56" s="19">
        <f t="shared" si="15"/>
        <v>-1.1748914870081723E-4</v>
      </c>
      <c r="S56" s="2"/>
      <c r="T56" s="2"/>
      <c r="U56" s="2"/>
      <c r="V56" s="19">
        <f t="shared" si="16"/>
        <v>0</v>
      </c>
      <c r="W56" s="2"/>
      <c r="X56" s="2">
        <f t="shared" si="17"/>
        <v>-83.4</v>
      </c>
      <c r="Y56" s="2"/>
      <c r="Z56" s="19">
        <f t="shared" si="18"/>
        <v>0</v>
      </c>
    </row>
    <row r="57" spans="1:26" s="24" customFormat="1" hidden="1" outlineLevel="1" x14ac:dyDescent="0.25">
      <c r="A57" s="44"/>
      <c r="B57" s="11" t="str">
        <f>CONCATENATE("          ", "5031", " - ", "PURCHASES @ COST-FOOD")</f>
        <v xml:space="preserve">          5031 - PURCHASES @ COST-FOOD</v>
      </c>
      <c r="C57" s="11"/>
      <c r="D57" s="2"/>
      <c r="E57" s="2"/>
      <c r="F57" s="19">
        <f t="shared" si="11"/>
        <v>0</v>
      </c>
      <c r="G57" s="2"/>
      <c r="H57" s="2"/>
      <c r="I57" s="2"/>
      <c r="J57" s="19">
        <f t="shared" si="12"/>
        <v>0</v>
      </c>
      <c r="K57" s="2"/>
      <c r="L57" s="2">
        <f t="shared" si="13"/>
        <v>0</v>
      </c>
      <c r="M57" s="2"/>
      <c r="N57" s="19">
        <f t="shared" si="14"/>
        <v>0</v>
      </c>
      <c r="O57" s="11"/>
      <c r="P57" s="2">
        <v>5605.43</v>
      </c>
      <c r="Q57" s="2"/>
      <c r="R57" s="19">
        <f t="shared" si="15"/>
        <v>7.8966090983455875E-3</v>
      </c>
      <c r="S57" s="2"/>
      <c r="T57" s="2"/>
      <c r="U57" s="2"/>
      <c r="V57" s="19">
        <f t="shared" si="16"/>
        <v>0</v>
      </c>
      <c r="W57" s="2"/>
      <c r="X57" s="2">
        <f t="shared" si="17"/>
        <v>5605.43</v>
      </c>
      <c r="Y57" s="2"/>
      <c r="Z57" s="19">
        <f t="shared" si="18"/>
        <v>0</v>
      </c>
    </row>
    <row r="58" spans="1:26" s="24" customFormat="1" hidden="1" outlineLevel="1" x14ac:dyDescent="0.25">
      <c r="A58" s="44"/>
      <c r="B58" s="11" t="str">
        <f>CONCATENATE("          ", "5040", " - ", "PURCHASES @ COST-LOGO CLOTHING")</f>
        <v xml:space="preserve">          5040 - PURCHASES @ COST-LOGO CLOTHING</v>
      </c>
      <c r="C58" s="11"/>
      <c r="D58" s="2">
        <v>55124.33</v>
      </c>
      <c r="E58" s="2"/>
      <c r="F58" s="19">
        <f t="shared" si="11"/>
        <v>0.66209565882171362</v>
      </c>
      <c r="G58" s="2"/>
      <c r="H58" s="2">
        <v>81094.739999999991</v>
      </c>
      <c r="I58" s="2"/>
      <c r="J58" s="19">
        <f t="shared" si="12"/>
        <v>0.27814907123053723</v>
      </c>
      <c r="K58" s="2"/>
      <c r="L58" s="2">
        <f t="shared" si="13"/>
        <v>-25970.409999999989</v>
      </c>
      <c r="M58" s="2"/>
      <c r="N58" s="19">
        <f t="shared" si="14"/>
        <v>-0.32024777439325897</v>
      </c>
      <c r="O58" s="11"/>
      <c r="P58" s="2">
        <v>94295.28</v>
      </c>
      <c r="Q58" s="2"/>
      <c r="R58" s="19">
        <f t="shared" si="15"/>
        <v>0.13283779584778413</v>
      </c>
      <c r="S58" s="2"/>
      <c r="T58" s="2">
        <v>492920.12</v>
      </c>
      <c r="U58" s="2"/>
      <c r="V58" s="19">
        <f t="shared" si="16"/>
        <v>0.40420554064864156</v>
      </c>
      <c r="W58" s="2"/>
      <c r="X58" s="2">
        <f t="shared" si="17"/>
        <v>-398624.83999999997</v>
      </c>
      <c r="Y58" s="2"/>
      <c r="Z58" s="19">
        <f t="shared" si="18"/>
        <v>-0.80870068764894398</v>
      </c>
    </row>
    <row r="59" spans="1:26" s="24" customFormat="1" hidden="1" outlineLevel="1" x14ac:dyDescent="0.25">
      <c r="A59" s="44"/>
      <c r="B59" s="11" t="str">
        <f>CONCATENATE("          ", "5041", " - ", "PURCHASES @ COST-LOGO GIFTS")</f>
        <v xml:space="preserve">          5041 - PURCHASES @ COST-LOGO GIFTS</v>
      </c>
      <c r="C59" s="11"/>
      <c r="D59" s="2">
        <v>9354.43</v>
      </c>
      <c r="E59" s="2"/>
      <c r="F59" s="19">
        <f t="shared" si="11"/>
        <v>0.11235560584140619</v>
      </c>
      <c r="G59" s="2"/>
      <c r="H59" s="2">
        <v>15680.369999999999</v>
      </c>
      <c r="I59" s="2"/>
      <c r="J59" s="19">
        <f t="shared" si="12"/>
        <v>5.3782530803492053E-2</v>
      </c>
      <c r="K59" s="2"/>
      <c r="L59" s="2">
        <f t="shared" si="13"/>
        <v>-6325.9399999999987</v>
      </c>
      <c r="M59" s="2"/>
      <c r="N59" s="19">
        <f t="shared" si="14"/>
        <v>-0.40343053129486095</v>
      </c>
      <c r="O59" s="11"/>
      <c r="P59" s="2">
        <v>26434.17</v>
      </c>
      <c r="Q59" s="2"/>
      <c r="R59" s="19">
        <f t="shared" si="15"/>
        <v>3.723894640183071E-2</v>
      </c>
      <c r="S59" s="2"/>
      <c r="T59" s="2">
        <v>74082.19</v>
      </c>
      <c r="U59" s="2"/>
      <c r="V59" s="19">
        <f t="shared" si="16"/>
        <v>6.0749055366994119E-2</v>
      </c>
      <c r="W59" s="2"/>
      <c r="X59" s="2">
        <f t="shared" si="17"/>
        <v>-47648.020000000004</v>
      </c>
      <c r="Y59" s="2"/>
      <c r="Z59" s="19">
        <f t="shared" si="18"/>
        <v>-0.64317780022431847</v>
      </c>
    </row>
    <row r="60" spans="1:26" s="24" customFormat="1" hidden="1" outlineLevel="1" x14ac:dyDescent="0.25">
      <c r="A60" s="44"/>
      <c r="B60" s="11" t="str">
        <f>CONCATENATE("          ", "5042", " - ", "PURCHASES @ COST-EVERYDAY GIFT")</f>
        <v xml:space="preserve">          5042 - PURCHASES @ COST-EVERYDAY GIFT</v>
      </c>
      <c r="C60" s="11"/>
      <c r="D60" s="2"/>
      <c r="E60" s="2"/>
      <c r="F60" s="19">
        <f t="shared" si="11"/>
        <v>0</v>
      </c>
      <c r="G60" s="2"/>
      <c r="H60" s="2">
        <v>26888.44</v>
      </c>
      <c r="I60" s="2"/>
      <c r="J60" s="19">
        <f t="shared" si="12"/>
        <v>9.2225397267911902E-2</v>
      </c>
      <c r="K60" s="2"/>
      <c r="L60" s="2">
        <f t="shared" si="13"/>
        <v>-26888.44</v>
      </c>
      <c r="M60" s="2"/>
      <c r="N60" s="19">
        <f t="shared" si="14"/>
        <v>-1</v>
      </c>
      <c r="O60" s="11"/>
      <c r="P60" s="2">
        <v>2966.64</v>
      </c>
      <c r="Q60" s="2"/>
      <c r="R60" s="19">
        <f t="shared" si="15"/>
        <v>4.179232711052667E-3</v>
      </c>
      <c r="S60" s="2"/>
      <c r="T60" s="2">
        <v>66696.37000000001</v>
      </c>
      <c r="U60" s="2"/>
      <c r="V60" s="19">
        <f t="shared" si="16"/>
        <v>5.4692517512070396E-2</v>
      </c>
      <c r="W60" s="2"/>
      <c r="X60" s="2">
        <f t="shared" si="17"/>
        <v>-63729.73000000001</v>
      </c>
      <c r="Y60" s="2"/>
      <c r="Z60" s="19">
        <f t="shared" si="18"/>
        <v>-0.95552021796688491</v>
      </c>
    </row>
    <row r="61" spans="1:26" s="24" customFormat="1" hidden="1" outlineLevel="1" x14ac:dyDescent="0.25">
      <c r="A61" s="44"/>
      <c r="B61" s="11" t="str">
        <f>CONCATENATE("          ", "5043", " - ", "PURCHASES @ COST-CARDS")</f>
        <v xml:space="preserve">          5043 - PURCHASES @ COST-CARDS</v>
      </c>
      <c r="C61" s="11"/>
      <c r="D61" s="2">
        <v>38530.230000000003</v>
      </c>
      <c r="E61" s="2"/>
      <c r="F61" s="19">
        <f t="shared" si="11"/>
        <v>0.46278472711418273</v>
      </c>
      <c r="G61" s="2"/>
      <c r="H61" s="2">
        <v>2095.2600000000002</v>
      </c>
      <c r="I61" s="2"/>
      <c r="J61" s="19">
        <f t="shared" si="12"/>
        <v>7.1865896972663768E-3</v>
      </c>
      <c r="K61" s="2"/>
      <c r="L61" s="2">
        <f t="shared" si="13"/>
        <v>36434.97</v>
      </c>
      <c r="M61" s="2"/>
      <c r="N61" s="19">
        <f t="shared" si="14"/>
        <v>17.389235703444918</v>
      </c>
      <c r="O61" s="11"/>
      <c r="P61" s="2">
        <v>44173.23</v>
      </c>
      <c r="Q61" s="2"/>
      <c r="R61" s="19">
        <f t="shared" si="15"/>
        <v>6.2228719281359722E-2</v>
      </c>
      <c r="S61" s="2"/>
      <c r="T61" s="2">
        <v>3435.34</v>
      </c>
      <c r="U61" s="2"/>
      <c r="V61" s="19">
        <f t="shared" si="16"/>
        <v>2.8170557574560039E-3</v>
      </c>
      <c r="W61" s="2"/>
      <c r="X61" s="2">
        <f t="shared" si="17"/>
        <v>40737.89</v>
      </c>
      <c r="Y61" s="2"/>
      <c r="Z61" s="19">
        <f t="shared" si="18"/>
        <v>11.858473979285893</v>
      </c>
    </row>
    <row r="62" spans="1:26" s="24" customFormat="1" hidden="1" outlineLevel="1" x14ac:dyDescent="0.25">
      <c r="A62" s="44"/>
      <c r="B62" s="11" t="str">
        <f>CONCATENATE("          ", "5044", " - ", "PURCHASES @ COST-ACCESSORIES")</f>
        <v xml:space="preserve">          5044 - PURCHASES @ COST-ACCESSORIES</v>
      </c>
      <c r="C62" s="11"/>
      <c r="D62" s="2">
        <v>282.33</v>
      </c>
      <c r="E62" s="2"/>
      <c r="F62" s="19">
        <f t="shared" si="11"/>
        <v>3.3910519611782017E-3</v>
      </c>
      <c r="G62" s="2"/>
      <c r="H62" s="2">
        <v>822.18</v>
      </c>
      <c r="I62" s="2"/>
      <c r="J62" s="19">
        <f t="shared" si="12"/>
        <v>2.8200177148890678E-3</v>
      </c>
      <c r="K62" s="2"/>
      <c r="L62" s="2">
        <f t="shared" si="13"/>
        <v>-539.84999999999991</v>
      </c>
      <c r="M62" s="2"/>
      <c r="N62" s="19">
        <f t="shared" si="14"/>
        <v>-0.65660804203459089</v>
      </c>
      <c r="O62" s="11"/>
      <c r="P62" s="2">
        <v>282.33</v>
      </c>
      <c r="Q62" s="2"/>
      <c r="R62" s="19">
        <f t="shared" si="15"/>
        <v>3.9773035195086001E-4</v>
      </c>
      <c r="S62" s="2"/>
      <c r="T62" s="2">
        <v>22620.74</v>
      </c>
      <c r="U62" s="2"/>
      <c r="V62" s="19">
        <f t="shared" si="16"/>
        <v>1.854951354303077E-2</v>
      </c>
      <c r="W62" s="2"/>
      <c r="X62" s="2">
        <f t="shared" si="17"/>
        <v>-22338.41</v>
      </c>
      <c r="Y62" s="2"/>
      <c r="Z62" s="19">
        <f t="shared" si="18"/>
        <v>-0.98751897594862048</v>
      </c>
    </row>
    <row r="63" spans="1:26" s="24" customFormat="1" hidden="1" outlineLevel="1" x14ac:dyDescent="0.25">
      <c r="A63" s="44"/>
      <c r="B63" s="11" t="str">
        <f>CONCATENATE("          ", "5045", " - ", "PURCHASES @ COST-SPECIAL ORDER")</f>
        <v xml:space="preserve">          5045 - PURCHASES @ COST-SPECIAL ORDER</v>
      </c>
      <c r="C63" s="11"/>
      <c r="D63" s="2">
        <v>5678</v>
      </c>
      <c r="E63" s="2"/>
      <c r="F63" s="19">
        <f t="shared" si="11"/>
        <v>6.8198183103353627E-2</v>
      </c>
      <c r="G63" s="2"/>
      <c r="H63" s="2">
        <v>14178.29</v>
      </c>
      <c r="I63" s="2"/>
      <c r="J63" s="19">
        <f t="shared" si="12"/>
        <v>4.8630505445078361E-2</v>
      </c>
      <c r="K63" s="2"/>
      <c r="L63" s="2">
        <f t="shared" si="13"/>
        <v>-8500.2900000000009</v>
      </c>
      <c r="M63" s="2"/>
      <c r="N63" s="19">
        <f t="shared" si="14"/>
        <v>-0.59952857502562018</v>
      </c>
      <c r="O63" s="11"/>
      <c r="P63" s="2">
        <v>76932.51999999999</v>
      </c>
      <c r="Q63" s="2"/>
      <c r="R63" s="19">
        <f t="shared" si="15"/>
        <v>0.10837813288019897</v>
      </c>
      <c r="S63" s="2"/>
      <c r="T63" s="2">
        <v>43209.689999999995</v>
      </c>
      <c r="U63" s="2"/>
      <c r="V63" s="19">
        <f t="shared" si="16"/>
        <v>3.5432913770511533E-2</v>
      </c>
      <c r="W63" s="2"/>
      <c r="X63" s="2">
        <f t="shared" si="17"/>
        <v>33722.829999999994</v>
      </c>
      <c r="Y63" s="2"/>
      <c r="Z63" s="19">
        <f t="shared" si="18"/>
        <v>0.78044600643975914</v>
      </c>
    </row>
    <row r="64" spans="1:26" s="24" customFormat="1" hidden="1" outlineLevel="1" x14ac:dyDescent="0.25">
      <c r="A64" s="44"/>
      <c r="B64" s="11" t="str">
        <f>CONCATENATE("          ", "5200", " - ", "PURCHASES OFFSET")</f>
        <v xml:space="preserve">          5200 - PURCHASES OFFSET</v>
      </c>
      <c r="C64" s="11"/>
      <c r="D64" s="2">
        <v>-116985.24</v>
      </c>
      <c r="E64" s="2"/>
      <c r="F64" s="19">
        <f t="shared" si="11"/>
        <v>-1.4051040538763244</v>
      </c>
      <c r="G64" s="2"/>
      <c r="H64" s="2">
        <v>-149206</v>
      </c>
      <c r="I64" s="2"/>
      <c r="J64" s="19">
        <f t="shared" si="12"/>
        <v>-0.51176574858028445</v>
      </c>
      <c r="K64" s="2"/>
      <c r="L64" s="2">
        <f t="shared" si="13"/>
        <v>32220.759999999995</v>
      </c>
      <c r="M64" s="2"/>
      <c r="N64" s="19">
        <f t="shared" si="14"/>
        <v>-0.21594815221907962</v>
      </c>
      <c r="O64" s="11"/>
      <c r="P64" s="2">
        <v>-282150.98</v>
      </c>
      <c r="Q64" s="2"/>
      <c r="R64" s="19">
        <f t="shared" si="15"/>
        <v>-0.3974781588165624</v>
      </c>
      <c r="S64" s="2"/>
      <c r="T64" s="2">
        <v>-728536</v>
      </c>
      <c r="U64" s="2"/>
      <c r="V64" s="19">
        <f t="shared" si="16"/>
        <v>-0.59741584044489549</v>
      </c>
      <c r="W64" s="2"/>
      <c r="X64" s="2">
        <f t="shared" si="17"/>
        <v>446385.02</v>
      </c>
      <c r="Y64" s="2"/>
      <c r="Z64" s="19">
        <f t="shared" si="18"/>
        <v>-0.61271511634291242</v>
      </c>
    </row>
    <row r="65" spans="1:26" s="24" customFormat="1" hidden="1" outlineLevel="1" x14ac:dyDescent="0.25">
      <c r="A65" s="44"/>
      <c r="B65" s="11" t="str">
        <f>CONCATENATE("          ", "5300", " - ", "COG$ OFFSET")</f>
        <v xml:space="preserve">          5300 - COG$ OFFSET</v>
      </c>
      <c r="C65" s="11"/>
      <c r="D65" s="2">
        <v>46546</v>
      </c>
      <c r="E65" s="2"/>
      <c r="F65" s="19">
        <f t="shared" si="11"/>
        <v>0.55906175250593482</v>
      </c>
      <c r="G65" s="2"/>
      <c r="H65" s="2">
        <v>138881</v>
      </c>
      <c r="I65" s="2"/>
      <c r="J65" s="19">
        <f t="shared" si="12"/>
        <v>0.47635174811052161</v>
      </c>
      <c r="K65" s="2"/>
      <c r="L65" s="2">
        <f t="shared" si="13"/>
        <v>-92335</v>
      </c>
      <c r="M65" s="2"/>
      <c r="N65" s="19">
        <f t="shared" si="14"/>
        <v>-0.66484976346656488</v>
      </c>
      <c r="O65" s="11"/>
      <c r="P65" s="2">
        <v>429803</v>
      </c>
      <c r="Q65" s="2"/>
      <c r="R65" s="19">
        <f t="shared" si="15"/>
        <v>0.60548187744673077</v>
      </c>
      <c r="S65" s="2"/>
      <c r="T65" s="2">
        <v>567554</v>
      </c>
      <c r="U65" s="2"/>
      <c r="V65" s="19">
        <f t="shared" si="16"/>
        <v>0.46540699417442954</v>
      </c>
      <c r="W65" s="2"/>
      <c r="X65" s="2">
        <f t="shared" si="17"/>
        <v>-137751</v>
      </c>
      <c r="Y65" s="2"/>
      <c r="Z65" s="19">
        <f t="shared" si="18"/>
        <v>-0.24270994478058475</v>
      </c>
    </row>
    <row r="66" spans="1:26" s="24" customFormat="1" hidden="1" outlineLevel="1" x14ac:dyDescent="0.25">
      <c r="A66" s="44"/>
      <c r="B66" s="11" t="str">
        <f>CONCATENATE("          ", "5500", " - ", "FREIGHT-IN")</f>
        <v xml:space="preserve">          5500 - FREIGHT-IN</v>
      </c>
      <c r="C66" s="11"/>
      <c r="D66" s="2"/>
      <c r="E66" s="2"/>
      <c r="F66" s="19">
        <f t="shared" si="11"/>
        <v>0</v>
      </c>
      <c r="G66" s="2"/>
      <c r="H66" s="2"/>
      <c r="I66" s="2"/>
      <c r="J66" s="19">
        <f t="shared" si="12"/>
        <v>0</v>
      </c>
      <c r="K66" s="2"/>
      <c r="L66" s="2">
        <f t="shared" si="13"/>
        <v>0</v>
      </c>
      <c r="M66" s="2"/>
      <c r="N66" s="19">
        <f t="shared" si="14"/>
        <v>0</v>
      </c>
      <c r="O66" s="11"/>
      <c r="P66" s="2"/>
      <c r="Q66" s="2"/>
      <c r="R66" s="19">
        <f t="shared" si="15"/>
        <v>0</v>
      </c>
      <c r="S66" s="2"/>
      <c r="T66" s="2">
        <v>29.23</v>
      </c>
      <c r="U66" s="2"/>
      <c r="V66" s="19">
        <f t="shared" si="16"/>
        <v>2.3969254801690367E-5</v>
      </c>
      <c r="W66" s="2"/>
      <c r="X66" s="2">
        <f t="shared" si="17"/>
        <v>-29.23</v>
      </c>
      <c r="Y66" s="2"/>
      <c r="Z66" s="19">
        <f t="shared" si="18"/>
        <v>-1</v>
      </c>
    </row>
    <row r="67" spans="1:26" s="24" customFormat="1" hidden="1" outlineLevel="1" x14ac:dyDescent="0.25">
      <c r="A67" s="44"/>
      <c r="B67" s="11" t="str">
        <f>CONCATENATE("          ", "5525", " - ", "FREIGHT-IN-TEST FORMS")</f>
        <v xml:space="preserve">          5525 - FREIGHT-IN-TEST FORMS</v>
      </c>
      <c r="C67" s="11"/>
      <c r="D67" s="2"/>
      <c r="E67" s="2"/>
      <c r="F67" s="19">
        <f t="shared" si="11"/>
        <v>0</v>
      </c>
      <c r="G67" s="2"/>
      <c r="H67" s="2"/>
      <c r="I67" s="2"/>
      <c r="J67" s="19">
        <f t="shared" si="12"/>
        <v>0</v>
      </c>
      <c r="K67" s="2"/>
      <c r="L67" s="2">
        <f t="shared" si="13"/>
        <v>0</v>
      </c>
      <c r="M67" s="2"/>
      <c r="N67" s="19">
        <f t="shared" si="14"/>
        <v>0</v>
      </c>
      <c r="O67" s="11"/>
      <c r="P67" s="2">
        <v>48.14</v>
      </c>
      <c r="Q67" s="2"/>
      <c r="R67" s="19">
        <f t="shared" si="15"/>
        <v>6.781687791915277E-5</v>
      </c>
      <c r="S67" s="2"/>
      <c r="T67" s="2"/>
      <c r="U67" s="2"/>
      <c r="V67" s="19">
        <f t="shared" si="16"/>
        <v>0</v>
      </c>
      <c r="W67" s="2"/>
      <c r="X67" s="2">
        <f t="shared" si="17"/>
        <v>48.14</v>
      </c>
      <c r="Y67" s="2"/>
      <c r="Z67" s="19">
        <f t="shared" si="18"/>
        <v>0</v>
      </c>
    </row>
    <row r="68" spans="1:26" s="24" customFormat="1" hidden="1" outlineLevel="1" x14ac:dyDescent="0.25">
      <c r="A68" s="44"/>
      <c r="B68" s="11" t="str">
        <f>CONCATENATE("          ", "5527", " - ", "FREIGHT-IN-SCHOOL SUPPLIES")</f>
        <v xml:space="preserve">          5527 - FREIGHT-IN-SCHOOL SUPPLIES</v>
      </c>
      <c r="C68" s="11"/>
      <c r="D68" s="2"/>
      <c r="E68" s="2"/>
      <c r="F68" s="19">
        <f t="shared" si="11"/>
        <v>0</v>
      </c>
      <c r="G68" s="2"/>
      <c r="H68" s="2"/>
      <c r="I68" s="2"/>
      <c r="J68" s="19">
        <f t="shared" si="12"/>
        <v>0</v>
      </c>
      <c r="K68" s="2"/>
      <c r="L68" s="2">
        <f t="shared" si="13"/>
        <v>0</v>
      </c>
      <c r="M68" s="2"/>
      <c r="N68" s="19">
        <f t="shared" si="14"/>
        <v>0</v>
      </c>
      <c r="O68" s="11"/>
      <c r="P68" s="2">
        <v>56</v>
      </c>
      <c r="Q68" s="2"/>
      <c r="R68" s="19">
        <f t="shared" si="15"/>
        <v>7.8889596249949218E-5</v>
      </c>
      <c r="S68" s="2"/>
      <c r="T68" s="2"/>
      <c r="U68" s="2"/>
      <c r="V68" s="19">
        <f t="shared" si="16"/>
        <v>0</v>
      </c>
      <c r="W68" s="2"/>
      <c r="X68" s="2">
        <f t="shared" si="17"/>
        <v>56</v>
      </c>
      <c r="Y68" s="2"/>
      <c r="Z68" s="19">
        <f t="shared" si="18"/>
        <v>0</v>
      </c>
    </row>
    <row r="69" spans="1:26" s="24" customFormat="1" hidden="1" outlineLevel="1" x14ac:dyDescent="0.25">
      <c r="A69" s="44"/>
      <c r="B69" s="11" t="str">
        <f>CONCATENATE("          ", "5528", " - ", "FREIGHT-IN-ART/TECH")</f>
        <v xml:space="preserve">          5528 - FREIGHT-IN-ART/TECH</v>
      </c>
      <c r="C69" s="11"/>
      <c r="D69" s="2"/>
      <c r="E69" s="2"/>
      <c r="F69" s="19">
        <f t="shared" si="11"/>
        <v>0</v>
      </c>
      <c r="G69" s="2"/>
      <c r="H69" s="2"/>
      <c r="I69" s="2"/>
      <c r="J69" s="19">
        <f t="shared" si="12"/>
        <v>0</v>
      </c>
      <c r="K69" s="2"/>
      <c r="L69" s="2">
        <f t="shared" si="13"/>
        <v>0</v>
      </c>
      <c r="M69" s="2"/>
      <c r="N69" s="19">
        <f t="shared" si="14"/>
        <v>0</v>
      </c>
      <c r="O69" s="11"/>
      <c r="P69" s="2">
        <v>3.94</v>
      </c>
      <c r="Q69" s="2"/>
      <c r="R69" s="19">
        <f t="shared" si="15"/>
        <v>5.5504465932999981E-6</v>
      </c>
      <c r="S69" s="2"/>
      <c r="T69" s="2"/>
      <c r="U69" s="2"/>
      <c r="V69" s="19">
        <f t="shared" si="16"/>
        <v>0</v>
      </c>
      <c r="W69" s="2"/>
      <c r="X69" s="2">
        <f t="shared" si="17"/>
        <v>3.94</v>
      </c>
      <c r="Y69" s="2"/>
      <c r="Z69" s="19">
        <f t="shared" si="18"/>
        <v>0</v>
      </c>
    </row>
    <row r="70" spans="1:26" s="24" customFormat="1" hidden="1" outlineLevel="1" x14ac:dyDescent="0.25">
      <c r="A70" s="44"/>
      <c r="B70" s="11" t="str">
        <f>CONCATENATE("          ", "5540", " - ", "FREIGHT-IN-LOGO CLOTHING")</f>
        <v xml:space="preserve">          5540 - FREIGHT-IN-LOGO CLOTHING</v>
      </c>
      <c r="C70" s="11"/>
      <c r="D70" s="2">
        <v>1333.15</v>
      </c>
      <c r="E70" s="2"/>
      <c r="F70" s="19">
        <f t="shared" si="11"/>
        <v>1.6012400106417031E-2</v>
      </c>
      <c r="G70" s="2"/>
      <c r="H70" s="2">
        <v>6133.89</v>
      </c>
      <c r="I70" s="2"/>
      <c r="J70" s="19">
        <f t="shared" si="12"/>
        <v>2.1038797418060407E-2</v>
      </c>
      <c r="K70" s="2"/>
      <c r="L70" s="2">
        <f t="shared" si="13"/>
        <v>-4800.74</v>
      </c>
      <c r="M70" s="2"/>
      <c r="N70" s="19">
        <f t="shared" si="14"/>
        <v>-0.78265831307701961</v>
      </c>
      <c r="O70" s="11"/>
      <c r="P70" s="2">
        <v>4535.4799999999996</v>
      </c>
      <c r="Q70" s="2"/>
      <c r="R70" s="19">
        <f t="shared" si="15"/>
        <v>6.3893247499949932E-3</v>
      </c>
      <c r="S70" s="2"/>
      <c r="T70" s="2">
        <v>20241.329999999998</v>
      </c>
      <c r="U70" s="2"/>
      <c r="V70" s="19">
        <f t="shared" si="16"/>
        <v>1.6598344040201822E-2</v>
      </c>
      <c r="W70" s="2"/>
      <c r="X70" s="2">
        <f t="shared" si="17"/>
        <v>-15705.849999999999</v>
      </c>
      <c r="Y70" s="2"/>
      <c r="Z70" s="19">
        <f t="shared" si="18"/>
        <v>-0.77592974374707591</v>
      </c>
    </row>
    <row r="71" spans="1:26" s="24" customFormat="1" hidden="1" outlineLevel="1" x14ac:dyDescent="0.25">
      <c r="A71" s="44"/>
      <c r="B71" s="11" t="str">
        <f>CONCATENATE("          ", "5541", " - ", "FREIGHT-IN-LOGO GIFTS")</f>
        <v xml:space="preserve">          5541 - FREIGHT-IN-LOGO GIFTS</v>
      </c>
      <c r="C71" s="11"/>
      <c r="D71" s="2">
        <v>301.06</v>
      </c>
      <c r="E71" s="2"/>
      <c r="F71" s="19">
        <f t="shared" si="11"/>
        <v>3.6160170843775354E-3</v>
      </c>
      <c r="G71" s="2"/>
      <c r="H71" s="2">
        <v>1315.98</v>
      </c>
      <c r="I71" s="2"/>
      <c r="J71" s="19">
        <f t="shared" si="12"/>
        <v>4.5137158681063947E-3</v>
      </c>
      <c r="K71" s="2"/>
      <c r="L71" s="2">
        <f t="shared" si="13"/>
        <v>-1014.9200000000001</v>
      </c>
      <c r="M71" s="2"/>
      <c r="N71" s="19">
        <f t="shared" si="14"/>
        <v>-0.77122752625419844</v>
      </c>
      <c r="O71" s="11"/>
      <c r="P71" s="2">
        <v>1435.87</v>
      </c>
      <c r="Q71" s="2"/>
      <c r="R71" s="19">
        <f t="shared" si="15"/>
        <v>2.0227715101324029E-3</v>
      </c>
      <c r="S71" s="2"/>
      <c r="T71" s="2">
        <v>2852.83</v>
      </c>
      <c r="U71" s="2"/>
      <c r="V71" s="19">
        <f t="shared" si="16"/>
        <v>2.3393845082417494E-3</v>
      </c>
      <c r="W71" s="2"/>
      <c r="X71" s="2">
        <f t="shared" si="17"/>
        <v>-1416.96</v>
      </c>
      <c r="Y71" s="2"/>
      <c r="Z71" s="19">
        <f t="shared" si="18"/>
        <v>-0.49668574713530078</v>
      </c>
    </row>
    <row r="72" spans="1:26" s="24" customFormat="1" hidden="1" outlineLevel="1" x14ac:dyDescent="0.25">
      <c r="A72" s="44"/>
      <c r="B72" s="11" t="str">
        <f>CONCATENATE("          ", "5542", " - ", "FREIGHT-IN-EVERYDAY GIFTS")</f>
        <v xml:space="preserve">          5542 - FREIGHT-IN-EVERYDAY GIFTS</v>
      </c>
      <c r="C72" s="11"/>
      <c r="D72" s="2">
        <v>21</v>
      </c>
      <c r="E72" s="2"/>
      <c r="F72" s="19">
        <f t="shared" si="11"/>
        <v>2.5222998329877181E-4</v>
      </c>
      <c r="G72" s="2"/>
      <c r="H72" s="2">
        <v>745.78</v>
      </c>
      <c r="I72" s="2"/>
      <c r="J72" s="19">
        <f t="shared" si="12"/>
        <v>2.5579712610498541E-3</v>
      </c>
      <c r="K72" s="2"/>
      <c r="L72" s="2">
        <f t="shared" si="13"/>
        <v>-724.78</v>
      </c>
      <c r="M72" s="2"/>
      <c r="N72" s="19">
        <f t="shared" si="14"/>
        <v>-0.9718415618547025</v>
      </c>
      <c r="O72" s="11"/>
      <c r="P72" s="2">
        <v>196.55</v>
      </c>
      <c r="Q72" s="2"/>
      <c r="R72" s="19">
        <f t="shared" si="15"/>
        <v>2.7688839540941998E-4</v>
      </c>
      <c r="S72" s="2"/>
      <c r="T72" s="2">
        <v>1513.51</v>
      </c>
      <c r="U72" s="2"/>
      <c r="V72" s="19">
        <f t="shared" si="16"/>
        <v>1.2411121051969342E-3</v>
      </c>
      <c r="W72" s="2"/>
      <c r="X72" s="2">
        <f t="shared" si="17"/>
        <v>-1316.96</v>
      </c>
      <c r="Y72" s="2"/>
      <c r="Z72" s="19">
        <f t="shared" si="18"/>
        <v>-0.87013630567356681</v>
      </c>
    </row>
    <row r="73" spans="1:26" s="24" customFormat="1" hidden="1" outlineLevel="1" x14ac:dyDescent="0.25">
      <c r="A73" s="44"/>
      <c r="B73" s="11" t="str">
        <f>CONCATENATE("          ", "5543", " - ", "FREIGHT-IN-CARDS")</f>
        <v xml:space="preserve">          5543 - FREIGHT-IN-CARDS</v>
      </c>
      <c r="C73" s="11"/>
      <c r="D73" s="2">
        <v>6323.12</v>
      </c>
      <c r="E73" s="2"/>
      <c r="F73" s="19">
        <f t="shared" si="11"/>
        <v>7.5946688190291906E-2</v>
      </c>
      <c r="G73" s="2"/>
      <c r="H73" s="2">
        <v>39.01</v>
      </c>
      <c r="I73" s="2"/>
      <c r="J73" s="19">
        <f t="shared" si="12"/>
        <v>1.3380146811868757E-4</v>
      </c>
      <c r="K73" s="2"/>
      <c r="L73" s="2">
        <f t="shared" si="13"/>
        <v>6284.11</v>
      </c>
      <c r="M73" s="2"/>
      <c r="N73" s="19">
        <f t="shared" si="14"/>
        <v>161.08972058446551</v>
      </c>
      <c r="O73" s="11"/>
      <c r="P73" s="2">
        <v>6512.31</v>
      </c>
      <c r="Q73" s="2"/>
      <c r="R73" s="19">
        <f t="shared" si="15"/>
        <v>9.1741697599019064E-3</v>
      </c>
      <c r="S73" s="2"/>
      <c r="T73" s="2">
        <v>43.59</v>
      </c>
      <c r="U73" s="2"/>
      <c r="V73" s="19">
        <f t="shared" si="16"/>
        <v>3.5744776490102057E-5</v>
      </c>
      <c r="W73" s="2"/>
      <c r="X73" s="2">
        <f t="shared" si="17"/>
        <v>6468.72</v>
      </c>
      <c r="Y73" s="2"/>
      <c r="Z73" s="19">
        <f t="shared" si="18"/>
        <v>148.39917412250514</v>
      </c>
    </row>
    <row r="74" spans="1:26" s="24" customFormat="1" hidden="1" outlineLevel="1" x14ac:dyDescent="0.25">
      <c r="A74" s="44"/>
      <c r="B74" s="11" t="str">
        <f>CONCATENATE("          ", "5544", " - ", "FREIGHT-IN-ACCESSORIES")</f>
        <v xml:space="preserve">          5544 - FREIGHT-IN-ACCESSORIES</v>
      </c>
      <c r="C74" s="11"/>
      <c r="D74" s="2"/>
      <c r="E74" s="2"/>
      <c r="F74" s="19">
        <f t="shared" si="11"/>
        <v>0</v>
      </c>
      <c r="G74" s="2"/>
      <c r="H74" s="2">
        <v>54.82</v>
      </c>
      <c r="I74" s="2"/>
      <c r="J74" s="19">
        <f t="shared" si="12"/>
        <v>1.8802862041185473E-4</v>
      </c>
      <c r="K74" s="2"/>
      <c r="L74" s="2">
        <f t="shared" si="13"/>
        <v>-54.82</v>
      </c>
      <c r="M74" s="2"/>
      <c r="N74" s="19">
        <f t="shared" si="14"/>
        <v>-1</v>
      </c>
      <c r="O74" s="11"/>
      <c r="P74" s="2"/>
      <c r="Q74" s="2"/>
      <c r="R74" s="19">
        <f t="shared" si="15"/>
        <v>0</v>
      </c>
      <c r="S74" s="2"/>
      <c r="T74" s="2">
        <v>413.91</v>
      </c>
      <c r="U74" s="2"/>
      <c r="V74" s="19">
        <f t="shared" si="16"/>
        <v>3.3941547228763806E-4</v>
      </c>
      <c r="W74" s="2"/>
      <c r="X74" s="2">
        <f t="shared" si="17"/>
        <v>-413.91</v>
      </c>
      <c r="Y74" s="2"/>
      <c r="Z74" s="19">
        <f t="shared" si="18"/>
        <v>-1</v>
      </c>
    </row>
    <row r="75" spans="1:26" s="24" customFormat="1" hidden="1" outlineLevel="1" x14ac:dyDescent="0.25">
      <c r="A75" s="44"/>
      <c r="B75" s="11" t="str">
        <f>CONCATENATE("          ", "5545", " - ", "FREIGHT-IN-SPECIAL ORDERS")</f>
        <v xml:space="preserve">          5545 - FREIGHT-IN-SPECIAL ORDERS</v>
      </c>
      <c r="C75" s="11"/>
      <c r="D75" s="2">
        <v>37.590000000000003</v>
      </c>
      <c r="E75" s="2"/>
      <c r="F75" s="19">
        <f t="shared" si="11"/>
        <v>4.5149167010480155E-4</v>
      </c>
      <c r="G75" s="2"/>
      <c r="H75" s="2">
        <v>158.08000000000001</v>
      </c>
      <c r="I75" s="2"/>
      <c r="J75" s="19">
        <f t="shared" si="12"/>
        <v>5.4220292438354604E-4</v>
      </c>
      <c r="K75" s="2"/>
      <c r="L75" s="2">
        <f t="shared" si="13"/>
        <v>-120.49000000000001</v>
      </c>
      <c r="M75" s="2"/>
      <c r="N75" s="19">
        <f t="shared" si="14"/>
        <v>-0.76220900809716596</v>
      </c>
      <c r="O75" s="11"/>
      <c r="P75" s="2">
        <v>887.86</v>
      </c>
      <c r="Q75" s="2"/>
      <c r="R75" s="19">
        <f t="shared" si="15"/>
        <v>1.2507663736871413E-3</v>
      </c>
      <c r="S75" s="2"/>
      <c r="T75" s="2">
        <v>505.06</v>
      </c>
      <c r="U75" s="2"/>
      <c r="V75" s="19">
        <f t="shared" si="16"/>
        <v>4.1416051420259105E-4</v>
      </c>
      <c r="W75" s="2"/>
      <c r="X75" s="2">
        <f t="shared" si="17"/>
        <v>382.8</v>
      </c>
      <c r="Y75" s="2"/>
      <c r="Z75" s="19">
        <f t="shared" si="18"/>
        <v>0.75792975092068271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8" t="s">
        <v>6</v>
      </c>
      <c r="C77" s="28"/>
      <c r="D77" s="20">
        <f>D12-D52</f>
        <v>36711.350000000006</v>
      </c>
      <c r="E77" s="14"/>
      <c r="F77" s="22">
        <f>IF(D$12=0,0,D77/D$12)</f>
        <v>0.44093824749406513</v>
      </c>
      <c r="G77" s="14"/>
      <c r="H77" s="20">
        <f>H12-H52</f>
        <v>152669.51999999999</v>
      </c>
      <c r="I77" s="14"/>
      <c r="J77" s="22">
        <f>IF(H$12=0,0,H77/H$12)</f>
        <v>0.52364537075045714</v>
      </c>
      <c r="K77" s="15"/>
      <c r="L77" s="20">
        <f>+D77-H77</f>
        <v>-115958.16999999998</v>
      </c>
      <c r="M77" s="15"/>
      <c r="N77" s="22">
        <f>IF(H77=0,0,L77/H77)</f>
        <v>-0.75953713616182195</v>
      </c>
      <c r="O77" s="29"/>
      <c r="P77" s="20">
        <f>P12-P52</f>
        <v>279133.25000000017</v>
      </c>
      <c r="Q77" s="14"/>
      <c r="R77" s="22">
        <f>IF(P$12=0,0,P77/P$12)</f>
        <v>0.39322695343635983</v>
      </c>
      <c r="S77" s="14"/>
      <c r="T77" s="20">
        <f>T12-T52</f>
        <v>651896.97000000044</v>
      </c>
      <c r="U77" s="14"/>
      <c r="V77" s="22">
        <f>IF(T$12=0,0,T77/T$12)</f>
        <v>0.53457011900033913</v>
      </c>
      <c r="W77" s="15"/>
      <c r="X77" s="20">
        <f>+P77-T77</f>
        <v>-372763.72000000026</v>
      </c>
      <c r="Y77" s="15"/>
      <c r="Z77" s="22">
        <f>IF(T77=0,0,X77/T77)</f>
        <v>-0.57181385579994337</v>
      </c>
    </row>
    <row r="78" spans="1:26" x14ac:dyDescent="0.25">
      <c r="A78" s="9"/>
      <c r="B78" s="10"/>
      <c r="C78" s="9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9" t="s">
        <v>9</v>
      </c>
      <c r="C79" s="10"/>
      <c r="D79" s="21">
        <f>SUM(OSRRefD22x_0)</f>
        <v>35742.470000000008</v>
      </c>
      <c r="E79" s="21"/>
      <c r="F79" s="35">
        <f t="shared" ref="F79:F88" si="19">IF(D$12=0,0,D79/D$12)</f>
        <v>0.42930107672175499</v>
      </c>
      <c r="G79" s="21"/>
      <c r="H79" s="21">
        <f>SUM(OSRRefH22x_0)</f>
        <v>72189.81</v>
      </c>
      <c r="I79" s="21"/>
      <c r="J79" s="35">
        <f t="shared" ref="J79:J88" si="20">IF(H$12=0,0,H79/H$12)</f>
        <v>0.24760580777259966</v>
      </c>
      <c r="K79" s="4"/>
      <c r="L79" s="21">
        <f t="shared" ref="L79:L88" si="21">+D79-H79</f>
        <v>-36447.339999999989</v>
      </c>
      <c r="M79" s="4"/>
      <c r="N79" s="35">
        <f t="shared" ref="N79:N88" si="22">IF(H79=0,0,L79/H79)</f>
        <v>-0.50488206022428916</v>
      </c>
      <c r="O79" s="10"/>
      <c r="P79" s="21">
        <f>SUM(OSRRefP22x_0)</f>
        <v>235709.82999999996</v>
      </c>
      <c r="Q79" s="21"/>
      <c r="R79" s="35">
        <f t="shared" ref="R79:R88" si="23">IF(P$12=0,0,P79/P$12)</f>
        <v>0.33205452358650295</v>
      </c>
      <c r="S79" s="21"/>
      <c r="T79" s="21">
        <f>SUM(OSRRefT22x_0)</f>
        <v>304634.81</v>
      </c>
      <c r="U79" s="21"/>
      <c r="V79" s="35">
        <f t="shared" ref="V79:V88" si="24">IF(T$12=0,0,T79/T$12)</f>
        <v>0.24980736853761659</v>
      </c>
      <c r="W79" s="4"/>
      <c r="X79" s="21">
        <f t="shared" ref="X79:X88" si="25">+P79-T79</f>
        <v>-68924.98000000004</v>
      </c>
      <c r="Y79" s="4"/>
      <c r="Z79" s="35">
        <f t="shared" ref="Z79:Z88" si="26">IF(T79=0,0,X79/T79)</f>
        <v>-0.22625444544567982</v>
      </c>
    </row>
    <row r="80" spans="1:26" s="26" customFormat="1" outlineLevel="1" collapsed="1" x14ac:dyDescent="0.25">
      <c r="A80" s="27"/>
      <c r="B80" s="13" t="str">
        <f>CONCATENATE("     ","*Benefits                                         ")</f>
        <v xml:space="preserve">     *Benefits                                         </v>
      </c>
      <c r="C80" s="13"/>
      <c r="D80" s="1">
        <f>SUM(OSRRefD22_0x_0)</f>
        <v>9715.380000000001</v>
      </c>
      <c r="E80" s="1"/>
      <c r="F80" s="5">
        <f t="shared" si="19"/>
        <v>0.11669095881624866</v>
      </c>
      <c r="G80" s="1"/>
      <c r="H80" s="1">
        <f>SUM(OSRRefH22_0x_0)</f>
        <v>4537.38</v>
      </c>
      <c r="I80" s="1"/>
      <c r="J80" s="5">
        <f t="shared" si="20"/>
        <v>1.5562884014672408E-2</v>
      </c>
      <c r="K80" s="1"/>
      <c r="L80" s="1">
        <f t="shared" si="21"/>
        <v>5178.0000000000009</v>
      </c>
      <c r="M80" s="1"/>
      <c r="N80" s="5">
        <f t="shared" si="22"/>
        <v>1.1411872049508749</v>
      </c>
      <c r="O80" s="13"/>
      <c r="P80" s="1">
        <f>SUM(OSRRefP22_0x_0)</f>
        <v>52323.099999999991</v>
      </c>
      <c r="Q80" s="1"/>
      <c r="R80" s="5">
        <f t="shared" si="23"/>
        <v>7.3709789884744942E-2</v>
      </c>
      <c r="S80" s="1"/>
      <c r="T80" s="1">
        <f>SUM(OSRRefT22_0x_0)</f>
        <v>36089.83</v>
      </c>
      <c r="U80" s="1"/>
      <c r="V80" s="5">
        <f t="shared" si="24"/>
        <v>2.9594469073543933E-2</v>
      </c>
      <c r="W80" s="1"/>
      <c r="X80" s="1">
        <f t="shared" si="25"/>
        <v>16233.26999999999</v>
      </c>
      <c r="Y80" s="1"/>
      <c r="Z80" s="5">
        <f t="shared" si="26"/>
        <v>0.44980178626499456</v>
      </c>
    </row>
    <row r="81" spans="1:26" s="24" customFormat="1" hidden="1" outlineLevel="2" x14ac:dyDescent="0.25">
      <c r="A81" s="25"/>
      <c r="B81" s="11" t="str">
        <f>CONCATENATE("          ", "6111", " - ", "F.I.C.A.")</f>
        <v xml:space="preserve">          6111 - F.I.C.A.</v>
      </c>
      <c r="C81" s="11"/>
      <c r="D81" s="6">
        <v>1667.2</v>
      </c>
      <c r="E81" s="2"/>
      <c r="F81" s="7">
        <f t="shared" si="19"/>
        <v>2.0024658483605351E-2</v>
      </c>
      <c r="G81" s="2"/>
      <c r="H81" s="6">
        <v>842.65</v>
      </c>
      <c r="I81" s="2"/>
      <c r="J81" s="7">
        <f t="shared" si="20"/>
        <v>2.8902283288954646E-3</v>
      </c>
      <c r="K81" s="2"/>
      <c r="L81" s="6">
        <f t="shared" si="21"/>
        <v>824.55000000000007</v>
      </c>
      <c r="M81" s="2"/>
      <c r="N81" s="7">
        <f t="shared" si="22"/>
        <v>0.97852014478134464</v>
      </c>
      <c r="O81" s="11"/>
      <c r="P81" s="6">
        <v>12656.57</v>
      </c>
      <c r="Q81" s="2"/>
      <c r="R81" s="7">
        <f t="shared" si="23"/>
        <v>1.7829851735878924E-2</v>
      </c>
      <c r="S81" s="2"/>
      <c r="T81" s="6">
        <v>7863.95</v>
      </c>
      <c r="U81" s="2"/>
      <c r="V81" s="7">
        <f t="shared" si="24"/>
        <v>6.4486151658485445E-3</v>
      </c>
      <c r="W81" s="2"/>
      <c r="X81" s="6">
        <f t="shared" si="25"/>
        <v>4792.62</v>
      </c>
      <c r="Y81" s="2"/>
      <c r="Z81" s="7">
        <f t="shared" si="26"/>
        <v>0.60944181995053381</v>
      </c>
    </row>
    <row r="82" spans="1:26" s="24" customFormat="1" hidden="1" outlineLevel="2" x14ac:dyDescent="0.25">
      <c r="A82" s="25"/>
      <c r="B82" s="11" t="str">
        <f>CONCATENATE("          ", "6112", " - ", "COMPENSATION INSURANCE")</f>
        <v xml:space="preserve">          6112 - COMPENSATION INSURANCE</v>
      </c>
      <c r="C82" s="11"/>
      <c r="D82" s="6">
        <v>881.73</v>
      </c>
      <c r="E82" s="2"/>
      <c r="F82" s="7">
        <f t="shared" si="19"/>
        <v>1.0590416341620289E-2</v>
      </c>
      <c r="G82" s="2"/>
      <c r="H82" s="6">
        <v>458.03</v>
      </c>
      <c r="I82" s="2"/>
      <c r="J82" s="7">
        <f t="shared" si="20"/>
        <v>1.5710096498949618E-3</v>
      </c>
      <c r="K82" s="2"/>
      <c r="L82" s="6">
        <f t="shared" si="21"/>
        <v>423.70000000000005</v>
      </c>
      <c r="M82" s="2"/>
      <c r="N82" s="7">
        <f t="shared" si="22"/>
        <v>0.92504857760408721</v>
      </c>
      <c r="O82" s="11"/>
      <c r="P82" s="6">
        <v>4810.38</v>
      </c>
      <c r="Q82" s="2"/>
      <c r="R82" s="7">
        <f t="shared" si="23"/>
        <v>6.7765881430148344E-3</v>
      </c>
      <c r="S82" s="2"/>
      <c r="T82" s="6">
        <v>2113.23</v>
      </c>
      <c r="U82" s="2"/>
      <c r="V82" s="7">
        <f t="shared" si="24"/>
        <v>1.7328959399444453E-3</v>
      </c>
      <c r="W82" s="2"/>
      <c r="X82" s="6">
        <f t="shared" si="25"/>
        <v>2697.15</v>
      </c>
      <c r="Y82" s="2"/>
      <c r="Z82" s="7">
        <f t="shared" si="26"/>
        <v>1.2763163498530685</v>
      </c>
    </row>
    <row r="83" spans="1:26" s="24" customFormat="1" hidden="1" outlineLevel="2" x14ac:dyDescent="0.25">
      <c r="A83" s="25"/>
      <c r="B83" s="11" t="str">
        <f>CONCATENATE("          ", "6113", " - ", "GROUP INSURANCE")</f>
        <v xml:space="preserve">          6113 - GROUP INSURANCE</v>
      </c>
      <c r="C83" s="11"/>
      <c r="D83" s="6">
        <v>2826.13</v>
      </c>
      <c r="E83" s="2"/>
      <c r="F83" s="7">
        <f t="shared" si="19"/>
        <v>3.3944510604769426E-2</v>
      </c>
      <c r="G83" s="2"/>
      <c r="H83" s="6">
        <v>1382.14</v>
      </c>
      <c r="I83" s="2"/>
      <c r="J83" s="7">
        <f t="shared" si="20"/>
        <v>4.740639865305379E-3</v>
      </c>
      <c r="K83" s="2"/>
      <c r="L83" s="6">
        <f t="shared" si="21"/>
        <v>1443.99</v>
      </c>
      <c r="M83" s="2"/>
      <c r="N83" s="7">
        <f t="shared" si="22"/>
        <v>1.0447494465104836</v>
      </c>
      <c r="O83" s="11"/>
      <c r="P83" s="6">
        <v>14966.87</v>
      </c>
      <c r="Q83" s="2"/>
      <c r="R83" s="7">
        <f t="shared" si="23"/>
        <v>2.1084470204026384E-2</v>
      </c>
      <c r="S83" s="2"/>
      <c r="T83" s="6">
        <v>12429.17</v>
      </c>
      <c r="U83" s="2"/>
      <c r="V83" s="7">
        <f t="shared" si="24"/>
        <v>1.019219783453732E-2</v>
      </c>
      <c r="W83" s="2"/>
      <c r="X83" s="6">
        <f t="shared" si="25"/>
        <v>2537.7000000000007</v>
      </c>
      <c r="Y83" s="2"/>
      <c r="Z83" s="7">
        <f t="shared" si="26"/>
        <v>0.2041729254648541</v>
      </c>
    </row>
    <row r="84" spans="1:26" s="24" customFormat="1" hidden="1" outlineLevel="2" x14ac:dyDescent="0.25">
      <c r="A84" s="25"/>
      <c r="B84" s="11" t="str">
        <f>CONCATENATE("          ", "6114", " - ", "STATE UNEMPLOYMENT INSURANCE")</f>
        <v xml:space="preserve">          6114 - STATE UNEMPLOYMENT INSURANCE</v>
      </c>
      <c r="C84" s="11"/>
      <c r="D84" s="6">
        <v>123.92</v>
      </c>
      <c r="E84" s="2"/>
      <c r="F84" s="7">
        <f t="shared" si="19"/>
        <v>1.4883971204944669E-3</v>
      </c>
      <c r="G84" s="2"/>
      <c r="H84" s="6">
        <v>62.68</v>
      </c>
      <c r="I84" s="2"/>
      <c r="J84" s="7">
        <f t="shared" si="20"/>
        <v>2.1498784982515603E-4</v>
      </c>
      <c r="K84" s="2"/>
      <c r="L84" s="6">
        <f t="shared" si="21"/>
        <v>61.24</v>
      </c>
      <c r="M84" s="2"/>
      <c r="N84" s="7">
        <f t="shared" si="22"/>
        <v>0.97702616464582004</v>
      </c>
      <c r="O84" s="11"/>
      <c r="P84" s="6">
        <v>502.28</v>
      </c>
      <c r="Q84" s="2"/>
      <c r="R84" s="7">
        <f t="shared" si="23"/>
        <v>7.0758332865043729E-4</v>
      </c>
      <c r="S84" s="2"/>
      <c r="T84" s="6">
        <v>341.77</v>
      </c>
      <c r="U84" s="2"/>
      <c r="V84" s="7">
        <f t="shared" si="24"/>
        <v>2.8025905622900159E-4</v>
      </c>
      <c r="W84" s="2"/>
      <c r="X84" s="6">
        <f t="shared" si="25"/>
        <v>160.51</v>
      </c>
      <c r="Y84" s="2"/>
      <c r="Z84" s="7">
        <f t="shared" si="26"/>
        <v>0.46964332738391318</v>
      </c>
    </row>
    <row r="85" spans="1:26" s="24" customFormat="1" hidden="1" outlineLevel="2" x14ac:dyDescent="0.25">
      <c r="A85" s="25"/>
      <c r="B85" s="11" t="str">
        <f>CONCATENATE("          ", "6115", " - ", "P.E.R.S.")</f>
        <v xml:space="preserve">          6115 - P.E.R.S.</v>
      </c>
      <c r="C85" s="11"/>
      <c r="D85" s="6">
        <v>1942.92</v>
      </c>
      <c r="E85" s="2"/>
      <c r="F85" s="7">
        <f t="shared" si="19"/>
        <v>2.3336318054802369E-2</v>
      </c>
      <c r="G85" s="2"/>
      <c r="H85" s="6">
        <v>621.85</v>
      </c>
      <c r="I85" s="2"/>
      <c r="J85" s="7">
        <f t="shared" si="20"/>
        <v>2.132900357590512E-3</v>
      </c>
      <c r="K85" s="2"/>
      <c r="L85" s="6">
        <f t="shared" si="21"/>
        <v>1321.0700000000002</v>
      </c>
      <c r="M85" s="2"/>
      <c r="N85" s="7">
        <f t="shared" si="22"/>
        <v>2.1244190721235028</v>
      </c>
      <c r="O85" s="11"/>
      <c r="P85" s="6">
        <v>7760.28</v>
      </c>
      <c r="Q85" s="2"/>
      <c r="R85" s="7">
        <f t="shared" si="23"/>
        <v>1.0932238499759927E-2</v>
      </c>
      <c r="S85" s="2"/>
      <c r="T85" s="6">
        <v>4599.29</v>
      </c>
      <c r="U85" s="2"/>
      <c r="V85" s="7">
        <f t="shared" si="24"/>
        <v>3.7715208319146934E-3</v>
      </c>
      <c r="W85" s="2"/>
      <c r="X85" s="6">
        <f t="shared" si="25"/>
        <v>3160.99</v>
      </c>
      <c r="Y85" s="2"/>
      <c r="Z85" s="7">
        <f t="shared" si="26"/>
        <v>0.68727781896771023</v>
      </c>
    </row>
    <row r="86" spans="1:26" s="24" customFormat="1" hidden="1" outlineLevel="2" x14ac:dyDescent="0.25">
      <c r="A86" s="25"/>
      <c r="B86" s="11" t="str">
        <f>CONCATENATE("          ", "6118", " - ", "VACATION")</f>
        <v xml:space="preserve">          6118 - VACATION</v>
      </c>
      <c r="C86" s="11"/>
      <c r="D86" s="6">
        <v>1160.5</v>
      </c>
      <c r="E86" s="2"/>
      <c r="F86" s="7">
        <f t="shared" si="19"/>
        <v>1.3938709315153557E-2</v>
      </c>
      <c r="G86" s="2"/>
      <c r="H86" s="6">
        <v>622.44000000000005</v>
      </c>
      <c r="I86" s="2"/>
      <c r="J86" s="7">
        <f t="shared" si="20"/>
        <v>2.1349240147602129E-3</v>
      </c>
      <c r="K86" s="2"/>
      <c r="L86" s="6">
        <f t="shared" si="21"/>
        <v>538.05999999999995</v>
      </c>
      <c r="M86" s="2"/>
      <c r="N86" s="7">
        <f t="shared" si="22"/>
        <v>0.86443673285778533</v>
      </c>
      <c r="O86" s="11"/>
      <c r="P86" s="6">
        <v>5830.49</v>
      </c>
      <c r="Q86" s="2"/>
      <c r="R86" s="7">
        <f t="shared" si="23"/>
        <v>8.2136607507029714E-3</v>
      </c>
      <c r="S86" s="2"/>
      <c r="T86" s="6">
        <v>4025.45</v>
      </c>
      <c r="U86" s="2"/>
      <c r="V86" s="7">
        <f t="shared" si="24"/>
        <v>3.3009591769231779E-3</v>
      </c>
      <c r="W86" s="2"/>
      <c r="X86" s="6">
        <f t="shared" si="25"/>
        <v>1805.04</v>
      </c>
      <c r="Y86" s="2"/>
      <c r="Z86" s="7">
        <f t="shared" si="26"/>
        <v>0.44840701039635322</v>
      </c>
    </row>
    <row r="87" spans="1:26" s="24" customFormat="1" hidden="1" outlineLevel="2" x14ac:dyDescent="0.25">
      <c r="A87" s="25"/>
      <c r="B87" s="11" t="str">
        <f>CONCATENATE("          ", "6119", " - ", "SICK LEAVE")</f>
        <v xml:space="preserve">          6119 - SICK LEAVE</v>
      </c>
      <c r="C87" s="11"/>
      <c r="D87" s="6">
        <v>785.39</v>
      </c>
      <c r="E87" s="2"/>
      <c r="F87" s="7">
        <f t="shared" si="19"/>
        <v>9.4332812658582087E-3</v>
      </c>
      <c r="G87" s="2"/>
      <c r="H87" s="6">
        <v>373.16</v>
      </c>
      <c r="I87" s="2"/>
      <c r="J87" s="7">
        <f t="shared" si="20"/>
        <v>1.2799117109246207E-3</v>
      </c>
      <c r="K87" s="2"/>
      <c r="L87" s="6">
        <f t="shared" si="21"/>
        <v>412.22999999999996</v>
      </c>
      <c r="M87" s="2"/>
      <c r="N87" s="7">
        <f t="shared" si="22"/>
        <v>1.1047003966127129</v>
      </c>
      <c r="O87" s="11"/>
      <c r="P87" s="6">
        <v>4234.7299999999996</v>
      </c>
      <c r="Q87" s="2"/>
      <c r="R87" s="7">
        <f t="shared" si="23"/>
        <v>5.9656453558490606E-3</v>
      </c>
      <c r="S87" s="2"/>
      <c r="T87" s="6">
        <v>3917.91</v>
      </c>
      <c r="U87" s="2"/>
      <c r="V87" s="7">
        <f t="shared" si="24"/>
        <v>3.2127739678443623E-3</v>
      </c>
      <c r="W87" s="2"/>
      <c r="X87" s="6">
        <f t="shared" si="25"/>
        <v>316.81999999999971</v>
      </c>
      <c r="Y87" s="2"/>
      <c r="Z87" s="7">
        <f t="shared" si="26"/>
        <v>8.0864542574995271E-2</v>
      </c>
    </row>
    <row r="88" spans="1:26" s="24" customFormat="1" hidden="1" outlineLevel="2" x14ac:dyDescent="0.25">
      <c r="A88" s="25"/>
      <c r="B88" s="11" t="str">
        <f>CONCATENATE("          ", "6156", " - ", "EMPLOYEE MEALS")</f>
        <v xml:space="preserve">          6156 - EMPLOYEE MEALS</v>
      </c>
      <c r="C88" s="11"/>
      <c r="D88" s="6">
        <v>327.58999999999997</v>
      </c>
      <c r="E88" s="2"/>
      <c r="F88" s="7">
        <f t="shared" si="19"/>
        <v>3.9346676299449835E-3</v>
      </c>
      <c r="G88" s="2"/>
      <c r="H88" s="6">
        <v>174.43</v>
      </c>
      <c r="I88" s="2"/>
      <c r="J88" s="7">
        <f t="shared" si="20"/>
        <v>5.9828223747610031E-4</v>
      </c>
      <c r="K88" s="2"/>
      <c r="L88" s="6">
        <f t="shared" si="21"/>
        <v>153.15999999999997</v>
      </c>
      <c r="M88" s="2"/>
      <c r="N88" s="7">
        <f t="shared" si="22"/>
        <v>0.8780599667488389</v>
      </c>
      <c r="O88" s="11"/>
      <c r="P88" s="6">
        <v>1561.5</v>
      </c>
      <c r="Q88" s="2"/>
      <c r="R88" s="7">
        <f t="shared" si="23"/>
        <v>2.1997518668624232E-3</v>
      </c>
      <c r="S88" s="2"/>
      <c r="T88" s="6">
        <v>799.06</v>
      </c>
      <c r="U88" s="2"/>
      <c r="V88" s="7">
        <f t="shared" si="24"/>
        <v>6.5524710030238464E-4</v>
      </c>
      <c r="W88" s="2"/>
      <c r="X88" s="6">
        <f t="shared" si="25"/>
        <v>762.44</v>
      </c>
      <c r="Y88" s="2"/>
      <c r="Z88" s="7">
        <f t="shared" si="26"/>
        <v>0.95417115110254558</v>
      </c>
    </row>
    <row r="89" spans="1:26" s="26" customFormat="1" outlineLevel="1" collapsed="1" x14ac:dyDescent="0.25">
      <c r="A89" s="27"/>
      <c r="B89" s="13" t="str">
        <f>CONCATENATE("     ","*Payroll                                          ")</f>
        <v xml:space="preserve">     *Payroll                                          </v>
      </c>
      <c r="C89" s="13"/>
      <c r="D89" s="1">
        <f>SUM(OSRRefD22_1x_0)</f>
        <v>24334.95</v>
      </c>
      <c r="E89" s="1"/>
      <c r="F89" s="5">
        <f t="shared" ref="F89:F95" si="27">IF(D$12=0,0,D89/D$12)</f>
        <v>0.29228590628935464</v>
      </c>
      <c r="G89" s="1"/>
      <c r="H89" s="1">
        <f>SUM(OSRRefH22_1x_0)</f>
        <v>20918.82</v>
      </c>
      <c r="I89" s="1"/>
      <c r="J89" s="5">
        <f t="shared" ref="J89:J95" si="28">IF(H$12=0,0,H89/H$12)</f>
        <v>7.1750034024879866E-2</v>
      </c>
      <c r="K89" s="1"/>
      <c r="L89" s="1">
        <f t="shared" ref="L89:L95" si="29">+D89-H89</f>
        <v>3416.130000000001</v>
      </c>
      <c r="M89" s="1"/>
      <c r="N89" s="5">
        <f t="shared" ref="N89:N95" si="30">IF(H89=0,0,L89/H89)</f>
        <v>0.16330414430641887</v>
      </c>
      <c r="O89" s="13"/>
      <c r="P89" s="1">
        <f>SUM(OSRRefP22_1x_0)</f>
        <v>144499.00999999998</v>
      </c>
      <c r="Q89" s="1"/>
      <c r="R89" s="5">
        <f t="shared" ref="R89:R95" si="31">IF(P$12=0,0,P89/P$12)</f>
        <v>0.20356193852531024</v>
      </c>
      <c r="S89" s="1"/>
      <c r="T89" s="1">
        <f>SUM(OSRRefT22_1x_0)</f>
        <v>128348.77</v>
      </c>
      <c r="U89" s="1"/>
      <c r="V89" s="5">
        <f t="shared" ref="V89:V95" si="32">IF(T$12=0,0,T89/T$12)</f>
        <v>0.10524886663063814</v>
      </c>
      <c r="W89" s="1"/>
      <c r="X89" s="1">
        <f t="shared" ref="X89:X95" si="33">+P89-T89</f>
        <v>16150.239999999976</v>
      </c>
      <c r="Y89" s="1"/>
      <c r="Z89" s="5">
        <f t="shared" ref="Z89:Z95" si="34">IF(T89=0,0,X89/T89)</f>
        <v>0.12583089031550498</v>
      </c>
    </row>
    <row r="90" spans="1:26" s="24" customFormat="1" hidden="1" outlineLevel="2" x14ac:dyDescent="0.25">
      <c r="A90" s="25"/>
      <c r="B90" s="11" t="str">
        <f>CONCATENATE("          ", "6002", " - ", "STAFF SALARIES")</f>
        <v xml:space="preserve">          6002 - STAFF SALARIES</v>
      </c>
      <c r="C90" s="11"/>
      <c r="D90" s="6">
        <v>10484.01</v>
      </c>
      <c r="E90" s="2"/>
      <c r="F90" s="7">
        <f t="shared" si="27"/>
        <v>0.12592293653353126</v>
      </c>
      <c r="G90" s="2"/>
      <c r="H90" s="6">
        <v>7177.71</v>
      </c>
      <c r="I90" s="2"/>
      <c r="J90" s="7">
        <f t="shared" si="28"/>
        <v>2.4619024243275698E-2</v>
      </c>
      <c r="K90" s="2"/>
      <c r="L90" s="6">
        <f t="shared" si="29"/>
        <v>3306.3</v>
      </c>
      <c r="M90" s="2"/>
      <c r="N90" s="7">
        <f t="shared" si="30"/>
        <v>0.46063438060328438</v>
      </c>
      <c r="O90" s="11"/>
      <c r="P90" s="6">
        <v>61330.060000000005</v>
      </c>
      <c r="Q90" s="2"/>
      <c r="R90" s="7">
        <f t="shared" si="31"/>
        <v>8.6398279846163592E-2</v>
      </c>
      <c r="S90" s="2"/>
      <c r="T90" s="6">
        <v>45204.32</v>
      </c>
      <c r="U90" s="2"/>
      <c r="V90" s="7">
        <f t="shared" si="32"/>
        <v>3.7068555053614366E-2</v>
      </c>
      <c r="W90" s="2"/>
      <c r="X90" s="6">
        <f t="shared" si="33"/>
        <v>16125.740000000005</v>
      </c>
      <c r="Y90" s="2"/>
      <c r="Z90" s="7">
        <f t="shared" si="34"/>
        <v>0.35673006473717567</v>
      </c>
    </row>
    <row r="91" spans="1:26" s="24" customFormat="1" hidden="1" outlineLevel="2" x14ac:dyDescent="0.25">
      <c r="A91" s="25"/>
      <c r="B91" s="11" t="str">
        <f>CONCATENATE("          ", "6004", " - ", "STAFF HOURLY")</f>
        <v xml:space="preserve">          6004 - STAFF HOURLY</v>
      </c>
      <c r="C91" s="11"/>
      <c r="D91" s="6">
        <v>4738.05</v>
      </c>
      <c r="E91" s="2"/>
      <c r="F91" s="7">
        <f t="shared" si="27"/>
        <v>5.6908489160416464E-2</v>
      </c>
      <c r="G91" s="2"/>
      <c r="H91" s="6">
        <v>-912.61</v>
      </c>
      <c r="I91" s="2"/>
      <c r="J91" s="7">
        <f t="shared" si="28"/>
        <v>-3.1301860502382841E-3</v>
      </c>
      <c r="K91" s="2"/>
      <c r="L91" s="6">
        <f t="shared" si="29"/>
        <v>5650.66</v>
      </c>
      <c r="M91" s="2"/>
      <c r="N91" s="7">
        <f t="shared" si="30"/>
        <v>-6.1917577059203817</v>
      </c>
      <c r="O91" s="11"/>
      <c r="P91" s="6">
        <v>35687.06</v>
      </c>
      <c r="Q91" s="2"/>
      <c r="R91" s="7">
        <f t="shared" si="31"/>
        <v>5.0273888477637724E-2</v>
      </c>
      <c r="S91" s="2"/>
      <c r="T91" s="6">
        <v>-912.61</v>
      </c>
      <c r="U91" s="2"/>
      <c r="V91" s="7">
        <f t="shared" si="32"/>
        <v>-7.4836064401541727E-4</v>
      </c>
      <c r="W91" s="2"/>
      <c r="X91" s="6">
        <f t="shared" si="33"/>
        <v>36599.67</v>
      </c>
      <c r="Y91" s="2"/>
      <c r="Z91" s="7">
        <f t="shared" si="34"/>
        <v>-40.104392895103054</v>
      </c>
    </row>
    <row r="92" spans="1:26" s="24" customFormat="1" hidden="1" outlineLevel="2" x14ac:dyDescent="0.25">
      <c r="A92" s="25"/>
      <c r="B92" s="11" t="str">
        <f>CONCATENATE("          ", "6005", " - ", "TEMPORARY WAGES-HOURLY")</f>
        <v xml:space="preserve">          6005 - TEMPORARY WAGES-HOURLY</v>
      </c>
      <c r="C92" s="11"/>
      <c r="D92" s="6">
        <v>3585.74</v>
      </c>
      <c r="E92" s="2"/>
      <c r="F92" s="7">
        <f t="shared" si="27"/>
        <v>4.3068149538749427E-2</v>
      </c>
      <c r="G92" s="2"/>
      <c r="H92" s="6">
        <v>2924.66</v>
      </c>
      <c r="I92" s="2"/>
      <c r="J92" s="7">
        <f t="shared" si="28"/>
        <v>1.0031371488028731E-2</v>
      </c>
      <c r="K92" s="2"/>
      <c r="L92" s="6">
        <f t="shared" si="29"/>
        <v>661.07999999999993</v>
      </c>
      <c r="M92" s="2"/>
      <c r="N92" s="7">
        <f t="shared" si="30"/>
        <v>0.22603653074203495</v>
      </c>
      <c r="O92" s="11"/>
      <c r="P92" s="6">
        <v>19539.240000000002</v>
      </c>
      <c r="Q92" s="2"/>
      <c r="R92" s="7">
        <f t="shared" si="31"/>
        <v>2.7525763475551034E-2</v>
      </c>
      <c r="S92" s="2"/>
      <c r="T92" s="6">
        <v>18661.080000000002</v>
      </c>
      <c r="U92" s="2"/>
      <c r="V92" s="7">
        <f t="shared" si="32"/>
        <v>1.5302503639915433E-2</v>
      </c>
      <c r="W92" s="2"/>
      <c r="X92" s="6">
        <f t="shared" si="33"/>
        <v>878.15999999999985</v>
      </c>
      <c r="Y92" s="2"/>
      <c r="Z92" s="7">
        <f t="shared" si="34"/>
        <v>4.7058369612048165E-2</v>
      </c>
    </row>
    <row r="93" spans="1:26" s="24" customFormat="1" hidden="1" outlineLevel="2" x14ac:dyDescent="0.25">
      <c r="A93" s="25"/>
      <c r="B93" s="11" t="str">
        <f>CONCATENATE("          ", "6006", " - ", "TEMPORARY PART TIME")</f>
        <v xml:space="preserve">          6006 - TEMPORARY PART TIME</v>
      </c>
      <c r="C93" s="11"/>
      <c r="D93" s="6"/>
      <c r="E93" s="2"/>
      <c r="F93" s="7">
        <f t="shared" si="27"/>
        <v>0</v>
      </c>
      <c r="G93" s="2"/>
      <c r="H93" s="6"/>
      <c r="I93" s="2"/>
      <c r="J93" s="7">
        <f t="shared" si="28"/>
        <v>0</v>
      </c>
      <c r="K93" s="2"/>
      <c r="L93" s="6">
        <f t="shared" si="29"/>
        <v>0</v>
      </c>
      <c r="M93" s="2"/>
      <c r="N93" s="7">
        <f t="shared" si="30"/>
        <v>0</v>
      </c>
      <c r="O93" s="11"/>
      <c r="P93" s="6"/>
      <c r="Q93" s="2"/>
      <c r="R93" s="7">
        <f t="shared" si="31"/>
        <v>0</v>
      </c>
      <c r="S93" s="2"/>
      <c r="T93" s="6">
        <v>66.5</v>
      </c>
      <c r="U93" s="2"/>
      <c r="V93" s="7">
        <f t="shared" si="32"/>
        <v>5.4531489713048559E-5</v>
      </c>
      <c r="W93" s="2"/>
      <c r="X93" s="6">
        <f t="shared" si="33"/>
        <v>-66.5</v>
      </c>
      <c r="Y93" s="2"/>
      <c r="Z93" s="7">
        <f t="shared" si="34"/>
        <v>-1</v>
      </c>
    </row>
    <row r="94" spans="1:26" s="24" customFormat="1" hidden="1" outlineLevel="2" x14ac:dyDescent="0.25">
      <c r="A94" s="25"/>
      <c r="B94" s="11" t="str">
        <f>CONCATENATE("          ", "6007", " - ", "STUDENT HOURLY")</f>
        <v xml:space="preserve">          6007 - STUDENT HOURLY</v>
      </c>
      <c r="C94" s="11"/>
      <c r="D94" s="6">
        <v>4914.46</v>
      </c>
      <c r="E94" s="2"/>
      <c r="F94" s="7">
        <f t="shared" si="27"/>
        <v>5.9027341129642003E-2</v>
      </c>
      <c r="G94" s="2"/>
      <c r="H94" s="6">
        <v>11729.06</v>
      </c>
      <c r="I94" s="2"/>
      <c r="J94" s="7">
        <f t="shared" si="28"/>
        <v>4.0229824343813725E-2</v>
      </c>
      <c r="K94" s="2"/>
      <c r="L94" s="6">
        <f t="shared" si="29"/>
        <v>-6814.5999999999995</v>
      </c>
      <c r="M94" s="2"/>
      <c r="N94" s="7">
        <f t="shared" si="30"/>
        <v>-0.58100137606935254</v>
      </c>
      <c r="O94" s="11"/>
      <c r="P94" s="6">
        <v>25360.129999999997</v>
      </c>
      <c r="Q94" s="2"/>
      <c r="R94" s="7">
        <f t="shared" si="31"/>
        <v>3.5725900295468294E-2</v>
      </c>
      <c r="S94" s="2"/>
      <c r="T94" s="6">
        <v>65134.48</v>
      </c>
      <c r="U94" s="2"/>
      <c r="V94" s="7">
        <f t="shared" si="32"/>
        <v>5.3411732723079211E-2</v>
      </c>
      <c r="W94" s="2"/>
      <c r="X94" s="6">
        <f t="shared" si="33"/>
        <v>-39774.350000000006</v>
      </c>
      <c r="Y94" s="2"/>
      <c r="Z94" s="7">
        <f t="shared" si="34"/>
        <v>-0.61064968968816524</v>
      </c>
    </row>
    <row r="95" spans="1:26" s="24" customFormat="1" hidden="1" outlineLevel="2" x14ac:dyDescent="0.25">
      <c r="A95" s="25"/>
      <c r="B95" s="11" t="str">
        <f>CONCATENATE("          ", "6008", " - ", "STUDENT HOURLY-FICA EXEMPT")</f>
        <v xml:space="preserve">          6008 - STUDENT HOURLY-FICA EXEMPT</v>
      </c>
      <c r="C95" s="11"/>
      <c r="D95" s="6">
        <v>612.69000000000005</v>
      </c>
      <c r="E95" s="2"/>
      <c r="F95" s="7">
        <f t="shared" si="27"/>
        <v>7.3589899270154529E-3</v>
      </c>
      <c r="G95" s="2"/>
      <c r="H95" s="6"/>
      <c r="I95" s="2"/>
      <c r="J95" s="7">
        <f t="shared" si="28"/>
        <v>0</v>
      </c>
      <c r="K95" s="2"/>
      <c r="L95" s="6">
        <f t="shared" si="29"/>
        <v>612.69000000000005</v>
      </c>
      <c r="M95" s="2"/>
      <c r="N95" s="7">
        <f t="shared" si="30"/>
        <v>0</v>
      </c>
      <c r="O95" s="11"/>
      <c r="P95" s="6">
        <v>2582.52</v>
      </c>
      <c r="Q95" s="2"/>
      <c r="R95" s="7">
        <f t="shared" si="31"/>
        <v>3.6381064304896221E-3</v>
      </c>
      <c r="S95" s="2"/>
      <c r="T95" s="6">
        <v>195</v>
      </c>
      <c r="U95" s="2"/>
      <c r="V95" s="7">
        <f t="shared" si="32"/>
        <v>1.5990436833149578E-4</v>
      </c>
      <c r="W95" s="2"/>
      <c r="X95" s="6">
        <f t="shared" si="33"/>
        <v>2387.52</v>
      </c>
      <c r="Y95" s="2"/>
      <c r="Z95" s="7">
        <f t="shared" si="34"/>
        <v>12.243692307692308</v>
      </c>
    </row>
    <row r="96" spans="1:26" s="26" customFormat="1" outlineLevel="1" collapsed="1" x14ac:dyDescent="0.25">
      <c r="A96" s="27"/>
      <c r="B96" s="13" t="str">
        <f>CONCATENATE("     ","Advertising/Promo                                 ")</f>
        <v xml:space="preserve">     Advertising/Promo                                 </v>
      </c>
      <c r="C96" s="13"/>
      <c r="D96" s="1">
        <f>SUM(OSRRefD22_2x_0)</f>
        <v>513.5</v>
      </c>
      <c r="E96" s="1"/>
      <c r="F96" s="5">
        <f t="shared" ref="F96:F100" si="35">IF(D$12=0,0,D96/D$12)</f>
        <v>6.1676236392342538E-3</v>
      </c>
      <c r="G96" s="1"/>
      <c r="H96" s="1">
        <f>SUM(OSRRefH22_2x_0)</f>
        <v>3744.83</v>
      </c>
      <c r="I96" s="1"/>
      <c r="J96" s="5">
        <f t="shared" ref="J96:J100" si="36">IF(H$12=0,0,H96/H$12)</f>
        <v>1.284449504883119E-2</v>
      </c>
      <c r="K96" s="1"/>
      <c r="L96" s="1">
        <f t="shared" ref="L96:L100" si="37">+D96-H96</f>
        <v>-3231.33</v>
      </c>
      <c r="M96" s="1"/>
      <c r="N96" s="5">
        <f t="shared" ref="N96:N100" si="38">IF(H96=0,0,L96/H96)</f>
        <v>-0.8628776206129517</v>
      </c>
      <c r="O96" s="13"/>
      <c r="P96" s="1">
        <f>SUM(OSRRefP22_2x_0)</f>
        <v>11802.65</v>
      </c>
      <c r="Q96" s="1"/>
      <c r="R96" s="5">
        <f t="shared" ref="R96:R100" si="39">IF(P$12=0,0,P96/P$12)</f>
        <v>1.6626898092490412E-2</v>
      </c>
      <c r="S96" s="1"/>
      <c r="T96" s="1">
        <f>SUM(OSRRefT22_2x_0)</f>
        <v>9307.31</v>
      </c>
      <c r="U96" s="1"/>
      <c r="V96" s="5">
        <f t="shared" ref="V96:V100" si="40">IF(T$12=0,0,T96/T$12)</f>
        <v>7.6322026995662255E-3</v>
      </c>
      <c r="W96" s="1"/>
      <c r="X96" s="1">
        <f t="shared" ref="X96:X100" si="41">+P96-T96</f>
        <v>2495.34</v>
      </c>
      <c r="Y96" s="1"/>
      <c r="Z96" s="5">
        <f t="shared" ref="Z96:Z100" si="42">IF(T96=0,0,X96/T96)</f>
        <v>0.26810539242810222</v>
      </c>
    </row>
    <row r="97" spans="1:26" s="24" customFormat="1" hidden="1" outlineLevel="2" x14ac:dyDescent="0.25">
      <c r="A97" s="25"/>
      <c r="B97" s="11" t="str">
        <f>CONCATENATE("          ", "6362", " - ", "ADVERTISING EXPENSE")</f>
        <v xml:space="preserve">          6362 - ADVERTISING EXPENSE</v>
      </c>
      <c r="C97" s="11"/>
      <c r="D97" s="6">
        <v>513.5</v>
      </c>
      <c r="E97" s="2"/>
      <c r="F97" s="7">
        <f t="shared" si="35"/>
        <v>6.1676236392342538E-3</v>
      </c>
      <c r="G97" s="2"/>
      <c r="H97" s="6">
        <v>3744.83</v>
      </c>
      <c r="I97" s="2"/>
      <c r="J97" s="7">
        <f t="shared" si="36"/>
        <v>1.284449504883119E-2</v>
      </c>
      <c r="K97" s="2"/>
      <c r="L97" s="6">
        <f t="shared" si="37"/>
        <v>-3231.33</v>
      </c>
      <c r="M97" s="2"/>
      <c r="N97" s="7">
        <f t="shared" si="38"/>
        <v>-0.8628776206129517</v>
      </c>
      <c r="O97" s="11"/>
      <c r="P97" s="6">
        <v>11802.65</v>
      </c>
      <c r="Q97" s="2"/>
      <c r="R97" s="7">
        <f t="shared" si="39"/>
        <v>1.6626898092490412E-2</v>
      </c>
      <c r="S97" s="2"/>
      <c r="T97" s="6">
        <v>9307.31</v>
      </c>
      <c r="U97" s="2"/>
      <c r="V97" s="7">
        <f t="shared" si="40"/>
        <v>7.6322026995662255E-3</v>
      </c>
      <c r="W97" s="2"/>
      <c r="X97" s="6">
        <f t="shared" si="41"/>
        <v>2495.34</v>
      </c>
      <c r="Y97" s="2"/>
      <c r="Z97" s="7">
        <f t="shared" si="42"/>
        <v>0.26810539242810222</v>
      </c>
    </row>
    <row r="98" spans="1:26" s="26" customFormat="1" outlineLevel="1" collapsed="1" x14ac:dyDescent="0.25">
      <c r="A98" s="27"/>
      <c r="B98" s="13" t="str">
        <f>CONCATENATE("     ","Discounts and Markdowns                           ")</f>
        <v xml:space="preserve">     Discounts and Markdowns                           </v>
      </c>
      <c r="C98" s="13"/>
      <c r="D98" s="1">
        <f>SUM(OSRRefD22_3x_0)</f>
        <v>0</v>
      </c>
      <c r="E98" s="1"/>
      <c r="F98" s="5">
        <f t="shared" si="35"/>
        <v>0</v>
      </c>
      <c r="G98" s="1"/>
      <c r="H98" s="1">
        <f>SUM(OSRRefH22_3x_0)</f>
        <v>38451.550000000003</v>
      </c>
      <c r="I98" s="1"/>
      <c r="J98" s="5">
        <f t="shared" si="36"/>
        <v>0.13188602515865475</v>
      </c>
      <c r="K98" s="1"/>
      <c r="L98" s="1">
        <f t="shared" si="37"/>
        <v>-38451.550000000003</v>
      </c>
      <c r="M98" s="1"/>
      <c r="N98" s="5">
        <f t="shared" si="38"/>
        <v>-1</v>
      </c>
      <c r="O98" s="13"/>
      <c r="P98" s="1">
        <f>SUM(OSRRefP22_3x_0)</f>
        <v>0</v>
      </c>
      <c r="Q98" s="1"/>
      <c r="R98" s="5">
        <f t="shared" si="39"/>
        <v>0</v>
      </c>
      <c r="S98" s="1"/>
      <c r="T98" s="1">
        <f>SUM(OSRRefT22_3x_0)</f>
        <v>102856.39</v>
      </c>
      <c r="U98" s="1"/>
      <c r="V98" s="5">
        <f t="shared" si="40"/>
        <v>8.434454395798964E-2</v>
      </c>
      <c r="W98" s="1"/>
      <c r="X98" s="1">
        <f t="shared" si="41"/>
        <v>-102856.39</v>
      </c>
      <c r="Y98" s="1"/>
      <c r="Z98" s="5">
        <f t="shared" si="42"/>
        <v>-1</v>
      </c>
    </row>
    <row r="99" spans="1:26" s="24" customFormat="1" hidden="1" outlineLevel="2" x14ac:dyDescent="0.25">
      <c r="A99" s="25"/>
      <c r="B99" s="11" t="str">
        <f>CONCATENATE("          ", "6382", " - ", "DISCOUNTS/MARK DOWNS")</f>
        <v xml:space="preserve">          6382 - DISCOUNTS/MARK DOWNS</v>
      </c>
      <c r="C99" s="11"/>
      <c r="D99" s="6"/>
      <c r="E99" s="2"/>
      <c r="F99" s="7">
        <f t="shared" si="35"/>
        <v>0</v>
      </c>
      <c r="G99" s="2"/>
      <c r="H99" s="6">
        <v>38451.550000000003</v>
      </c>
      <c r="I99" s="2"/>
      <c r="J99" s="7">
        <f t="shared" si="36"/>
        <v>0.13188602515865475</v>
      </c>
      <c r="K99" s="2"/>
      <c r="L99" s="6">
        <f t="shared" si="37"/>
        <v>-38451.550000000003</v>
      </c>
      <c r="M99" s="2"/>
      <c r="N99" s="7">
        <f t="shared" si="38"/>
        <v>-1</v>
      </c>
      <c r="O99" s="11"/>
      <c r="P99" s="6"/>
      <c r="Q99" s="2"/>
      <c r="R99" s="7">
        <f t="shared" si="39"/>
        <v>0</v>
      </c>
      <c r="S99" s="2"/>
      <c r="T99" s="6">
        <v>102863.86</v>
      </c>
      <c r="U99" s="2"/>
      <c r="V99" s="7">
        <f t="shared" si="40"/>
        <v>8.4350669525330338E-2</v>
      </c>
      <c r="W99" s="2"/>
      <c r="X99" s="6">
        <f t="shared" si="41"/>
        <v>-102863.86</v>
      </c>
      <c r="Y99" s="2"/>
      <c r="Z99" s="7">
        <f t="shared" si="42"/>
        <v>-1</v>
      </c>
    </row>
    <row r="100" spans="1:26" s="24" customFormat="1" hidden="1" outlineLevel="2" x14ac:dyDescent="0.25">
      <c r="A100" s="25"/>
      <c r="B100" s="11" t="str">
        <f>CONCATENATE("          ", "9175", " - ", "EARNED DISCOUNTS")</f>
        <v xml:space="preserve">          9175 - EARNED DISCOUNTS</v>
      </c>
      <c r="C100" s="11"/>
      <c r="D100" s="6"/>
      <c r="E100" s="2"/>
      <c r="F100" s="7">
        <f t="shared" si="35"/>
        <v>0</v>
      </c>
      <c r="G100" s="2"/>
      <c r="H100" s="6"/>
      <c r="I100" s="2"/>
      <c r="J100" s="7">
        <f t="shared" si="36"/>
        <v>0</v>
      </c>
      <c r="K100" s="2"/>
      <c r="L100" s="6">
        <f t="shared" si="37"/>
        <v>0</v>
      </c>
      <c r="M100" s="2"/>
      <c r="N100" s="7">
        <f t="shared" si="38"/>
        <v>0</v>
      </c>
      <c r="O100" s="11"/>
      <c r="P100" s="6"/>
      <c r="Q100" s="2"/>
      <c r="R100" s="7">
        <f t="shared" si="39"/>
        <v>0</v>
      </c>
      <c r="S100" s="2"/>
      <c r="T100" s="6">
        <v>-7.47</v>
      </c>
      <c r="U100" s="2"/>
      <c r="V100" s="7">
        <f t="shared" si="40"/>
        <v>-6.1255673406988386E-6</v>
      </c>
      <c r="W100" s="2"/>
      <c r="X100" s="6">
        <f t="shared" si="41"/>
        <v>7.47</v>
      </c>
      <c r="Y100" s="2"/>
      <c r="Z100" s="7">
        <f t="shared" si="42"/>
        <v>-1</v>
      </c>
    </row>
    <row r="101" spans="1:26" s="26" customFormat="1" outlineLevel="1" collapsed="1" x14ac:dyDescent="0.25">
      <c r="A101" s="27"/>
      <c r="B101" s="13" t="str">
        <f>CONCATENATE("     ","Employees' Appreciation                           ")</f>
        <v xml:space="preserve">     Employees' Appreciation                           </v>
      </c>
      <c r="C101" s="13"/>
      <c r="D101" s="1">
        <f>SUM(OSRRefD22_4x_0)</f>
        <v>0</v>
      </c>
      <c r="E101" s="1"/>
      <c r="F101" s="5">
        <f t="shared" ref="F101:F105" si="43">IF(D$12=0,0,D101/D$12)</f>
        <v>0</v>
      </c>
      <c r="G101" s="1"/>
      <c r="H101" s="1">
        <f>SUM(OSRRefH22_4x_0)</f>
        <v>136.5</v>
      </c>
      <c r="I101" s="1"/>
      <c r="J101" s="5">
        <f t="shared" ref="J101:J105" si="44">IF(H$12=0,0,H101/H$12)</f>
        <v>4.6818509095618695E-4</v>
      </c>
      <c r="K101" s="1"/>
      <c r="L101" s="1">
        <f t="shared" ref="L101:L105" si="45">+D101-H101</f>
        <v>-136.5</v>
      </c>
      <c r="M101" s="1"/>
      <c r="N101" s="5">
        <f t="shared" ref="N101:N105" si="46">IF(H101=0,0,L101/H101)</f>
        <v>-1</v>
      </c>
      <c r="O101" s="13"/>
      <c r="P101" s="1">
        <f>SUM(OSRRefP22_4x_0)</f>
        <v>0</v>
      </c>
      <c r="Q101" s="1"/>
      <c r="R101" s="5">
        <f t="shared" ref="R101:R105" si="47">IF(P$12=0,0,P101/P$12)</f>
        <v>0</v>
      </c>
      <c r="S101" s="1"/>
      <c r="T101" s="1">
        <f>SUM(OSRRefT22_4x_0)</f>
        <v>209.48</v>
      </c>
      <c r="U101" s="1"/>
      <c r="V101" s="5">
        <f t="shared" ref="V101:V105" si="48">IF(T$12=0,0,T101/T$12)</f>
        <v>1.7177829270811145E-4</v>
      </c>
      <c r="W101" s="1"/>
      <c r="X101" s="1">
        <f t="shared" ref="X101:X105" si="49">+P101-T101</f>
        <v>-209.48</v>
      </c>
      <c r="Y101" s="1"/>
      <c r="Z101" s="5">
        <f t="shared" ref="Z101:Z105" si="50">IF(T101=0,0,X101/T101)</f>
        <v>-1</v>
      </c>
    </row>
    <row r="102" spans="1:26" s="24" customFormat="1" hidden="1" outlineLevel="2" x14ac:dyDescent="0.25">
      <c r="A102" s="25"/>
      <c r="B102" s="11" t="str">
        <f>CONCATENATE("          ", "6277", " - ", "EMPLOYEE APPRECIATION")</f>
        <v xml:space="preserve">          6277 - EMPLOYEE APPRECIATION</v>
      </c>
      <c r="C102" s="11"/>
      <c r="D102" s="6"/>
      <c r="E102" s="2"/>
      <c r="F102" s="7">
        <f t="shared" si="43"/>
        <v>0</v>
      </c>
      <c r="G102" s="2"/>
      <c r="H102" s="6">
        <v>136.5</v>
      </c>
      <c r="I102" s="2"/>
      <c r="J102" s="7">
        <f t="shared" si="44"/>
        <v>4.6818509095618695E-4</v>
      </c>
      <c r="K102" s="2"/>
      <c r="L102" s="6">
        <f t="shared" si="45"/>
        <v>-136.5</v>
      </c>
      <c r="M102" s="2"/>
      <c r="N102" s="7">
        <f t="shared" si="46"/>
        <v>-1</v>
      </c>
      <c r="O102" s="11"/>
      <c r="P102" s="6"/>
      <c r="Q102" s="2"/>
      <c r="R102" s="7">
        <f t="shared" si="47"/>
        <v>0</v>
      </c>
      <c r="S102" s="2"/>
      <c r="T102" s="6">
        <v>209.48</v>
      </c>
      <c r="U102" s="2"/>
      <c r="V102" s="7">
        <f t="shared" si="48"/>
        <v>1.7177829270811145E-4</v>
      </c>
      <c r="W102" s="2"/>
      <c r="X102" s="6">
        <f t="shared" si="49"/>
        <v>-209.48</v>
      </c>
      <c r="Y102" s="2"/>
      <c r="Z102" s="7">
        <f t="shared" si="50"/>
        <v>-1</v>
      </c>
    </row>
    <row r="103" spans="1:26" s="26" customFormat="1" outlineLevel="1" collapsed="1" x14ac:dyDescent="0.25">
      <c r="A103" s="27"/>
      <c r="B103" s="13" t="str">
        <f>CONCATENATE("     ","Freight out/Postage                               ")</f>
        <v xml:space="preserve">     Freight out/Postage                               </v>
      </c>
      <c r="C103" s="13"/>
      <c r="D103" s="1">
        <f>SUM(OSRRefD22_5x_0)</f>
        <v>0</v>
      </c>
      <c r="E103" s="1"/>
      <c r="F103" s="5">
        <f t="shared" si="43"/>
        <v>0</v>
      </c>
      <c r="G103" s="1"/>
      <c r="H103" s="1">
        <f>SUM(OSRRefH22_5x_0)</f>
        <v>0</v>
      </c>
      <c r="I103" s="1"/>
      <c r="J103" s="5">
        <f t="shared" si="44"/>
        <v>0</v>
      </c>
      <c r="K103" s="1"/>
      <c r="L103" s="1">
        <f t="shared" si="45"/>
        <v>0</v>
      </c>
      <c r="M103" s="1"/>
      <c r="N103" s="5">
        <f t="shared" si="46"/>
        <v>0</v>
      </c>
      <c r="O103" s="13"/>
      <c r="P103" s="1">
        <f>SUM(OSRRefP22_5x_0)</f>
        <v>91.96</v>
      </c>
      <c r="Q103" s="1"/>
      <c r="R103" s="5">
        <f t="shared" si="47"/>
        <v>1.2954798698473804E-4</v>
      </c>
      <c r="S103" s="1"/>
      <c r="T103" s="1">
        <f>SUM(OSRRefT22_5x_0)</f>
        <v>70.5</v>
      </c>
      <c r="U103" s="1"/>
      <c r="V103" s="5">
        <f t="shared" si="48"/>
        <v>5.7811579319848474E-5</v>
      </c>
      <c r="W103" s="1"/>
      <c r="X103" s="1">
        <f t="shared" si="49"/>
        <v>21.459999999999994</v>
      </c>
      <c r="Y103" s="1"/>
      <c r="Z103" s="5">
        <f t="shared" si="50"/>
        <v>0.3043971631205673</v>
      </c>
    </row>
    <row r="104" spans="1:26" s="24" customFormat="1" hidden="1" outlineLevel="2" x14ac:dyDescent="0.25">
      <c r="A104" s="25"/>
      <c r="B104" s="11" t="str">
        <f>CONCATENATE("          ", "6305", " - ", "FREIGHT OUT")</f>
        <v xml:space="preserve">          6305 - FREIGHT OUT</v>
      </c>
      <c r="C104" s="11"/>
      <c r="D104" s="6"/>
      <c r="E104" s="2"/>
      <c r="F104" s="7">
        <f t="shared" si="43"/>
        <v>0</v>
      </c>
      <c r="G104" s="2"/>
      <c r="H104" s="6"/>
      <c r="I104" s="2"/>
      <c r="J104" s="7">
        <f t="shared" si="44"/>
        <v>0</v>
      </c>
      <c r="K104" s="2"/>
      <c r="L104" s="6">
        <f t="shared" si="45"/>
        <v>0</v>
      </c>
      <c r="M104" s="2"/>
      <c r="N104" s="7">
        <f t="shared" si="46"/>
        <v>0</v>
      </c>
      <c r="O104" s="11"/>
      <c r="P104" s="6">
        <v>91.96</v>
      </c>
      <c r="Q104" s="2"/>
      <c r="R104" s="7">
        <f t="shared" si="47"/>
        <v>1.2954798698473804E-4</v>
      </c>
      <c r="S104" s="2"/>
      <c r="T104" s="6">
        <v>70</v>
      </c>
      <c r="U104" s="2"/>
      <c r="V104" s="7">
        <f t="shared" si="48"/>
        <v>5.7401568118998488E-5</v>
      </c>
      <c r="W104" s="2"/>
      <c r="X104" s="6">
        <f t="shared" si="49"/>
        <v>21.959999999999994</v>
      </c>
      <c r="Y104" s="2"/>
      <c r="Z104" s="7">
        <f t="shared" si="50"/>
        <v>0.31371428571428561</v>
      </c>
    </row>
    <row r="105" spans="1:26" s="24" customFormat="1" hidden="1" outlineLevel="2" x14ac:dyDescent="0.25">
      <c r="A105" s="25"/>
      <c r="B105" s="11" t="str">
        <f>CONCATENATE("          ", "6307", " - ", "POSTAGE")</f>
        <v xml:space="preserve">          6307 - POSTAGE</v>
      </c>
      <c r="C105" s="11"/>
      <c r="D105" s="6"/>
      <c r="E105" s="2"/>
      <c r="F105" s="7">
        <f t="shared" si="43"/>
        <v>0</v>
      </c>
      <c r="G105" s="2"/>
      <c r="H105" s="6"/>
      <c r="I105" s="2"/>
      <c r="J105" s="7">
        <f t="shared" si="44"/>
        <v>0</v>
      </c>
      <c r="K105" s="2"/>
      <c r="L105" s="6">
        <f t="shared" si="45"/>
        <v>0</v>
      </c>
      <c r="M105" s="2"/>
      <c r="N105" s="7">
        <f t="shared" si="46"/>
        <v>0</v>
      </c>
      <c r="O105" s="11"/>
      <c r="P105" s="6"/>
      <c r="Q105" s="2"/>
      <c r="R105" s="7">
        <f t="shared" si="47"/>
        <v>0</v>
      </c>
      <c r="S105" s="2"/>
      <c r="T105" s="6">
        <v>0.5</v>
      </c>
      <c r="U105" s="2"/>
      <c r="V105" s="7">
        <f t="shared" si="48"/>
        <v>4.1001120084998916E-7</v>
      </c>
      <c r="W105" s="2"/>
      <c r="X105" s="6">
        <f t="shared" si="49"/>
        <v>-0.5</v>
      </c>
      <c r="Y105" s="2"/>
      <c r="Z105" s="7">
        <f t="shared" si="50"/>
        <v>-1</v>
      </c>
    </row>
    <row r="106" spans="1:26" s="26" customFormat="1" outlineLevel="1" collapsed="1" x14ac:dyDescent="0.25">
      <c r="A106" s="27"/>
      <c r="B106" s="13" t="str">
        <f>CONCATENATE("     ","Inventory Adjustment                              ")</f>
        <v xml:space="preserve">     Inventory Adjustment                              </v>
      </c>
      <c r="C106" s="13"/>
      <c r="D106" s="1">
        <f>SUM(OSRRefD22_6x_0)</f>
        <v>1000</v>
      </c>
      <c r="E106" s="1"/>
      <c r="F106" s="5">
        <f t="shared" ref="F106:F110" si="51">IF(D$12=0,0,D106/D$12)</f>
        <v>1.2010951585655801E-2</v>
      </c>
      <c r="G106" s="1"/>
      <c r="H106" s="1">
        <f>SUM(OSRRefH22_6x_0)</f>
        <v>2850</v>
      </c>
      <c r="I106" s="1"/>
      <c r="J106" s="5">
        <f t="shared" ref="J106:J110" si="52">IF(H$12=0,0,H106/H$12)</f>
        <v>9.7752931078764309E-3</v>
      </c>
      <c r="K106" s="1"/>
      <c r="L106" s="1">
        <f t="shared" ref="L106:L110" si="53">+D106-H106</f>
        <v>-1850</v>
      </c>
      <c r="M106" s="1"/>
      <c r="N106" s="5">
        <f t="shared" ref="N106:N110" si="54">IF(H106=0,0,L106/H106)</f>
        <v>-0.64912280701754388</v>
      </c>
      <c r="O106" s="13"/>
      <c r="P106" s="1">
        <f>SUM(OSRRefP22_6x_0)</f>
        <v>5000</v>
      </c>
      <c r="Q106" s="1"/>
      <c r="R106" s="5">
        <f t="shared" ref="R106:R110" si="55">IF(P$12=0,0,P106/P$12)</f>
        <v>7.043713950888323E-3</v>
      </c>
      <c r="S106" s="1"/>
      <c r="T106" s="1">
        <f>SUM(OSRRefT22_6x_0)</f>
        <v>14250</v>
      </c>
      <c r="U106" s="1"/>
      <c r="V106" s="5">
        <f t="shared" ref="V106:V110" si="56">IF(T$12=0,0,T106/T$12)</f>
        <v>1.1685319224224692E-2</v>
      </c>
      <c r="W106" s="1"/>
      <c r="X106" s="1">
        <f t="shared" ref="X106:X110" si="57">+P106-T106</f>
        <v>-9250</v>
      </c>
      <c r="Y106" s="1"/>
      <c r="Z106" s="5">
        <f t="shared" ref="Z106:Z110" si="58">IF(T106=0,0,X106/T106)</f>
        <v>-0.64912280701754388</v>
      </c>
    </row>
    <row r="107" spans="1:26" s="24" customFormat="1" hidden="1" outlineLevel="2" x14ac:dyDescent="0.25">
      <c r="A107" s="25"/>
      <c r="B107" s="11" t="str">
        <f>CONCATENATE("          ", "6408", " - ", "INVENTORY ADJUSTMENT")</f>
        <v xml:space="preserve">          6408 - INVENTORY ADJUSTMENT</v>
      </c>
      <c r="C107" s="11"/>
      <c r="D107" s="6">
        <v>1000</v>
      </c>
      <c r="E107" s="2"/>
      <c r="F107" s="7">
        <f t="shared" si="51"/>
        <v>1.2010951585655801E-2</v>
      </c>
      <c r="G107" s="2"/>
      <c r="H107" s="6">
        <v>2850</v>
      </c>
      <c r="I107" s="2"/>
      <c r="J107" s="7">
        <f t="shared" si="52"/>
        <v>9.7752931078764309E-3</v>
      </c>
      <c r="K107" s="2"/>
      <c r="L107" s="6">
        <f t="shared" si="53"/>
        <v>-1850</v>
      </c>
      <c r="M107" s="2"/>
      <c r="N107" s="7">
        <f t="shared" si="54"/>
        <v>-0.64912280701754388</v>
      </c>
      <c r="O107" s="11"/>
      <c r="P107" s="6">
        <v>5000</v>
      </c>
      <c r="Q107" s="2"/>
      <c r="R107" s="7">
        <f t="shared" si="55"/>
        <v>7.043713950888323E-3</v>
      </c>
      <c r="S107" s="2"/>
      <c r="T107" s="6">
        <v>14250</v>
      </c>
      <c r="U107" s="2"/>
      <c r="V107" s="7">
        <f t="shared" si="56"/>
        <v>1.1685319224224692E-2</v>
      </c>
      <c r="W107" s="2"/>
      <c r="X107" s="6">
        <f t="shared" si="57"/>
        <v>-9250</v>
      </c>
      <c r="Y107" s="2"/>
      <c r="Z107" s="7">
        <f t="shared" si="58"/>
        <v>-0.64912280701754388</v>
      </c>
    </row>
    <row r="108" spans="1:26" s="26" customFormat="1" outlineLevel="1" collapsed="1" x14ac:dyDescent="0.25">
      <c r="A108" s="27"/>
      <c r="B108" s="13" t="str">
        <f>CONCATENATE("     ","Royalty &amp; Commissions                             ")</f>
        <v xml:space="preserve">     Royalty &amp; Commissions                             </v>
      </c>
      <c r="C108" s="13"/>
      <c r="D108" s="1">
        <f>SUM(OSRRefD22_7x_0)</f>
        <v>0</v>
      </c>
      <c r="E108" s="1"/>
      <c r="F108" s="5">
        <f t="shared" si="51"/>
        <v>0</v>
      </c>
      <c r="G108" s="1"/>
      <c r="H108" s="1">
        <f>SUM(OSRRefH22_7x_0)</f>
        <v>803.23</v>
      </c>
      <c r="I108" s="1"/>
      <c r="J108" s="5">
        <f t="shared" si="52"/>
        <v>2.7550205905402057E-3</v>
      </c>
      <c r="K108" s="1"/>
      <c r="L108" s="1">
        <f t="shared" si="53"/>
        <v>-803.23</v>
      </c>
      <c r="M108" s="1"/>
      <c r="N108" s="5">
        <f t="shared" si="54"/>
        <v>-1</v>
      </c>
      <c r="O108" s="13"/>
      <c r="P108" s="1">
        <f>SUM(OSRRefP22_7x_0)</f>
        <v>18411.8</v>
      </c>
      <c r="Q108" s="1"/>
      <c r="R108" s="5">
        <f t="shared" si="55"/>
        <v>2.5937490504193122E-2</v>
      </c>
      <c r="S108" s="1"/>
      <c r="T108" s="1">
        <f>SUM(OSRRefT22_7x_0)</f>
        <v>6668.07</v>
      </c>
      <c r="U108" s="1"/>
      <c r="V108" s="5">
        <f t="shared" si="56"/>
        <v>5.4679667761035741E-3</v>
      </c>
      <c r="W108" s="1"/>
      <c r="X108" s="1">
        <f t="shared" si="57"/>
        <v>11743.73</v>
      </c>
      <c r="Y108" s="1"/>
      <c r="Z108" s="5">
        <f t="shared" si="58"/>
        <v>1.7611887697639648</v>
      </c>
    </row>
    <row r="109" spans="1:26" s="24" customFormat="1" hidden="1" outlineLevel="2" x14ac:dyDescent="0.25">
      <c r="A109" s="25"/>
      <c r="B109" s="11" t="str">
        <f>CONCATENATE("          ", "6253", " - ", "ROYALTY DUE ATHLETICS-LRG")</f>
        <v xml:space="preserve">          6253 - ROYALTY DUE ATHLETICS-LRG</v>
      </c>
      <c r="C109" s="11"/>
      <c r="D109" s="6"/>
      <c r="E109" s="2"/>
      <c r="F109" s="7">
        <f t="shared" si="51"/>
        <v>0</v>
      </c>
      <c r="G109" s="2"/>
      <c r="H109" s="6"/>
      <c r="I109" s="2"/>
      <c r="J109" s="7">
        <f t="shared" si="52"/>
        <v>0</v>
      </c>
      <c r="K109" s="2"/>
      <c r="L109" s="6">
        <f t="shared" si="53"/>
        <v>0</v>
      </c>
      <c r="M109" s="2"/>
      <c r="N109" s="7">
        <f t="shared" si="54"/>
        <v>0</v>
      </c>
      <c r="O109" s="11"/>
      <c r="P109" s="6">
        <v>18411.8</v>
      </c>
      <c r="Q109" s="2"/>
      <c r="R109" s="7">
        <f t="shared" si="55"/>
        <v>2.5937490504193122E-2</v>
      </c>
      <c r="S109" s="2"/>
      <c r="T109" s="6">
        <v>4366.95</v>
      </c>
      <c r="U109" s="2"/>
      <c r="V109" s="7">
        <f t="shared" si="56"/>
        <v>3.5809968271037205E-3</v>
      </c>
      <c r="W109" s="2"/>
      <c r="X109" s="6">
        <f t="shared" si="57"/>
        <v>14044.849999999999</v>
      </c>
      <c r="Y109" s="2"/>
      <c r="Z109" s="7">
        <f t="shared" si="58"/>
        <v>3.216169179862375</v>
      </c>
    </row>
    <row r="110" spans="1:26" s="24" customFormat="1" hidden="1" outlineLevel="2" x14ac:dyDescent="0.25">
      <c r="A110" s="25"/>
      <c r="B110" s="11" t="str">
        <f>CONCATENATE("          ", "6254", " - ", "ROYALTY &amp; COMMISSIONS")</f>
        <v xml:space="preserve">          6254 - ROYALTY &amp; COMMISSIONS</v>
      </c>
      <c r="C110" s="11"/>
      <c r="D110" s="6"/>
      <c r="E110" s="2"/>
      <c r="F110" s="7">
        <f t="shared" si="51"/>
        <v>0</v>
      </c>
      <c r="G110" s="2"/>
      <c r="H110" s="6">
        <v>803.23</v>
      </c>
      <c r="I110" s="2"/>
      <c r="J110" s="7">
        <f t="shared" si="52"/>
        <v>2.7550205905402057E-3</v>
      </c>
      <c r="K110" s="2"/>
      <c r="L110" s="6">
        <f t="shared" si="53"/>
        <v>-803.23</v>
      </c>
      <c r="M110" s="2"/>
      <c r="N110" s="7">
        <f t="shared" si="54"/>
        <v>-1</v>
      </c>
      <c r="O110" s="11"/>
      <c r="P110" s="6"/>
      <c r="Q110" s="2"/>
      <c r="R110" s="7">
        <f t="shared" si="55"/>
        <v>0</v>
      </c>
      <c r="S110" s="2"/>
      <c r="T110" s="6">
        <v>2301.12</v>
      </c>
      <c r="U110" s="2"/>
      <c r="V110" s="7">
        <f t="shared" si="56"/>
        <v>1.886969948999854E-3</v>
      </c>
      <c r="W110" s="2"/>
      <c r="X110" s="6">
        <f t="shared" si="57"/>
        <v>-2301.12</v>
      </c>
      <c r="Y110" s="2"/>
      <c r="Z110" s="7">
        <f t="shared" si="58"/>
        <v>-1</v>
      </c>
    </row>
    <row r="111" spans="1:26" s="26" customFormat="1" outlineLevel="1" collapsed="1" x14ac:dyDescent="0.25">
      <c r="A111" s="27"/>
      <c r="B111" s="13" t="str">
        <f>CONCATENATE("     ","Subscriptions &amp; Dues                              ")</f>
        <v xml:space="preserve">     Subscriptions &amp; Dues                              </v>
      </c>
      <c r="C111" s="13"/>
      <c r="D111" s="1">
        <f>SUM(OSRRefD22_8x_0)</f>
        <v>-441</v>
      </c>
      <c r="E111" s="1"/>
      <c r="F111" s="5">
        <f t="shared" ref="F111:F113" si="59">IF(D$12=0,0,D111/D$12)</f>
        <v>-5.2968296492742076E-3</v>
      </c>
      <c r="G111" s="1"/>
      <c r="H111" s="1">
        <f>SUM(OSRRefH22_8x_0)</f>
        <v>0</v>
      </c>
      <c r="I111" s="1"/>
      <c r="J111" s="5">
        <f t="shared" ref="J111:J113" si="60">IF(H$12=0,0,H111/H$12)</f>
        <v>0</v>
      </c>
      <c r="K111" s="1"/>
      <c r="L111" s="1">
        <f t="shared" ref="L111:L113" si="61">+D111-H111</f>
        <v>-441</v>
      </c>
      <c r="M111" s="1"/>
      <c r="N111" s="5">
        <f t="shared" ref="N111:N113" si="62">IF(H111=0,0,L111/H111)</f>
        <v>0</v>
      </c>
      <c r="O111" s="13"/>
      <c r="P111" s="1">
        <f>SUM(OSRRefP22_8x_0)</f>
        <v>-365.27</v>
      </c>
      <c r="Q111" s="1"/>
      <c r="R111" s="5">
        <f t="shared" ref="R111:R113" si="63">IF(P$12=0,0,P111/P$12)</f>
        <v>-5.1457147896819553E-4</v>
      </c>
      <c r="S111" s="1"/>
      <c r="T111" s="1">
        <f>SUM(OSRRefT22_8x_0)</f>
        <v>296.64</v>
      </c>
      <c r="U111" s="1"/>
      <c r="V111" s="5">
        <f t="shared" ref="V111:V113" si="64">IF(T$12=0,0,T111/T$12)</f>
        <v>2.4325144524028157E-4</v>
      </c>
      <c r="W111" s="1"/>
      <c r="X111" s="1">
        <f t="shared" ref="X111:X113" si="65">+P111-T111</f>
        <v>-661.91</v>
      </c>
      <c r="Y111" s="1"/>
      <c r="Z111" s="5">
        <f t="shared" ref="Z111:Z113" si="66">IF(T111=0,0,X111/T111)</f>
        <v>-2.2313578748651564</v>
      </c>
    </row>
    <row r="112" spans="1:26" s="24" customFormat="1" hidden="1" outlineLevel="2" x14ac:dyDescent="0.25">
      <c r="A112" s="25"/>
      <c r="B112" s="11" t="str">
        <f>CONCATENATE("          ", "6258", " - ", "MEMBERSHIP DUES")</f>
        <v xml:space="preserve">          6258 - MEMBERSHIP DUES</v>
      </c>
      <c r="C112" s="11"/>
      <c r="D112" s="6">
        <v>-441</v>
      </c>
      <c r="E112" s="2"/>
      <c r="F112" s="7">
        <f t="shared" si="59"/>
        <v>-5.2968296492742076E-3</v>
      </c>
      <c r="G112" s="2"/>
      <c r="H112" s="6"/>
      <c r="I112" s="2"/>
      <c r="J112" s="7">
        <f t="shared" si="60"/>
        <v>0</v>
      </c>
      <c r="K112" s="2"/>
      <c r="L112" s="6">
        <f t="shared" si="61"/>
        <v>-441</v>
      </c>
      <c r="M112" s="2"/>
      <c r="N112" s="7">
        <f t="shared" si="62"/>
        <v>0</v>
      </c>
      <c r="O112" s="11"/>
      <c r="P112" s="6">
        <v>-441</v>
      </c>
      <c r="Q112" s="2"/>
      <c r="R112" s="7">
        <f t="shared" si="63"/>
        <v>-6.212555704683501E-4</v>
      </c>
      <c r="S112" s="2"/>
      <c r="T112" s="6"/>
      <c r="U112" s="2"/>
      <c r="V112" s="7">
        <f t="shared" si="64"/>
        <v>0</v>
      </c>
      <c r="W112" s="2"/>
      <c r="X112" s="6">
        <f t="shared" si="65"/>
        <v>-441</v>
      </c>
      <c r="Y112" s="2"/>
      <c r="Z112" s="7">
        <f t="shared" si="66"/>
        <v>0</v>
      </c>
    </row>
    <row r="113" spans="1:26" s="24" customFormat="1" hidden="1" outlineLevel="2" x14ac:dyDescent="0.25">
      <c r="A113" s="25"/>
      <c r="B113" s="11" t="str">
        <f>CONCATENATE("          ", "6275", " - ", "SUBSCRIPTIONS")</f>
        <v xml:space="preserve">          6275 - SUBSCRIPTIONS</v>
      </c>
      <c r="C113" s="11"/>
      <c r="D113" s="6"/>
      <c r="E113" s="2"/>
      <c r="F113" s="7">
        <f t="shared" si="59"/>
        <v>0</v>
      </c>
      <c r="G113" s="2"/>
      <c r="H113" s="6"/>
      <c r="I113" s="2"/>
      <c r="J113" s="7">
        <f t="shared" si="60"/>
        <v>0</v>
      </c>
      <c r="K113" s="2"/>
      <c r="L113" s="6">
        <f t="shared" si="61"/>
        <v>0</v>
      </c>
      <c r="M113" s="2"/>
      <c r="N113" s="7">
        <f t="shared" si="62"/>
        <v>0</v>
      </c>
      <c r="O113" s="11"/>
      <c r="P113" s="6">
        <v>75.73</v>
      </c>
      <c r="Q113" s="2"/>
      <c r="R113" s="7">
        <f t="shared" si="63"/>
        <v>1.0668409150015454E-4</v>
      </c>
      <c r="S113" s="2"/>
      <c r="T113" s="6">
        <v>296.64</v>
      </c>
      <c r="U113" s="2"/>
      <c r="V113" s="7">
        <f t="shared" si="64"/>
        <v>2.4325144524028157E-4</v>
      </c>
      <c r="W113" s="2"/>
      <c r="X113" s="6">
        <f t="shared" si="65"/>
        <v>-220.90999999999997</v>
      </c>
      <c r="Y113" s="2"/>
      <c r="Z113" s="7">
        <f t="shared" si="66"/>
        <v>-0.74470738942826309</v>
      </c>
    </row>
    <row r="114" spans="1:26" s="26" customFormat="1" outlineLevel="1" collapsed="1" x14ac:dyDescent="0.25">
      <c r="A114" s="27"/>
      <c r="B114" s="13" t="str">
        <f>CONCATENATE("     ","Supplies                                          ")</f>
        <v xml:space="preserve">     Supplies                                          </v>
      </c>
      <c r="C114" s="13"/>
      <c r="D114" s="1">
        <f>SUM(OSRRefD22_9x_0)</f>
        <v>338.09000000000003</v>
      </c>
      <c r="E114" s="1"/>
      <c r="F114" s="5">
        <f t="shared" ref="F114:F119" si="67">IF(D$12=0,0,D114/D$12)</f>
        <v>4.0607826215943695E-3</v>
      </c>
      <c r="G114" s="1"/>
      <c r="H114" s="1">
        <f>SUM(OSRRefH22_9x_0)</f>
        <v>-252.70999999999992</v>
      </c>
      <c r="I114" s="1"/>
      <c r="J114" s="5">
        <f t="shared" ref="J114:J119" si="68">IF(H$12=0,0,H114/H$12)</f>
        <v>-8.6677695483910599E-4</v>
      </c>
      <c r="K114" s="1"/>
      <c r="L114" s="1">
        <f t="shared" ref="L114:L119" si="69">+D114-H114</f>
        <v>590.79999999999995</v>
      </c>
      <c r="M114" s="1"/>
      <c r="N114" s="5">
        <f t="shared" ref="N114:N119" si="70">IF(H114=0,0,L114/H114)</f>
        <v>-2.3378576233627482</v>
      </c>
      <c r="O114" s="13"/>
      <c r="P114" s="1">
        <f>SUM(OSRRefP22_9x_0)</f>
        <v>1644.7</v>
      </c>
      <c r="Q114" s="1"/>
      <c r="R114" s="5">
        <f t="shared" ref="R114:R119" si="71">IF(P$12=0,0,P114/P$12)</f>
        <v>2.3169592670052048E-3</v>
      </c>
      <c r="S114" s="1"/>
      <c r="T114" s="1">
        <f>SUM(OSRRefT22_9x_0)</f>
        <v>1680.5899999999997</v>
      </c>
      <c r="U114" s="1"/>
      <c r="V114" s="5">
        <f t="shared" ref="V114:V119" si="72">IF(T$12=0,0,T114/T$12)</f>
        <v>1.3781214480729665E-3</v>
      </c>
      <c r="W114" s="1"/>
      <c r="X114" s="1">
        <f t="shared" ref="X114:X119" si="73">+P114-T114</f>
        <v>-35.889999999999645</v>
      </c>
      <c r="Y114" s="1"/>
      <c r="Z114" s="5">
        <f t="shared" ref="Z114:Z119" si="74">IF(T114=0,0,X114/T114)</f>
        <v>-2.135559535639249E-2</v>
      </c>
    </row>
    <row r="115" spans="1:26" s="24" customFormat="1" hidden="1" outlineLevel="2" x14ac:dyDescent="0.25">
      <c r="A115" s="25"/>
      <c r="B115" s="11" t="str">
        <f>CONCATENATE("          ", "6234", " - ", "EXPENDABLE SUPPLIES &amp; EQUIPMEN")</f>
        <v xml:space="preserve">          6234 - EXPENDABLE SUPPLIES &amp; EQUIPMEN</v>
      </c>
      <c r="C115" s="11"/>
      <c r="D115" s="6"/>
      <c r="E115" s="2"/>
      <c r="F115" s="7">
        <f t="shared" si="67"/>
        <v>0</v>
      </c>
      <c r="G115" s="2"/>
      <c r="H115" s="6">
        <v>36.31</v>
      </c>
      <c r="I115" s="2"/>
      <c r="J115" s="7">
        <f t="shared" si="68"/>
        <v>1.24540664121752E-4</v>
      </c>
      <c r="K115" s="2"/>
      <c r="L115" s="6">
        <f t="shared" si="69"/>
        <v>-36.31</v>
      </c>
      <c r="M115" s="2"/>
      <c r="N115" s="7">
        <f t="shared" si="70"/>
        <v>-1</v>
      </c>
      <c r="O115" s="11"/>
      <c r="P115" s="6"/>
      <c r="Q115" s="2"/>
      <c r="R115" s="7">
        <f t="shared" si="71"/>
        <v>0</v>
      </c>
      <c r="S115" s="2"/>
      <c r="T115" s="6">
        <v>20.36</v>
      </c>
      <c r="U115" s="2"/>
      <c r="V115" s="7">
        <f t="shared" si="72"/>
        <v>1.6695656098611558E-5</v>
      </c>
      <c r="W115" s="2"/>
      <c r="X115" s="6">
        <f t="shared" si="73"/>
        <v>-20.36</v>
      </c>
      <c r="Y115" s="2"/>
      <c r="Z115" s="7">
        <f t="shared" si="74"/>
        <v>-1</v>
      </c>
    </row>
    <row r="116" spans="1:26" s="24" customFormat="1" hidden="1" outlineLevel="2" x14ac:dyDescent="0.25">
      <c r="A116" s="25"/>
      <c r="B116" s="11" t="str">
        <f>CONCATENATE("          ", "6235", " - ", "COVID-19 EXPENSES")</f>
        <v xml:space="preserve">          6235 - COVID-19 EXPENSES</v>
      </c>
      <c r="C116" s="11"/>
      <c r="D116" s="6">
        <v>65.05</v>
      </c>
      <c r="E116" s="2"/>
      <c r="F116" s="7">
        <f t="shared" si="67"/>
        <v>7.8131240064690979E-4</v>
      </c>
      <c r="G116" s="2"/>
      <c r="H116" s="6"/>
      <c r="I116" s="2"/>
      <c r="J116" s="7">
        <f t="shared" si="68"/>
        <v>0</v>
      </c>
      <c r="K116" s="2"/>
      <c r="L116" s="6">
        <f t="shared" si="69"/>
        <v>65.05</v>
      </c>
      <c r="M116" s="2"/>
      <c r="N116" s="7">
        <f t="shared" si="70"/>
        <v>0</v>
      </c>
      <c r="O116" s="11"/>
      <c r="P116" s="6">
        <v>1026.43</v>
      </c>
      <c r="Q116" s="2"/>
      <c r="R116" s="7">
        <f t="shared" si="71"/>
        <v>1.4459758621220603E-3</v>
      </c>
      <c r="S116" s="2"/>
      <c r="T116" s="6"/>
      <c r="U116" s="2"/>
      <c r="V116" s="7">
        <f t="shared" si="72"/>
        <v>0</v>
      </c>
      <c r="W116" s="2"/>
      <c r="X116" s="6">
        <f t="shared" si="73"/>
        <v>1026.43</v>
      </c>
      <c r="Y116" s="2"/>
      <c r="Z116" s="7">
        <f t="shared" si="74"/>
        <v>0</v>
      </c>
    </row>
    <row r="117" spans="1:26" s="24" customFormat="1" hidden="1" outlineLevel="2" x14ac:dyDescent="0.25">
      <c r="A117" s="25"/>
      <c r="B117" s="11" t="str">
        <f>CONCATENATE("          ", "6241", " - ", "OFFICE EXPENSE")</f>
        <v xml:space="preserve">          6241 - OFFICE EXPENSE</v>
      </c>
      <c r="C117" s="11"/>
      <c r="D117" s="6">
        <v>273.04000000000002</v>
      </c>
      <c r="E117" s="2"/>
      <c r="F117" s="7">
        <f t="shared" si="67"/>
        <v>3.27947022094746E-3</v>
      </c>
      <c r="G117" s="2"/>
      <c r="H117" s="6">
        <v>299.10000000000002</v>
      </c>
      <c r="I117" s="2"/>
      <c r="J117" s="7">
        <f t="shared" si="68"/>
        <v>1.0258912872160844E-3</v>
      </c>
      <c r="K117" s="2"/>
      <c r="L117" s="6">
        <f t="shared" si="69"/>
        <v>-26.060000000000002</v>
      </c>
      <c r="M117" s="2"/>
      <c r="N117" s="7">
        <f t="shared" si="70"/>
        <v>-8.7128050819124045E-2</v>
      </c>
      <c r="O117" s="11"/>
      <c r="P117" s="6">
        <v>431.56</v>
      </c>
      <c r="Q117" s="2"/>
      <c r="R117" s="7">
        <f t="shared" si="71"/>
        <v>6.0795703852907295E-4</v>
      </c>
      <c r="S117" s="2"/>
      <c r="T117" s="6">
        <v>1955.56</v>
      </c>
      <c r="U117" s="2"/>
      <c r="V117" s="7">
        <f t="shared" si="72"/>
        <v>1.6036030078684096E-3</v>
      </c>
      <c r="W117" s="2"/>
      <c r="X117" s="6">
        <f t="shared" si="73"/>
        <v>-1524</v>
      </c>
      <c r="Y117" s="2"/>
      <c r="Z117" s="7">
        <f t="shared" si="74"/>
        <v>-0.77931641064452128</v>
      </c>
    </row>
    <row r="118" spans="1:26" s="24" customFormat="1" hidden="1" outlineLevel="2" x14ac:dyDescent="0.25">
      <c r="A118" s="25"/>
      <c r="B118" s="11" t="str">
        <f>CONCATENATE("          ", "6245", " - ", "PRINTING")</f>
        <v xml:space="preserve">          6245 - PRINTING</v>
      </c>
      <c r="C118" s="11"/>
      <c r="D118" s="6"/>
      <c r="E118" s="2"/>
      <c r="F118" s="7">
        <f t="shared" si="67"/>
        <v>0</v>
      </c>
      <c r="G118" s="2"/>
      <c r="H118" s="6">
        <v>-617.17999999999995</v>
      </c>
      <c r="I118" s="2"/>
      <c r="J118" s="7">
        <f t="shared" si="68"/>
        <v>-2.1168825966032191E-3</v>
      </c>
      <c r="K118" s="2"/>
      <c r="L118" s="6">
        <f t="shared" si="69"/>
        <v>617.17999999999995</v>
      </c>
      <c r="M118" s="2"/>
      <c r="N118" s="7">
        <f t="shared" si="70"/>
        <v>-1</v>
      </c>
      <c r="O118" s="11"/>
      <c r="P118" s="6"/>
      <c r="Q118" s="2"/>
      <c r="R118" s="7">
        <f t="shared" si="71"/>
        <v>0</v>
      </c>
      <c r="S118" s="2"/>
      <c r="T118" s="6">
        <v>-617.17999999999995</v>
      </c>
      <c r="U118" s="2"/>
      <c r="V118" s="7">
        <f t="shared" si="72"/>
        <v>-5.0610142588119263E-4</v>
      </c>
      <c r="W118" s="2"/>
      <c r="X118" s="6">
        <f t="shared" si="73"/>
        <v>617.17999999999995</v>
      </c>
      <c r="Y118" s="2"/>
      <c r="Z118" s="7">
        <f t="shared" si="74"/>
        <v>-1</v>
      </c>
    </row>
    <row r="119" spans="1:26" s="24" customFormat="1" hidden="1" outlineLevel="2" x14ac:dyDescent="0.25">
      <c r="A119" s="25"/>
      <c r="B119" s="11" t="str">
        <f>CONCATENATE("          ", "6247", " - ", "STORE SUPPLIES")</f>
        <v xml:space="preserve">          6247 - STORE SUPPLIES</v>
      </c>
      <c r="C119" s="11"/>
      <c r="D119" s="6"/>
      <c r="E119" s="2"/>
      <c r="F119" s="7">
        <f t="shared" si="67"/>
        <v>0</v>
      </c>
      <c r="G119" s="2"/>
      <c r="H119" s="6">
        <v>29.06</v>
      </c>
      <c r="I119" s="2"/>
      <c r="J119" s="7">
        <f t="shared" si="68"/>
        <v>9.9673690426276866E-5</v>
      </c>
      <c r="K119" s="2"/>
      <c r="L119" s="6">
        <f t="shared" si="69"/>
        <v>-29.06</v>
      </c>
      <c r="M119" s="2"/>
      <c r="N119" s="7">
        <f t="shared" si="70"/>
        <v>-1</v>
      </c>
      <c r="O119" s="11"/>
      <c r="P119" s="6">
        <v>186.71</v>
      </c>
      <c r="Q119" s="2"/>
      <c r="R119" s="7">
        <f t="shared" si="71"/>
        <v>2.6302636635407178E-4</v>
      </c>
      <c r="S119" s="2"/>
      <c r="T119" s="6">
        <v>321.85000000000002</v>
      </c>
      <c r="U119" s="2"/>
      <c r="V119" s="7">
        <f t="shared" si="72"/>
        <v>2.6392420998713805E-4</v>
      </c>
      <c r="W119" s="2"/>
      <c r="X119" s="6">
        <f t="shared" si="73"/>
        <v>-135.14000000000001</v>
      </c>
      <c r="Y119" s="2"/>
      <c r="Z119" s="7">
        <f t="shared" si="74"/>
        <v>-0.4198850396147274</v>
      </c>
    </row>
    <row r="120" spans="1:26" s="26" customFormat="1" outlineLevel="1" collapsed="1" x14ac:dyDescent="0.25">
      <c r="A120" s="27"/>
      <c r="B120" s="13" t="str">
        <f>CONCATENATE("     ","Telephone/Data Lines                              ")</f>
        <v xml:space="preserve">     Telephone/Data Lines                              </v>
      </c>
      <c r="C120" s="13"/>
      <c r="D120" s="1">
        <f>SUM(OSRRefD22_10x_0)</f>
        <v>281.55</v>
      </c>
      <c r="E120" s="1"/>
      <c r="F120" s="5">
        <f t="shared" ref="F120:F126" si="75">IF(D$12=0,0,D120/D$12)</f>
        <v>3.3816834189413906E-3</v>
      </c>
      <c r="G120" s="1"/>
      <c r="H120" s="1">
        <f>SUM(OSRRefH22_10x_0)</f>
        <v>569.95000000000005</v>
      </c>
      <c r="I120" s="1"/>
      <c r="J120" s="5">
        <f t="shared" ref="J120:J126" si="76">IF(H$12=0,0,H120/H$12)</f>
        <v>1.9548871252049729E-3</v>
      </c>
      <c r="K120" s="1"/>
      <c r="L120" s="1">
        <f t="shared" ref="L120:L126" si="77">+D120-H120</f>
        <v>-288.40000000000003</v>
      </c>
      <c r="M120" s="1"/>
      <c r="N120" s="5">
        <f t="shared" ref="N120:N126" si="78">IF(H120=0,0,L120/H120)</f>
        <v>-0.50600929906132119</v>
      </c>
      <c r="O120" s="13"/>
      <c r="P120" s="1">
        <f>SUM(OSRRefP22_10x_0)</f>
        <v>2301.88</v>
      </c>
      <c r="Q120" s="1"/>
      <c r="R120" s="5">
        <f t="shared" ref="R120:R126" si="79">IF(P$12=0,0,P120/P$12)</f>
        <v>3.2427568538541626E-3</v>
      </c>
      <c r="S120" s="1"/>
      <c r="T120" s="1">
        <f>SUM(OSRRefT22_10x_0)</f>
        <v>3173.87</v>
      </c>
      <c r="U120" s="1"/>
      <c r="V120" s="5">
        <f t="shared" ref="V120:V126" si="80">IF(T$12=0,0,T120/T$12)</f>
        <v>2.6026445000835101E-3</v>
      </c>
      <c r="W120" s="1"/>
      <c r="X120" s="1">
        <f t="shared" ref="X120:X126" si="81">+P120-T120</f>
        <v>-871.98999999999978</v>
      </c>
      <c r="Y120" s="1"/>
      <c r="Z120" s="5">
        <f t="shared" ref="Z120:Z126" si="82">IF(T120=0,0,X120/T120)</f>
        <v>-0.27474030127257887</v>
      </c>
    </row>
    <row r="121" spans="1:26" s="24" customFormat="1" hidden="1" outlineLevel="2" x14ac:dyDescent="0.25">
      <c r="A121" s="25"/>
      <c r="B121" s="11" t="str">
        <f>CONCATENATE("          ", "6309", " - ", "TELEPHONE")</f>
        <v xml:space="preserve">          6309 - TELEPHONE</v>
      </c>
      <c r="C121" s="11"/>
      <c r="D121" s="6">
        <v>281.55</v>
      </c>
      <c r="E121" s="2"/>
      <c r="F121" s="7">
        <f t="shared" si="75"/>
        <v>3.3816834189413906E-3</v>
      </c>
      <c r="G121" s="2"/>
      <c r="H121" s="6">
        <v>569.95000000000005</v>
      </c>
      <c r="I121" s="2"/>
      <c r="J121" s="7">
        <f t="shared" si="76"/>
        <v>1.9548871252049729E-3</v>
      </c>
      <c r="K121" s="2"/>
      <c r="L121" s="6">
        <f t="shared" si="77"/>
        <v>-288.40000000000003</v>
      </c>
      <c r="M121" s="2"/>
      <c r="N121" s="7">
        <f t="shared" si="78"/>
        <v>-0.50600929906132119</v>
      </c>
      <c r="O121" s="11"/>
      <c r="P121" s="6">
        <v>2301.88</v>
      </c>
      <c r="Q121" s="2"/>
      <c r="R121" s="7">
        <f t="shared" si="79"/>
        <v>3.2427568538541626E-3</v>
      </c>
      <c r="S121" s="2"/>
      <c r="T121" s="6">
        <v>3173.87</v>
      </c>
      <c r="U121" s="2"/>
      <c r="V121" s="7">
        <f t="shared" si="80"/>
        <v>2.6026445000835101E-3</v>
      </c>
      <c r="W121" s="2"/>
      <c r="X121" s="6">
        <f t="shared" si="81"/>
        <v>-871.98999999999978</v>
      </c>
      <c r="Y121" s="2"/>
      <c r="Z121" s="7">
        <f t="shared" si="82"/>
        <v>-0.27474030127257887</v>
      </c>
    </row>
    <row r="122" spans="1:26" s="26" customFormat="1" outlineLevel="1" collapsed="1" x14ac:dyDescent="0.25">
      <c r="A122" s="27"/>
      <c r="B122" s="13" t="str">
        <f>CONCATENATE("     ","Training                                          ")</f>
        <v xml:space="preserve">     Training                                          </v>
      </c>
      <c r="C122" s="13"/>
      <c r="D122" s="1">
        <f>SUM(OSRRefD22_11x_0)</f>
        <v>0</v>
      </c>
      <c r="E122" s="1"/>
      <c r="F122" s="5">
        <f t="shared" si="75"/>
        <v>0</v>
      </c>
      <c r="G122" s="1"/>
      <c r="H122" s="1">
        <f>SUM(OSRRefH22_11x_0)</f>
        <v>233.12</v>
      </c>
      <c r="I122" s="1"/>
      <c r="J122" s="5">
        <f t="shared" si="76"/>
        <v>7.9958467695022937E-4</v>
      </c>
      <c r="K122" s="1"/>
      <c r="L122" s="1">
        <f t="shared" si="77"/>
        <v>-233.12</v>
      </c>
      <c r="M122" s="1"/>
      <c r="N122" s="5">
        <f t="shared" si="78"/>
        <v>-1</v>
      </c>
      <c r="O122" s="13"/>
      <c r="P122" s="1">
        <f>SUM(OSRRefP22_11x_0)</f>
        <v>0</v>
      </c>
      <c r="Q122" s="1"/>
      <c r="R122" s="5">
        <f t="shared" si="79"/>
        <v>0</v>
      </c>
      <c r="S122" s="1"/>
      <c r="T122" s="1">
        <f>SUM(OSRRefT22_11x_0)</f>
        <v>1379.18</v>
      </c>
      <c r="U122" s="1"/>
      <c r="V122" s="5">
        <f t="shared" si="80"/>
        <v>1.1309584959765763E-3</v>
      </c>
      <c r="W122" s="1"/>
      <c r="X122" s="1">
        <f t="shared" si="81"/>
        <v>-1379.18</v>
      </c>
      <c r="Y122" s="1"/>
      <c r="Z122" s="5">
        <f t="shared" si="82"/>
        <v>-1</v>
      </c>
    </row>
    <row r="123" spans="1:26" s="24" customFormat="1" hidden="1" outlineLevel="2" x14ac:dyDescent="0.25">
      <c r="A123" s="25"/>
      <c r="B123" s="11" t="str">
        <f>CONCATENATE("          ", "6376", " - ", "TRAINING")</f>
        <v xml:space="preserve">          6376 - TRAINING</v>
      </c>
      <c r="C123" s="11"/>
      <c r="D123" s="6"/>
      <c r="E123" s="2"/>
      <c r="F123" s="7">
        <f t="shared" si="75"/>
        <v>0</v>
      </c>
      <c r="G123" s="2"/>
      <c r="H123" s="6">
        <v>233.12</v>
      </c>
      <c r="I123" s="2"/>
      <c r="J123" s="7">
        <f t="shared" si="76"/>
        <v>7.9958467695022937E-4</v>
      </c>
      <c r="K123" s="2"/>
      <c r="L123" s="6">
        <f t="shared" si="77"/>
        <v>-233.12</v>
      </c>
      <c r="M123" s="2"/>
      <c r="N123" s="7">
        <f t="shared" si="78"/>
        <v>-1</v>
      </c>
      <c r="O123" s="11"/>
      <c r="P123" s="6"/>
      <c r="Q123" s="2"/>
      <c r="R123" s="7">
        <f t="shared" si="79"/>
        <v>0</v>
      </c>
      <c r="S123" s="2"/>
      <c r="T123" s="6">
        <v>1379.18</v>
      </c>
      <c r="U123" s="2"/>
      <c r="V123" s="7">
        <f t="shared" si="80"/>
        <v>1.1309584959765763E-3</v>
      </c>
      <c r="W123" s="2"/>
      <c r="X123" s="6">
        <f t="shared" si="81"/>
        <v>-1379.18</v>
      </c>
      <c r="Y123" s="2"/>
      <c r="Z123" s="7">
        <f t="shared" si="82"/>
        <v>-1</v>
      </c>
    </row>
    <row r="124" spans="1:26" s="26" customFormat="1" outlineLevel="1" collapsed="1" x14ac:dyDescent="0.25">
      <c r="A124" s="27"/>
      <c r="B124" s="13" t="str">
        <f>CONCATENATE("     ","Travel                                            ")</f>
        <v xml:space="preserve">     Travel                                            </v>
      </c>
      <c r="C124" s="13"/>
      <c r="D124" s="1">
        <f>SUM(OSRRefD22_12x_0)</f>
        <v>0</v>
      </c>
      <c r="E124" s="1"/>
      <c r="F124" s="5">
        <f t="shared" si="75"/>
        <v>0</v>
      </c>
      <c r="G124" s="1"/>
      <c r="H124" s="1">
        <f>SUM(OSRRefH22_12x_0)</f>
        <v>197.14</v>
      </c>
      <c r="I124" s="1"/>
      <c r="J124" s="5">
        <f t="shared" si="76"/>
        <v>6.7617588887254718E-4</v>
      </c>
      <c r="K124" s="1"/>
      <c r="L124" s="1">
        <f t="shared" si="77"/>
        <v>-197.14</v>
      </c>
      <c r="M124" s="1"/>
      <c r="N124" s="5">
        <f t="shared" si="78"/>
        <v>-1</v>
      </c>
      <c r="O124" s="13"/>
      <c r="P124" s="1">
        <f>SUM(OSRRefP22_12x_0)</f>
        <v>0</v>
      </c>
      <c r="Q124" s="1"/>
      <c r="R124" s="5">
        <f t="shared" si="79"/>
        <v>0</v>
      </c>
      <c r="S124" s="1"/>
      <c r="T124" s="1">
        <f>SUM(OSRRefT22_12x_0)</f>
        <v>304.18</v>
      </c>
      <c r="U124" s="1"/>
      <c r="V124" s="5">
        <f t="shared" si="80"/>
        <v>2.4943441414909944E-4</v>
      </c>
      <c r="W124" s="1"/>
      <c r="X124" s="1">
        <f t="shared" si="81"/>
        <v>-304.18</v>
      </c>
      <c r="Y124" s="1"/>
      <c r="Z124" s="5">
        <f t="shared" si="82"/>
        <v>-1</v>
      </c>
    </row>
    <row r="125" spans="1:26" s="24" customFormat="1" hidden="1" outlineLevel="2" x14ac:dyDescent="0.25">
      <c r="A125" s="25"/>
      <c r="B125" s="11" t="str">
        <f>CONCATENATE("          ", "6292", " - ", "TRAVEL/CONFERENCE")</f>
        <v xml:space="preserve">          6292 - TRAVEL/CONFERENCE</v>
      </c>
      <c r="C125" s="11"/>
      <c r="D125" s="6"/>
      <c r="E125" s="2"/>
      <c r="F125" s="7">
        <f t="shared" si="75"/>
        <v>0</v>
      </c>
      <c r="G125" s="2"/>
      <c r="H125" s="6"/>
      <c r="I125" s="2"/>
      <c r="J125" s="7">
        <f t="shared" si="76"/>
        <v>0</v>
      </c>
      <c r="K125" s="2"/>
      <c r="L125" s="6">
        <f t="shared" si="77"/>
        <v>0</v>
      </c>
      <c r="M125" s="2"/>
      <c r="N125" s="7">
        <f t="shared" si="78"/>
        <v>0</v>
      </c>
      <c r="O125" s="11"/>
      <c r="P125" s="6"/>
      <c r="Q125" s="2"/>
      <c r="R125" s="7">
        <f t="shared" si="79"/>
        <v>0</v>
      </c>
      <c r="S125" s="2"/>
      <c r="T125" s="6">
        <v>107.04</v>
      </c>
      <c r="U125" s="2"/>
      <c r="V125" s="7">
        <f t="shared" si="80"/>
        <v>8.7775197877965687E-5</v>
      </c>
      <c r="W125" s="2"/>
      <c r="X125" s="6">
        <f t="shared" si="81"/>
        <v>-107.04</v>
      </c>
      <c r="Y125" s="2"/>
      <c r="Z125" s="7">
        <f t="shared" si="82"/>
        <v>-1</v>
      </c>
    </row>
    <row r="126" spans="1:26" s="24" customFormat="1" hidden="1" outlineLevel="2" x14ac:dyDescent="0.25">
      <c r="A126" s="25"/>
      <c r="B126" s="11" t="str">
        <f>CONCATENATE("          ", "6294", " - ", "TRAVEL OPERATIONAL")</f>
        <v xml:space="preserve">          6294 - TRAVEL OPERATIONAL</v>
      </c>
      <c r="C126" s="11"/>
      <c r="D126" s="6"/>
      <c r="E126" s="2"/>
      <c r="F126" s="7">
        <f t="shared" si="75"/>
        <v>0</v>
      </c>
      <c r="G126" s="2"/>
      <c r="H126" s="6">
        <v>197.14</v>
      </c>
      <c r="I126" s="2"/>
      <c r="J126" s="7">
        <f t="shared" si="76"/>
        <v>6.7617588887254718E-4</v>
      </c>
      <c r="K126" s="2"/>
      <c r="L126" s="6">
        <f t="shared" si="77"/>
        <v>-197.14</v>
      </c>
      <c r="M126" s="2"/>
      <c r="N126" s="7">
        <f t="shared" si="78"/>
        <v>-1</v>
      </c>
      <c r="O126" s="11"/>
      <c r="P126" s="6"/>
      <c r="Q126" s="2"/>
      <c r="R126" s="7">
        <f t="shared" si="79"/>
        <v>0</v>
      </c>
      <c r="S126" s="2"/>
      <c r="T126" s="6">
        <v>197.14</v>
      </c>
      <c r="U126" s="2"/>
      <c r="V126" s="7">
        <f t="shared" si="80"/>
        <v>1.6165921627113371E-4</v>
      </c>
      <c r="W126" s="2"/>
      <c r="X126" s="6">
        <f t="shared" si="81"/>
        <v>-197.14</v>
      </c>
      <c r="Y126" s="2"/>
      <c r="Z126" s="7">
        <f t="shared" si="82"/>
        <v>-1</v>
      </c>
    </row>
    <row r="127" spans="1:26" s="53" customFormat="1" x14ac:dyDescent="0.25">
      <c r="A127" s="37"/>
      <c r="B127" s="37"/>
      <c r="C127" s="37"/>
      <c r="D127" s="1"/>
      <c r="E127" s="1"/>
      <c r="F127" s="5"/>
      <c r="G127" s="1"/>
      <c r="H127" s="1"/>
      <c r="I127" s="1"/>
      <c r="J127" s="5"/>
      <c r="K127" s="1"/>
      <c r="L127" s="1"/>
      <c r="M127" s="1"/>
      <c r="N127" s="5"/>
      <c r="O127" s="37"/>
      <c r="P127" s="1"/>
      <c r="Q127" s="1"/>
      <c r="R127" s="5"/>
      <c r="S127" s="1"/>
      <c r="T127" s="1"/>
      <c r="U127" s="1"/>
      <c r="V127" s="5"/>
      <c r="W127" s="1"/>
      <c r="X127" s="1"/>
      <c r="Y127" s="1"/>
      <c r="Z127" s="5"/>
    </row>
    <row r="128" spans="1:26" s="23" customFormat="1" collapsed="1" x14ac:dyDescent="0.25">
      <c r="A128" s="10"/>
      <c r="B128" s="29" t="s">
        <v>0</v>
      </c>
      <c r="C128" s="10"/>
      <c r="D128" s="4">
        <f>SUM(OSRRefD25x_0)</f>
        <v>14886.94</v>
      </c>
      <c r="E128" s="4"/>
      <c r="F128" s="12">
        <f t="shared" ref="F128:F130" si="83">IF(D$12=0,0,D128/D$12)</f>
        <v>0.17880631559856278</v>
      </c>
      <c r="G128" s="4"/>
      <c r="H128" s="4">
        <f>SUM(OSRRefH25x_0)</f>
        <v>433.18</v>
      </c>
      <c r="I128" s="4"/>
      <c r="J128" s="12">
        <f t="shared" ref="J128:J130" si="84">IF(H$12=0,0,H128/H$12)</f>
        <v>1.4857759538490921E-3</v>
      </c>
      <c r="K128" s="4"/>
      <c r="L128" s="4">
        <f t="shared" ref="L128:L130" si="85">+D128-H128</f>
        <v>14453.76</v>
      </c>
      <c r="M128" s="4"/>
      <c r="N128" s="12">
        <f t="shared" ref="N128:N130" si="86">IF(H128=0,0,L128/H128)</f>
        <v>33.366637425550579</v>
      </c>
      <c r="O128" s="10"/>
      <c r="P128" s="4">
        <f>SUM(OSRRefP25x_0)</f>
        <v>207874.45</v>
      </c>
      <c r="Q128" s="4"/>
      <c r="R128" s="12">
        <f t="shared" ref="R128:R130" si="87">IF(P$12=0,0,P128/P$12)</f>
        <v>0.29284163269964741</v>
      </c>
      <c r="S128" s="4"/>
      <c r="T128" s="4">
        <f>SUM(OSRRefT25x_0)</f>
        <v>14830.16</v>
      </c>
      <c r="U128" s="4"/>
      <c r="V128" s="12">
        <f t="shared" ref="V128:V130" si="88">IF(T$12=0,0,T128/T$12)</f>
        <v>1.2161063420794951E-2</v>
      </c>
      <c r="W128" s="4"/>
      <c r="X128" s="4">
        <f t="shared" ref="X128:X130" si="89">+P128-T128</f>
        <v>193044.29</v>
      </c>
      <c r="Y128" s="4"/>
      <c r="Z128" s="12">
        <f t="shared" ref="Z128:Z130" si="90">IF(T128=0,0,X128/T128)</f>
        <v>13.01700655960556</v>
      </c>
    </row>
    <row r="129" spans="1:26" s="24" customFormat="1" hidden="1" outlineLevel="1" x14ac:dyDescent="0.25">
      <c r="A129" s="44"/>
      <c r="B129" s="11" t="str">
        <f>CONCATENATE("          ", "9150", " - ", "MISC. INCOME")</f>
        <v xml:space="preserve">          9150 - MISC. INCOME</v>
      </c>
      <c r="C129" s="11"/>
      <c r="D129" s="2">
        <f>--145</f>
        <v>145</v>
      </c>
      <c r="E129" s="2"/>
      <c r="F129" s="19">
        <f t="shared" si="83"/>
        <v>1.741587979920091E-3</v>
      </c>
      <c r="G129" s="2"/>
      <c r="H129" s="2">
        <f>--433.18</f>
        <v>433.18</v>
      </c>
      <c r="I129" s="2"/>
      <c r="J129" s="19">
        <f t="shared" si="84"/>
        <v>1.4857759538490921E-3</v>
      </c>
      <c r="K129" s="2"/>
      <c r="L129" s="2">
        <f t="shared" si="85"/>
        <v>-288.18</v>
      </c>
      <c r="M129" s="2"/>
      <c r="N129" s="19">
        <f t="shared" si="86"/>
        <v>-0.66526617110669928</v>
      </c>
      <c r="O129" s="11"/>
      <c r="P129" s="2">
        <f>--32468.61</f>
        <v>32468.61</v>
      </c>
      <c r="Q129" s="2"/>
      <c r="R129" s="19">
        <f t="shared" si="87"/>
        <v>4.5739920244590421E-2</v>
      </c>
      <c r="S129" s="2"/>
      <c r="T129" s="2">
        <f>--14830.16</f>
        <v>14830.16</v>
      </c>
      <c r="U129" s="2"/>
      <c r="V129" s="19">
        <f t="shared" si="88"/>
        <v>1.2161063420794951E-2</v>
      </c>
      <c r="W129" s="2"/>
      <c r="X129" s="2">
        <f t="shared" si="89"/>
        <v>17638.45</v>
      </c>
      <c r="Y129" s="2"/>
      <c r="Z129" s="19">
        <f t="shared" si="90"/>
        <v>1.189363432356765</v>
      </c>
    </row>
    <row r="130" spans="1:26" s="24" customFormat="1" hidden="1" outlineLevel="1" x14ac:dyDescent="0.25">
      <c r="A130" s="44"/>
      <c r="B130" s="11" t="str">
        <f>CONCATENATE("          ", "9163", " - ", "MISC. INCOME")</f>
        <v xml:space="preserve">          9163 - MISC. INCOME</v>
      </c>
      <c r="C130" s="11"/>
      <c r="D130" s="2">
        <f>--14741.94</f>
        <v>14741.94</v>
      </c>
      <c r="E130" s="2"/>
      <c r="F130" s="19">
        <f t="shared" si="83"/>
        <v>0.17706472761864267</v>
      </c>
      <c r="G130" s="2"/>
      <c r="H130" s="2">
        <f>0</f>
        <v>0</v>
      </c>
      <c r="I130" s="2"/>
      <c r="J130" s="19">
        <f t="shared" si="84"/>
        <v>0</v>
      </c>
      <c r="K130" s="2"/>
      <c r="L130" s="2">
        <f t="shared" si="85"/>
        <v>14741.94</v>
      </c>
      <c r="M130" s="2"/>
      <c r="N130" s="19">
        <f t="shared" si="86"/>
        <v>0</v>
      </c>
      <c r="O130" s="11"/>
      <c r="P130" s="2">
        <f>--175405.84</f>
        <v>175405.84</v>
      </c>
      <c r="Q130" s="2"/>
      <c r="R130" s="19">
        <f t="shared" si="87"/>
        <v>0.24710171245505699</v>
      </c>
      <c r="S130" s="2"/>
      <c r="T130" s="2">
        <f>0</f>
        <v>0</v>
      </c>
      <c r="U130" s="2"/>
      <c r="V130" s="19">
        <f t="shared" si="88"/>
        <v>0</v>
      </c>
      <c r="W130" s="2"/>
      <c r="X130" s="2">
        <f t="shared" si="89"/>
        <v>175405.84</v>
      </c>
      <c r="Y130" s="2"/>
      <c r="Z130" s="19">
        <f t="shared" si="90"/>
        <v>0</v>
      </c>
    </row>
    <row r="131" spans="1:26" x14ac:dyDescent="0.25">
      <c r="A131" s="9"/>
      <c r="B131" s="10"/>
      <c r="C131" s="10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0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25">
      <c r="A132" s="10"/>
      <c r="B132" s="28" t="s">
        <v>3</v>
      </c>
      <c r="C132" s="28"/>
      <c r="D132" s="20">
        <f>+D77-D79+D128</f>
        <v>15855.819999999998</v>
      </c>
      <c r="E132" s="14"/>
      <c r="F132" s="22">
        <f>IF(D$12=0,0,D132/D$12)</f>
        <v>0.19044348637087291</v>
      </c>
      <c r="G132" s="14"/>
      <c r="H132" s="20">
        <f>+H77-H79+H128</f>
        <v>80912.889999999985</v>
      </c>
      <c r="I132" s="14"/>
      <c r="J132" s="22">
        <f>IF(H$12=0,0,H132/H$12)</f>
        <v>0.27752533893170656</v>
      </c>
      <c r="K132" s="15"/>
      <c r="L132" s="20">
        <f>+D132-H132</f>
        <v>-65057.069999999985</v>
      </c>
      <c r="M132" s="15"/>
      <c r="N132" s="22">
        <f>IF(H132=0,0,L132/H132)</f>
        <v>-0.8040383923995299</v>
      </c>
      <c r="O132" s="29"/>
      <c r="P132" s="20">
        <f>+P77-P79+P128</f>
        <v>251297.87000000023</v>
      </c>
      <c r="Q132" s="14"/>
      <c r="R132" s="22">
        <f>IF(P$12=0,0,P132/P$12)</f>
        <v>0.35401406254950435</v>
      </c>
      <c r="S132" s="14"/>
      <c r="T132" s="20">
        <f>+T77-T79+T128</f>
        <v>362092.32000000041</v>
      </c>
      <c r="U132" s="14"/>
      <c r="V132" s="22">
        <f>IF(T$12=0,0,T132/T$12)</f>
        <v>0.29692381388351746</v>
      </c>
      <c r="W132" s="15"/>
      <c r="X132" s="20">
        <f>+P132-T132</f>
        <v>-110794.45000000019</v>
      </c>
      <c r="Y132" s="15"/>
      <c r="Z132" s="22">
        <f>IF(T132=0,0,X132/T132)</f>
        <v>-0.30598398220652695</v>
      </c>
    </row>
    <row r="133" spans="1:26" x14ac:dyDescent="0.25">
      <c r="A133" s="9"/>
      <c r="B133" s="10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x14ac:dyDescent="0.25">
      <c r="A134" s="51"/>
      <c r="B134" s="10" t="s">
        <v>13</v>
      </c>
      <c r="C134" s="10"/>
      <c r="D134" s="4">
        <v>-22938.449999999997</v>
      </c>
      <c r="E134" s="4"/>
      <c r="F134" s="12">
        <f>IF(D$12=0,0,D134/D$12)</f>
        <v>-0.27551261239998626</v>
      </c>
      <c r="G134" s="4"/>
      <c r="H134" s="4">
        <v>35727.009999999995</v>
      </c>
      <c r="I134" s="4"/>
      <c r="J134" s="12">
        <f>IF(H$12=0,0,H134/H$12)</f>
        <v>0.12254105074316922</v>
      </c>
      <c r="K134" s="4"/>
      <c r="L134" s="4">
        <f>+D134-H134</f>
        <v>-58665.459999999992</v>
      </c>
      <c r="M134" s="4"/>
      <c r="N134" s="12">
        <f>IF(H134=0,0,L134/H134)</f>
        <v>-1.6420478511915775</v>
      </c>
      <c r="O134" s="10"/>
      <c r="P134" s="4">
        <v>112795.62</v>
      </c>
      <c r="Q134" s="4"/>
      <c r="R134" s="12">
        <f>IF(P$12=0,0,P134/P$12)</f>
        <v>0.15890001643861959</v>
      </c>
      <c r="S134" s="4"/>
      <c r="T134" s="4">
        <v>129134.56</v>
      </c>
      <c r="U134" s="4"/>
      <c r="V134" s="12">
        <f>IF(T$12=0,0,T134/T$12)</f>
        <v>0.10589323203366996</v>
      </c>
      <c r="W134" s="4"/>
      <c r="X134" s="4">
        <f>+P134-T134</f>
        <v>-16338.940000000002</v>
      </c>
      <c r="Y134" s="4"/>
      <c r="Z134" s="12">
        <f>IF(T134=0,0,X134/T134)</f>
        <v>-0.12652646975372048</v>
      </c>
    </row>
    <row r="135" spans="1:26" x14ac:dyDescent="0.25">
      <c r="A135" s="9"/>
      <c r="B135" s="10"/>
      <c r="C135" s="10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0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ht="15.75" thickBot="1" x14ac:dyDescent="0.3">
      <c r="A136" s="10"/>
      <c r="B136" s="28" t="s">
        <v>4</v>
      </c>
      <c r="C136" s="28"/>
      <c r="D136" s="31">
        <f>+D132-D134</f>
        <v>38794.269999999997</v>
      </c>
      <c r="E136" s="14"/>
      <c r="F136" s="34">
        <f>IF(D$12=0,0,D136/D$12)</f>
        <v>0.4659560987708592</v>
      </c>
      <c r="G136" s="14"/>
      <c r="H136" s="31">
        <f>+H132-H134</f>
        <v>45185.87999999999</v>
      </c>
      <c r="I136" s="14"/>
      <c r="J136" s="34">
        <f>IF(H$12=0,0,H136/H$12)</f>
        <v>0.15498428818853732</v>
      </c>
      <c r="K136" s="15"/>
      <c r="L136" s="31">
        <f>D136-H136</f>
        <v>-6391.6099999999933</v>
      </c>
      <c r="M136" s="15"/>
      <c r="N136" s="34">
        <f>IF(H136=0,0,L136/H136)</f>
        <v>-0.14145148882792577</v>
      </c>
      <c r="O136" s="29"/>
      <c r="P136" s="31">
        <f>+P132-P134</f>
        <v>138502.25000000023</v>
      </c>
      <c r="Q136" s="14"/>
      <c r="R136" s="34">
        <f>IF(P$12=0,0,P136/P$12)</f>
        <v>0.19511404611088476</v>
      </c>
      <c r="S136" s="14"/>
      <c r="T136" s="31">
        <f>+T132-T134</f>
        <v>232957.76000000042</v>
      </c>
      <c r="U136" s="14"/>
      <c r="V136" s="34">
        <f>IF(T$12=0,0,T136/T$12)</f>
        <v>0.1910305818498475</v>
      </c>
      <c r="W136" s="15"/>
      <c r="X136" s="31">
        <f>P136-T136</f>
        <v>-94455.510000000184</v>
      </c>
      <c r="Y136" s="15"/>
      <c r="Z136" s="34">
        <f>IF(T136=0,0,X136/T136)</f>
        <v>-0.40546196014247399</v>
      </c>
    </row>
    <row r="137" spans="1:26" ht="15.75" thickTop="1" x14ac:dyDescent="0.25">
      <c r="A137" s="9"/>
      <c r="B137" s="9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x14ac:dyDescent="0.25">
      <c r="A138" s="9"/>
      <c r="B138" s="9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3" customFormat="1" ht="15.75" thickBot="1" x14ac:dyDescent="0.3">
      <c r="A139" s="10"/>
      <c r="B139" s="28" t="s">
        <v>5</v>
      </c>
      <c r="C139" s="28"/>
      <c r="D139" s="32">
        <f>SUM(D136:D138)</f>
        <v>38794.269999999997</v>
      </c>
      <c r="E139" s="14"/>
      <c r="F139" s="30">
        <f>IF(D$12=0,0,D139/D$12)</f>
        <v>0.4659560987708592</v>
      </c>
      <c r="G139" s="14"/>
      <c r="H139" s="32">
        <f>SUM(H136:H138)</f>
        <v>45185.87999999999</v>
      </c>
      <c r="I139" s="14"/>
      <c r="J139" s="30">
        <f>IF(H$12=0,0,H139/H$12)</f>
        <v>0.15498428818853732</v>
      </c>
      <c r="K139" s="15"/>
      <c r="L139" s="32">
        <f>+D139-H139</f>
        <v>-6391.6099999999933</v>
      </c>
      <c r="M139" s="15"/>
      <c r="N139" s="30">
        <f>IF(H139=0,0,L139/H139)</f>
        <v>-0.14145148882792577</v>
      </c>
      <c r="O139" s="29"/>
      <c r="P139" s="32">
        <f>SUM(P136:P138)</f>
        <v>138502.25000000023</v>
      </c>
      <c r="Q139" s="14"/>
      <c r="R139" s="30">
        <f>IF(P$12=0,0,P139/P$12)</f>
        <v>0.19511404611088476</v>
      </c>
      <c r="S139" s="14"/>
      <c r="T139" s="32">
        <f>SUM(T136:T138)</f>
        <v>232957.76000000042</v>
      </c>
      <c r="U139" s="14"/>
      <c r="V139" s="30">
        <f>IF(T$12=0,0,T139/T$12)</f>
        <v>0.1910305818498475</v>
      </c>
      <c r="W139" s="15"/>
      <c r="X139" s="32">
        <f>+P139-T139</f>
        <v>-94455.510000000184</v>
      </c>
      <c r="Y139" s="15"/>
      <c r="Z139" s="30">
        <f>IF(T139=0,0,X139/T139)</f>
        <v>-0.40546196014247399</v>
      </c>
    </row>
    <row r="140" spans="1:26" ht="15.75" thickTop="1" x14ac:dyDescent="0.25">
      <c r="A140" s="9"/>
      <c r="C140" s="9"/>
      <c r="D140" s="17"/>
      <c r="E140" s="17"/>
      <c r="G140" s="17"/>
      <c r="H140" s="17"/>
      <c r="I140" s="17"/>
      <c r="J140" s="43"/>
      <c r="K140" s="17"/>
      <c r="L140" s="17"/>
      <c r="M140" s="17"/>
      <c r="P140" s="17"/>
      <c r="Q140" s="17"/>
      <c r="R140" s="43"/>
      <c r="S140" s="17"/>
      <c r="T140" s="17"/>
      <c r="U140" s="17"/>
      <c r="V140" s="43"/>
      <c r="W140" s="17"/>
      <c r="X140" s="17"/>
    </row>
    <row r="141" spans="1:26" x14ac:dyDescent="0.25">
      <c r="A141" s="9"/>
      <c r="B141" s="54">
        <v>44174.685658020833</v>
      </c>
      <c r="D141" s="17"/>
      <c r="E141" s="17"/>
      <c r="G141" s="17"/>
      <c r="H141" s="17"/>
      <c r="I141" s="17"/>
      <c r="J141" s="43"/>
      <c r="K141" s="17"/>
      <c r="L141" s="17"/>
      <c r="M141" s="17"/>
      <c r="P141" s="17"/>
      <c r="Q141" s="17"/>
      <c r="R141" s="43"/>
      <c r="S141" s="17"/>
      <c r="T141" s="17"/>
      <c r="U141" s="17"/>
      <c r="V141" s="43"/>
      <c r="W141" s="17"/>
      <c r="X141" s="17"/>
    </row>
    <row r="142" spans="1:26" x14ac:dyDescent="0.25">
      <c r="A142" s="9"/>
      <c r="B142" s="56" t="s">
        <v>313</v>
      </c>
      <c r="D142" s="17"/>
      <c r="E142" s="17"/>
      <c r="G142" s="17"/>
      <c r="H142" s="17"/>
      <c r="I142" s="17"/>
      <c r="J142" s="43"/>
      <c r="K142" s="17"/>
      <c r="L142" s="17"/>
      <c r="M142" s="17"/>
      <c r="P142" s="17"/>
      <c r="Q142" s="17"/>
      <c r="R142" s="43"/>
      <c r="S142" s="17"/>
      <c r="T142" s="17"/>
      <c r="U142" s="17"/>
      <c r="V142" s="43"/>
      <c r="W142" s="17"/>
      <c r="X142" s="17"/>
    </row>
    <row r="143" spans="1:26" x14ac:dyDescent="0.25">
      <c r="A143" s="9"/>
      <c r="B143" s="61"/>
      <c r="D143" s="17"/>
      <c r="E143" s="17"/>
      <c r="G143" s="17"/>
      <c r="H143" s="17"/>
      <c r="I143" s="17"/>
      <c r="J143" s="43"/>
      <c r="K143" s="17"/>
      <c r="L143" s="17"/>
      <c r="M143" s="17"/>
      <c r="P143" s="17"/>
      <c r="Q143" s="17"/>
      <c r="R143" s="43"/>
      <c r="S143" s="17"/>
      <c r="T143" s="17"/>
      <c r="U143" s="17"/>
      <c r="V143" s="43"/>
      <c r="W143" s="17"/>
      <c r="X143" s="17"/>
    </row>
    <row r="144" spans="1:26" x14ac:dyDescent="0.25">
      <c r="D144" s="17"/>
      <c r="E144" s="17"/>
      <c r="G144" s="17"/>
      <c r="H144" s="17"/>
      <c r="I144" s="17"/>
      <c r="J144" s="43"/>
      <c r="K144" s="17"/>
      <c r="L144" s="17"/>
      <c r="M144" s="17"/>
      <c r="P144" s="17"/>
      <c r="Q144" s="17"/>
      <c r="R144" s="43"/>
      <c r="S144" s="17"/>
      <c r="T144" s="17"/>
      <c r="U144" s="17"/>
      <c r="V144" s="43"/>
      <c r="W144" s="17"/>
      <c r="X144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","326", " - ", "2nd Street Store")</f>
        <v>Department 326 - 2nd Street Store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17593.260000000002</v>
      </c>
      <c r="E12" s="4"/>
      <c r="F12" s="12"/>
      <c r="G12" s="4"/>
      <c r="H12" s="4">
        <f>SUM(OSRRefH13x_0)</f>
        <v>37838.999999999993</v>
      </c>
      <c r="I12" s="4"/>
      <c r="J12" s="12"/>
      <c r="K12" s="4"/>
      <c r="L12" s="4">
        <f t="shared" ref="L12:L36" si="0">+D12-H12</f>
        <v>-20245.739999999991</v>
      </c>
      <c r="M12" s="4"/>
      <c r="N12" s="12">
        <f t="shared" ref="N12:N36" si="1">IF(H12=0,0,L12/H12)</f>
        <v>-0.53504955204947258</v>
      </c>
      <c r="O12" s="10"/>
      <c r="P12" s="4">
        <f>SUM(OSRRefP13x_0)</f>
        <v>106015.12000000001</v>
      </c>
      <c r="Q12" s="4"/>
      <c r="R12" s="12"/>
      <c r="S12" s="4"/>
      <c r="T12" s="4">
        <f>SUM(OSRRefT13x_0)</f>
        <v>232307.43999999997</v>
      </c>
      <c r="U12" s="4"/>
      <c r="V12" s="12"/>
      <c r="W12" s="4"/>
      <c r="X12" s="4">
        <f t="shared" ref="X12:X36" si="2">+P12-T12</f>
        <v>-126292.31999999996</v>
      </c>
      <c r="Y12" s="4"/>
      <c r="Z12" s="12">
        <f t="shared" ref="Z12:Z36" si="3">IF(T12=0,0,X12/T12)</f>
        <v>-0.54364302753282456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-341.41</f>
        <v>-341.41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-341.41</v>
      </c>
      <c r="M13" s="2"/>
      <c r="N13" s="19">
        <f t="shared" si="1"/>
        <v>0</v>
      </c>
      <c r="O13" s="11"/>
      <c r="P13" s="2">
        <f>-2844.36</f>
        <v>-2844.36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-2844.36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--18.37</f>
        <v>18.37</v>
      </c>
      <c r="E14" s="2"/>
      <c r="F14" s="19"/>
      <c r="G14" s="2"/>
      <c r="H14" s="2">
        <f>--22.91</f>
        <v>22.91</v>
      </c>
      <c r="I14" s="2"/>
      <c r="J14" s="19"/>
      <c r="K14" s="2"/>
      <c r="L14" s="2">
        <f t="shared" si="0"/>
        <v>-4.5399999999999991</v>
      </c>
      <c r="M14" s="2"/>
      <c r="N14" s="19">
        <f t="shared" si="1"/>
        <v>-0.19816673941510254</v>
      </c>
      <c r="O14" s="11"/>
      <c r="P14" s="2">
        <f>--57.7</f>
        <v>57.7</v>
      </c>
      <c r="Q14" s="2"/>
      <c r="R14" s="19"/>
      <c r="S14" s="2"/>
      <c r="T14" s="2">
        <f>--123.19</f>
        <v>123.19</v>
      </c>
      <c r="U14" s="2"/>
      <c r="V14" s="19"/>
      <c r="W14" s="2"/>
      <c r="X14" s="2">
        <f t="shared" si="2"/>
        <v>-65.489999999999995</v>
      </c>
      <c r="Y14" s="2"/>
      <c r="Z14" s="19">
        <f t="shared" si="3"/>
        <v>-0.53161782612225017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--32.78</f>
        <v>32.78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32.78</v>
      </c>
      <c r="M15" s="2"/>
      <c r="N15" s="19">
        <f t="shared" si="1"/>
        <v>0</v>
      </c>
      <c r="O15" s="11"/>
      <c r="P15" s="2">
        <f>--50.24</f>
        <v>50.24</v>
      </c>
      <c r="Q15" s="2"/>
      <c r="R15" s="19"/>
      <c r="S15" s="2"/>
      <c r="T15" s="2">
        <f>--47.91</f>
        <v>47.91</v>
      </c>
      <c r="U15" s="2"/>
      <c r="V15" s="19"/>
      <c r="W15" s="2"/>
      <c r="X15" s="2">
        <f t="shared" si="2"/>
        <v>2.3300000000000054</v>
      </c>
      <c r="Y15" s="2"/>
      <c r="Z15" s="19">
        <f t="shared" si="3"/>
        <v>4.8632853266541549E-2</v>
      </c>
    </row>
    <row r="16" spans="1:26" s="24" customFormat="1" hidden="1" outlineLevel="1" x14ac:dyDescent="0.25">
      <c r="A16" s="44"/>
      <c r="B16" s="11" t="str">
        <f>CONCATENATE("          ", "4040", " - ", "TAXABLE SALES-LOGO CLOTHING")</f>
        <v xml:space="preserve">          4040 - TAXABLE SALES-LOGO CLOTHING</v>
      </c>
      <c r="C16" s="11"/>
      <c r="D16" s="2">
        <f>--13840.8</f>
        <v>13840.8</v>
      </c>
      <c r="E16" s="2"/>
      <c r="F16" s="19"/>
      <c r="G16" s="2"/>
      <c r="H16" s="2">
        <f>--33220.2</f>
        <v>33220.199999999997</v>
      </c>
      <c r="I16" s="2"/>
      <c r="J16" s="19"/>
      <c r="K16" s="2"/>
      <c r="L16" s="2">
        <f t="shared" si="0"/>
        <v>-19379.399999999998</v>
      </c>
      <c r="M16" s="2"/>
      <c r="N16" s="19">
        <f t="shared" si="1"/>
        <v>-0.58336193039174955</v>
      </c>
      <c r="O16" s="11"/>
      <c r="P16" s="2">
        <f>--88540.99</f>
        <v>88540.99</v>
      </c>
      <c r="Q16" s="2"/>
      <c r="R16" s="19"/>
      <c r="S16" s="2"/>
      <c r="T16" s="2">
        <f>--196766.57</f>
        <v>196766.57</v>
      </c>
      <c r="U16" s="2"/>
      <c r="V16" s="19"/>
      <c r="W16" s="2"/>
      <c r="X16" s="2">
        <f t="shared" si="2"/>
        <v>-108225.58</v>
      </c>
      <c r="Y16" s="2"/>
      <c r="Z16" s="19">
        <f t="shared" si="3"/>
        <v>-0.55002015840394025</v>
      </c>
    </row>
    <row r="17" spans="1:26" s="24" customFormat="1" hidden="1" outlineLevel="1" x14ac:dyDescent="0.25">
      <c r="A17" s="44"/>
      <c r="B17" s="11" t="str">
        <f>CONCATENATE("          ", "4041", " - ", "TAXABLE SALES-LOGO GIFTS")</f>
        <v xml:space="preserve">          4041 - TAXABLE SALES-LOGO GIFTS</v>
      </c>
      <c r="C17" s="11"/>
      <c r="D17" s="2">
        <f>--1678.59</f>
        <v>1678.59</v>
      </c>
      <c r="E17" s="2"/>
      <c r="F17" s="19"/>
      <c r="G17" s="2"/>
      <c r="H17" s="2">
        <f>--3871.09</f>
        <v>3871.09</v>
      </c>
      <c r="I17" s="2"/>
      <c r="J17" s="19"/>
      <c r="K17" s="2"/>
      <c r="L17" s="2">
        <f t="shared" si="0"/>
        <v>-2192.5</v>
      </c>
      <c r="M17" s="2"/>
      <c r="N17" s="19">
        <f t="shared" si="1"/>
        <v>-0.56637794522989648</v>
      </c>
      <c r="O17" s="11"/>
      <c r="P17" s="2">
        <f>--13702.19</f>
        <v>13702.19</v>
      </c>
      <c r="Q17" s="2"/>
      <c r="R17" s="19"/>
      <c r="S17" s="2"/>
      <c r="T17" s="2">
        <f>--25047.78</f>
        <v>25047.78</v>
      </c>
      <c r="U17" s="2"/>
      <c r="V17" s="19"/>
      <c r="W17" s="2"/>
      <c r="X17" s="2">
        <f t="shared" si="2"/>
        <v>-11345.589999999998</v>
      </c>
      <c r="Y17" s="2"/>
      <c r="Z17" s="19">
        <f t="shared" si="3"/>
        <v>-0.45295790684843124</v>
      </c>
    </row>
    <row r="18" spans="1:26" s="24" customFormat="1" hidden="1" outlineLevel="1" x14ac:dyDescent="0.25">
      <c r="A18" s="44"/>
      <c r="B18" s="11" t="str">
        <f>CONCATENATE("          ", "4042", " - ", "TAXABLE SALES-EVERYDAY GIFTS")</f>
        <v xml:space="preserve">          4042 - TAXABLE SALES-EVERYDAY GIFTS</v>
      </c>
      <c r="C18" s="11"/>
      <c r="D18" s="2">
        <f>--414.83</f>
        <v>414.83</v>
      </c>
      <c r="E18" s="2"/>
      <c r="F18" s="19"/>
      <c r="G18" s="2"/>
      <c r="H18" s="2">
        <f>--1692.75</f>
        <v>1692.75</v>
      </c>
      <c r="I18" s="2"/>
      <c r="J18" s="19"/>
      <c r="K18" s="2"/>
      <c r="L18" s="2">
        <f t="shared" si="0"/>
        <v>-1277.92</v>
      </c>
      <c r="M18" s="2"/>
      <c r="N18" s="19">
        <f t="shared" si="1"/>
        <v>-0.75493723231428156</v>
      </c>
      <c r="O18" s="11"/>
      <c r="P18" s="2">
        <f>--5007.85</f>
        <v>5007.8500000000004</v>
      </c>
      <c r="Q18" s="2"/>
      <c r="R18" s="19"/>
      <c r="S18" s="2"/>
      <c r="T18" s="2">
        <f>--15906.71</f>
        <v>15906.71</v>
      </c>
      <c r="U18" s="2"/>
      <c r="V18" s="19"/>
      <c r="W18" s="2"/>
      <c r="X18" s="2">
        <f t="shared" si="2"/>
        <v>-10898.859999999999</v>
      </c>
      <c r="Y18" s="2"/>
      <c r="Z18" s="19">
        <f t="shared" si="3"/>
        <v>-0.68517374114446039</v>
      </c>
    </row>
    <row r="19" spans="1:26" s="24" customFormat="1" hidden="1" outlineLevel="1" x14ac:dyDescent="0.25">
      <c r="A19" s="44"/>
      <c r="B19" s="11" t="str">
        <f>CONCATENATE("          ", "4043", " - ", "TAXABLE SALES-CARDS")</f>
        <v xml:space="preserve">          4043 - TAXABLE SALES-CARDS</v>
      </c>
      <c r="C19" s="11"/>
      <c r="D19" s="2">
        <f>--2053.76</f>
        <v>2053.7600000000002</v>
      </c>
      <c r="E19" s="2"/>
      <c r="F19" s="19"/>
      <c r="G19" s="2"/>
      <c r="H19" s="2">
        <f>--31.98</f>
        <v>31.98</v>
      </c>
      <c r="I19" s="2"/>
      <c r="J19" s="19"/>
      <c r="K19" s="2"/>
      <c r="L19" s="2">
        <f t="shared" si="0"/>
        <v>2021.7800000000002</v>
      </c>
      <c r="M19" s="2"/>
      <c r="N19" s="19">
        <f t="shared" si="1"/>
        <v>63.220137585991253</v>
      </c>
      <c r="O19" s="11"/>
      <c r="P19" s="2">
        <f>--2870.98</f>
        <v>2870.98</v>
      </c>
      <c r="Q19" s="2"/>
      <c r="R19" s="19"/>
      <c r="S19" s="2"/>
      <c r="T19" s="2">
        <f>--31.98</f>
        <v>31.98</v>
      </c>
      <c r="U19" s="2"/>
      <c r="V19" s="19"/>
      <c r="W19" s="2"/>
      <c r="X19" s="2">
        <f t="shared" si="2"/>
        <v>2839</v>
      </c>
      <c r="Y19" s="2"/>
      <c r="Z19" s="19">
        <f t="shared" si="3"/>
        <v>88.774233896185109</v>
      </c>
    </row>
    <row r="20" spans="1:26" s="24" customFormat="1" hidden="1" outlineLevel="1" x14ac:dyDescent="0.25">
      <c r="A20" s="44"/>
      <c r="B20" s="11" t="str">
        <f>CONCATENATE("          ", "4044", " - ", "TAXABLE SALES-ACCESSORIES")</f>
        <v xml:space="preserve">          4044 - TAXABLE SALES-ACCESSORIES</v>
      </c>
      <c r="C20" s="11"/>
      <c r="D20" s="2">
        <f>--231.32</f>
        <v>231.32</v>
      </c>
      <c r="E20" s="2"/>
      <c r="F20" s="19"/>
      <c r="G20" s="2"/>
      <c r="H20" s="2">
        <f>--724.39</f>
        <v>724.39</v>
      </c>
      <c r="I20" s="2"/>
      <c r="J20" s="19"/>
      <c r="K20" s="2"/>
      <c r="L20" s="2">
        <f t="shared" si="0"/>
        <v>-493.07</v>
      </c>
      <c r="M20" s="2"/>
      <c r="N20" s="19">
        <f t="shared" si="1"/>
        <v>-0.6806692527505902</v>
      </c>
      <c r="O20" s="11"/>
      <c r="P20" s="2">
        <f>--1228.34</f>
        <v>1228.3399999999999</v>
      </c>
      <c r="Q20" s="2"/>
      <c r="R20" s="19"/>
      <c r="S20" s="2"/>
      <c r="T20" s="2">
        <f>--1937.34</f>
        <v>1937.34</v>
      </c>
      <c r="U20" s="2"/>
      <c r="V20" s="19"/>
      <c r="W20" s="2"/>
      <c r="X20" s="2">
        <f t="shared" si="2"/>
        <v>-709</v>
      </c>
      <c r="Y20" s="2"/>
      <c r="Z20" s="19">
        <f t="shared" si="3"/>
        <v>-0.36596570555503938</v>
      </c>
    </row>
    <row r="21" spans="1:26" s="24" customFormat="1" hidden="1" outlineLevel="1" x14ac:dyDescent="0.25">
      <c r="A21" s="44"/>
      <c r="B21" s="11" t="str">
        <f>CONCATENATE("          ", "4045", " - ", "TAXABLE SALES-SPECIAL ORDERS")</f>
        <v xml:space="preserve">          4045 - TAXABLE SALES-SPECIAL ORDERS</v>
      </c>
      <c r="C21" s="11"/>
      <c r="D21" s="2">
        <f>--14.95</f>
        <v>14.95</v>
      </c>
      <c r="E21" s="2"/>
      <c r="F21" s="19"/>
      <c r="G21" s="2"/>
      <c r="H21" s="2">
        <f>--89.85</f>
        <v>89.85</v>
      </c>
      <c r="I21" s="2"/>
      <c r="J21" s="19"/>
      <c r="K21" s="2"/>
      <c r="L21" s="2">
        <f t="shared" si="0"/>
        <v>-74.899999999999991</v>
      </c>
      <c r="M21" s="2"/>
      <c r="N21" s="19">
        <f t="shared" si="1"/>
        <v>-0.83361157484696713</v>
      </c>
      <c r="O21" s="11"/>
      <c r="P21" s="2">
        <f>--286.47</f>
        <v>286.47000000000003</v>
      </c>
      <c r="Q21" s="2"/>
      <c r="R21" s="19"/>
      <c r="S21" s="2"/>
      <c r="T21" s="2">
        <f>--457.61</f>
        <v>457.61</v>
      </c>
      <c r="U21" s="2"/>
      <c r="V21" s="19"/>
      <c r="W21" s="2"/>
      <c r="X21" s="2">
        <f t="shared" si="2"/>
        <v>-171.14</v>
      </c>
      <c r="Y21" s="2"/>
      <c r="Z21" s="19">
        <f t="shared" si="3"/>
        <v>-0.3739865824610476</v>
      </c>
    </row>
    <row r="22" spans="1:26" s="24" customFormat="1" hidden="1" outlineLevel="1" x14ac:dyDescent="0.25">
      <c r="A22" s="44"/>
      <c r="B22" s="11" t="str">
        <f>CONCATENATE("          ", "4092", " - ", "TAXABLE SALES-GRAD MERCH")</f>
        <v xml:space="preserve">          4092 - TAXABLE SALES-GRAD MERCH</v>
      </c>
      <c r="C22" s="11"/>
      <c r="D22" s="2">
        <f t="shared" ref="D22:D23" si="4">0</f>
        <v>0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 t="shared" ref="P22:P23" si="5">0</f>
        <v>0</v>
      </c>
      <c r="Q22" s="2"/>
      <c r="R22" s="19"/>
      <c r="S22" s="2"/>
      <c r="T22" s="2">
        <f>-39.95</f>
        <v>-39.950000000000003</v>
      </c>
      <c r="U22" s="2"/>
      <c r="V22" s="19"/>
      <c r="W22" s="2"/>
      <c r="X22" s="2">
        <f t="shared" si="2"/>
        <v>39.950000000000003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"4095", " - ", "TAXABLE SALES-CUSTOMER SERVICE")</f>
        <v xml:space="preserve">          4095 - TAXABLE SALES-CUSTOMER SERVICE</v>
      </c>
      <c r="C23" s="11"/>
      <c r="D23" s="2">
        <f t="shared" si="4"/>
        <v>0</v>
      </c>
      <c r="E23" s="2"/>
      <c r="F23" s="19"/>
      <c r="G23" s="2"/>
      <c r="H23" s="2">
        <f>--0.99</f>
        <v>0.99</v>
      </c>
      <c r="I23" s="2"/>
      <c r="J23" s="19"/>
      <c r="K23" s="2"/>
      <c r="L23" s="2">
        <f t="shared" si="0"/>
        <v>-0.99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--27.72</f>
        <v>27.72</v>
      </c>
      <c r="U23" s="2"/>
      <c r="V23" s="19"/>
      <c r="W23" s="2"/>
      <c r="X23" s="2">
        <f t="shared" si="2"/>
        <v>-27.72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>--6</f>
        <v>6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6</v>
      </c>
      <c r="M24" s="2"/>
      <c r="N24" s="19">
        <f t="shared" si="1"/>
        <v>0</v>
      </c>
      <c r="O24" s="11"/>
      <c r="P24" s="2">
        <f>--36</f>
        <v>36</v>
      </c>
      <c r="Q24" s="2"/>
      <c r="R24" s="19"/>
      <c r="S24" s="2"/>
      <c r="T24" s="2">
        <f>0</f>
        <v>0</v>
      </c>
      <c r="U24" s="2"/>
      <c r="V24" s="19"/>
      <c r="W24" s="2"/>
      <c r="X24" s="2">
        <f t="shared" si="2"/>
        <v>36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0</f>
        <v>0</v>
      </c>
      <c r="E25" s="2"/>
      <c r="F25" s="19"/>
      <c r="G25" s="2"/>
      <c r="H25" s="2">
        <f>--1.5</f>
        <v>1.5</v>
      </c>
      <c r="I25" s="2"/>
      <c r="J25" s="19"/>
      <c r="K25" s="2"/>
      <c r="L25" s="2">
        <f t="shared" si="0"/>
        <v>-1.5</v>
      </c>
      <c r="M25" s="2"/>
      <c r="N25" s="19">
        <f t="shared" si="1"/>
        <v>-1</v>
      </c>
      <c r="O25" s="11"/>
      <c r="P25" s="2">
        <f>--9</f>
        <v>9</v>
      </c>
      <c r="Q25" s="2"/>
      <c r="R25" s="19"/>
      <c r="S25" s="2"/>
      <c r="T25" s="2">
        <f>--87</f>
        <v>87</v>
      </c>
      <c r="U25" s="2"/>
      <c r="V25" s="19"/>
      <c r="W25" s="2"/>
      <c r="X25" s="2">
        <f t="shared" si="2"/>
        <v>-78</v>
      </c>
      <c r="Y25" s="2"/>
      <c r="Z25" s="19">
        <f t="shared" si="3"/>
        <v>-0.89655172413793105</v>
      </c>
    </row>
    <row r="26" spans="1:26" s="24" customFormat="1" hidden="1" outlineLevel="1" x14ac:dyDescent="0.25">
      <c r="A26" s="44"/>
      <c r="B26" s="11" t="str">
        <f>CONCATENATE("          ", "4140", " - ", "NON-TAXABLE SALES-LOGO CLOTHIN")</f>
        <v xml:space="preserve">          4140 - NON-TAXABLE SALES-LOGO CLOTHIN</v>
      </c>
      <c r="C26" s="11"/>
      <c r="D26" s="2">
        <f>--24.95</f>
        <v>24.95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24.95</v>
      </c>
      <c r="M26" s="2"/>
      <c r="N26" s="19">
        <f t="shared" si="1"/>
        <v>0</v>
      </c>
      <c r="O26" s="11"/>
      <c r="P26" s="2">
        <f>--165.78</f>
        <v>165.78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165.78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"4142", " - ", "NON-TAXABLE SALES-EVERYDAY GIF")</f>
        <v xml:space="preserve">          4142 - NON-TAXABLE SALES-EVERYDAY GIF</v>
      </c>
      <c r="C27" s="11"/>
      <c r="D27" s="2">
        <f t="shared" ref="D27:D30" si="6">0</f>
        <v>0</v>
      </c>
      <c r="E27" s="2"/>
      <c r="F27" s="19"/>
      <c r="G27" s="2"/>
      <c r="H27" s="2">
        <f>--1.26</f>
        <v>1.26</v>
      </c>
      <c r="I27" s="2"/>
      <c r="J27" s="19"/>
      <c r="K27" s="2"/>
      <c r="L27" s="2">
        <f t="shared" si="0"/>
        <v>-1.26</v>
      </c>
      <c r="M27" s="2"/>
      <c r="N27" s="19">
        <f t="shared" si="1"/>
        <v>-1</v>
      </c>
      <c r="O27" s="11"/>
      <c r="P27" s="2">
        <f>0</f>
        <v>0</v>
      </c>
      <c r="Q27" s="2"/>
      <c r="R27" s="19"/>
      <c r="S27" s="2"/>
      <c r="T27" s="2">
        <f>--158.83</f>
        <v>158.83000000000001</v>
      </c>
      <c r="U27" s="2"/>
      <c r="V27" s="19"/>
      <c r="W27" s="2"/>
      <c r="X27" s="2">
        <f t="shared" si="2"/>
        <v>-158.83000000000001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"4145", " - ", "NON-TAXABLE SALES-SPECIAL ORDE")</f>
        <v xml:space="preserve">          4145 - NON-TAXABLE SALES-SPECIAL ORDE</v>
      </c>
      <c r="C28" s="11"/>
      <c r="D28" s="2">
        <f t="shared" si="6"/>
        <v>0</v>
      </c>
      <c r="E28" s="2"/>
      <c r="F28" s="19"/>
      <c r="G28" s="2"/>
      <c r="H28" s="2">
        <f t="shared" ref="H28:H30" si="7">0</f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--7</f>
        <v>7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 t="shared" si="6"/>
        <v>0</v>
      </c>
      <c r="E29" s="2"/>
      <c r="F29" s="19"/>
      <c r="G29" s="2"/>
      <c r="H29" s="2">
        <f t="shared" si="7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-27.85</f>
        <v>-27.85</v>
      </c>
      <c r="Q29" s="2"/>
      <c r="R29" s="19"/>
      <c r="S29" s="2"/>
      <c r="T29" s="2">
        <f>-134.8</f>
        <v>-134.80000000000001</v>
      </c>
      <c r="U29" s="2"/>
      <c r="V29" s="19"/>
      <c r="W29" s="2"/>
      <c r="X29" s="2">
        <f t="shared" si="2"/>
        <v>106.95000000000002</v>
      </c>
      <c r="Y29" s="2"/>
      <c r="Z29" s="19">
        <f t="shared" si="3"/>
        <v>-0.79339762611275966</v>
      </c>
    </row>
    <row r="30" spans="1:26" s="24" customFormat="1" hidden="1" outlineLevel="1" x14ac:dyDescent="0.2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 t="shared" si="6"/>
        <v>0</v>
      </c>
      <c r="E30" s="2"/>
      <c r="F30" s="19"/>
      <c r="G30" s="2"/>
      <c r="H30" s="2">
        <f t="shared" si="7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-30</f>
        <v>-30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-30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"4240", " - ", "SALES RETURN TAXABLE-LOGO CLOT")</f>
        <v xml:space="preserve">          4240 - SALES RETURN TAXABLE-LOGO CLOT</v>
      </c>
      <c r="C31" s="11"/>
      <c r="D31" s="2">
        <f>-351.8</f>
        <v>-351.8</v>
      </c>
      <c r="E31" s="2"/>
      <c r="F31" s="19"/>
      <c r="G31" s="2"/>
      <c r="H31" s="2">
        <f>-1412.86</f>
        <v>-1412.86</v>
      </c>
      <c r="I31" s="2"/>
      <c r="J31" s="19"/>
      <c r="K31" s="2"/>
      <c r="L31" s="2">
        <f t="shared" si="0"/>
        <v>1061.06</v>
      </c>
      <c r="M31" s="2"/>
      <c r="N31" s="19">
        <f t="shared" si="1"/>
        <v>-0.75100151465821097</v>
      </c>
      <c r="O31" s="11"/>
      <c r="P31" s="2">
        <f>-2773.03</f>
        <v>-2773.03</v>
      </c>
      <c r="Q31" s="2"/>
      <c r="R31" s="19"/>
      <c r="S31" s="2"/>
      <c r="T31" s="2">
        <f>-6651.1</f>
        <v>-6651.1</v>
      </c>
      <c r="U31" s="2"/>
      <c r="V31" s="19"/>
      <c r="W31" s="2"/>
      <c r="X31" s="2">
        <f t="shared" si="2"/>
        <v>3878.07</v>
      </c>
      <c r="Y31" s="2"/>
      <c r="Z31" s="19">
        <f t="shared" si="3"/>
        <v>-0.58307197305708824</v>
      </c>
    </row>
    <row r="32" spans="1:26" s="24" customFormat="1" hidden="1" outlineLevel="1" x14ac:dyDescent="0.25">
      <c r="A32" s="44"/>
      <c r="B32" s="11" t="str">
        <f>CONCATENATE("          ", "4241", " - ", "SALES RETURN TAXABLE-LOGO GIFT")</f>
        <v xml:space="preserve">          4241 - SALES RETURN TAXABLE-LOGO GIFT</v>
      </c>
      <c r="C32" s="11"/>
      <c r="D32" s="2">
        <f>-26.9</f>
        <v>-26.9</v>
      </c>
      <c r="E32" s="2"/>
      <c r="F32" s="19"/>
      <c r="G32" s="2"/>
      <c r="H32" s="2">
        <f>-135.16</f>
        <v>-135.16</v>
      </c>
      <c r="I32" s="2"/>
      <c r="J32" s="19"/>
      <c r="K32" s="2"/>
      <c r="L32" s="2">
        <f t="shared" si="0"/>
        <v>108.25999999999999</v>
      </c>
      <c r="M32" s="2"/>
      <c r="N32" s="19">
        <f t="shared" si="1"/>
        <v>-0.80097662030186445</v>
      </c>
      <c r="O32" s="11"/>
      <c r="P32" s="2">
        <f>-150.4</f>
        <v>-150.4</v>
      </c>
      <c r="Q32" s="2"/>
      <c r="R32" s="19"/>
      <c r="S32" s="2"/>
      <c r="T32" s="2">
        <f>-869.41</f>
        <v>-869.41</v>
      </c>
      <c r="U32" s="2"/>
      <c r="V32" s="19"/>
      <c r="W32" s="2"/>
      <c r="X32" s="2">
        <f t="shared" si="2"/>
        <v>719.01</v>
      </c>
      <c r="Y32" s="2"/>
      <c r="Z32" s="19">
        <f t="shared" si="3"/>
        <v>-0.82700912112812142</v>
      </c>
    </row>
    <row r="33" spans="1:26" s="24" customFormat="1" hidden="1" outlineLevel="1" x14ac:dyDescent="0.25">
      <c r="A33" s="44"/>
      <c r="B33" s="11" t="str">
        <f>CONCATENATE("          ", "4242", " - ", "SALES RETURN TAXABLE-EVERYDAY")</f>
        <v xml:space="preserve">          4242 - SALES RETURN TAXABLE-EVERYDAY</v>
      </c>
      <c r="C33" s="11"/>
      <c r="D33" s="2">
        <f>-2.98</f>
        <v>-2.98</v>
      </c>
      <c r="E33" s="2"/>
      <c r="F33" s="19"/>
      <c r="G33" s="2"/>
      <c r="H33" s="2">
        <f>-227</f>
        <v>-227</v>
      </c>
      <c r="I33" s="2"/>
      <c r="J33" s="19"/>
      <c r="K33" s="2"/>
      <c r="L33" s="2">
        <f t="shared" si="0"/>
        <v>224.02</v>
      </c>
      <c r="M33" s="2"/>
      <c r="N33" s="19">
        <f t="shared" si="1"/>
        <v>-0.98687224669603524</v>
      </c>
      <c r="O33" s="11"/>
      <c r="P33" s="2">
        <f>-114.78</f>
        <v>-114.78</v>
      </c>
      <c r="Q33" s="2"/>
      <c r="R33" s="19"/>
      <c r="S33" s="2"/>
      <c r="T33" s="2">
        <f>-515.09</f>
        <v>-515.09</v>
      </c>
      <c r="U33" s="2"/>
      <c r="V33" s="19"/>
      <c r="W33" s="2"/>
      <c r="X33" s="2">
        <f t="shared" si="2"/>
        <v>400.31000000000006</v>
      </c>
      <c r="Y33" s="2"/>
      <c r="Z33" s="19">
        <f t="shared" si="3"/>
        <v>-0.77716515560387511</v>
      </c>
    </row>
    <row r="34" spans="1:26" s="24" customFormat="1" hidden="1" outlineLevel="1" x14ac:dyDescent="0.25">
      <c r="A34" s="44"/>
      <c r="B34" s="11" t="str">
        <f>CONCATENATE("          ", "4244", " - ", "SALES RETURN TAXABLE-ACCESSORI")</f>
        <v xml:space="preserve">          4244 - SALES RETURN TAXABLE-ACCESSORI</v>
      </c>
      <c r="C34" s="11"/>
      <c r="D34" s="2">
        <f t="shared" ref="D34:D36" si="8">0</f>
        <v>0</v>
      </c>
      <c r="E34" s="2"/>
      <c r="F34" s="19"/>
      <c r="G34" s="2"/>
      <c r="H34" s="2">
        <f>-42.9</f>
        <v>-42.9</v>
      </c>
      <c r="I34" s="2"/>
      <c r="J34" s="19"/>
      <c r="K34" s="2"/>
      <c r="L34" s="2">
        <f t="shared" si="0"/>
        <v>42.9</v>
      </c>
      <c r="M34" s="2"/>
      <c r="N34" s="19">
        <f t="shared" si="1"/>
        <v>-1</v>
      </c>
      <c r="O34" s="11"/>
      <c r="P34" s="2">
        <f>0</f>
        <v>0</v>
      </c>
      <c r="Q34" s="2"/>
      <c r="R34" s="19"/>
      <c r="S34" s="2"/>
      <c r="T34" s="2">
        <f>-65.85</f>
        <v>-65.849999999999994</v>
      </c>
      <c r="U34" s="2"/>
      <c r="V34" s="19"/>
      <c r="W34" s="2"/>
      <c r="X34" s="2">
        <f t="shared" si="2"/>
        <v>65.849999999999994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"4245", " - ", "SALES RETURN TAXABLE-SPECIAL O")</f>
        <v xml:space="preserve">          4245 - SALES RETURN TAXABLE-SPECIAL O</v>
      </c>
      <c r="C35" s="11"/>
      <c r="D35" s="2">
        <f t="shared" si="8"/>
        <v>0</v>
      </c>
      <c r="E35" s="2"/>
      <c r="F35" s="19"/>
      <c r="G35" s="2"/>
      <c r="H35" s="2">
        <f t="shared" ref="H35:H36" si="9"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-7</f>
        <v>-7</v>
      </c>
      <c r="Q35" s="2"/>
      <c r="R35" s="19"/>
      <c r="S35" s="2"/>
      <c r="T35" s="2">
        <f>-9.99</f>
        <v>-9.99</v>
      </c>
      <c r="U35" s="2"/>
      <c r="V35" s="19"/>
      <c r="W35" s="2"/>
      <c r="X35" s="2">
        <f t="shared" si="2"/>
        <v>2.99</v>
      </c>
      <c r="Y35" s="2"/>
      <c r="Z35" s="19">
        <f t="shared" si="3"/>
        <v>-0.29929929929929933</v>
      </c>
    </row>
    <row r="36" spans="1:26" s="24" customFormat="1" hidden="1" outlineLevel="1" x14ac:dyDescent="0.25">
      <c r="A36" s="44"/>
      <c r="B36" s="11" t="str">
        <f>CONCATENATE("          ", "4295", " - ", "SALES RETURN TAXABLE-CUSTOMER")</f>
        <v xml:space="preserve">          4295 - SALES RETURN TAXABLE-CUSTOMER</v>
      </c>
      <c r="C36" s="11"/>
      <c r="D36" s="2">
        <f t="shared" si="8"/>
        <v>0</v>
      </c>
      <c r="E36" s="2"/>
      <c r="F36" s="19"/>
      <c r="G36" s="2"/>
      <c r="H36" s="2">
        <f t="shared" si="9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0</f>
        <v>0</v>
      </c>
      <c r="Q36" s="2"/>
      <c r="R36" s="19"/>
      <c r="S36" s="2"/>
      <c r="T36" s="2">
        <f>--0.99</f>
        <v>0.99</v>
      </c>
      <c r="U36" s="2"/>
      <c r="V36" s="19"/>
      <c r="W36" s="2"/>
      <c r="X36" s="2">
        <f t="shared" si="2"/>
        <v>-0.99</v>
      </c>
      <c r="Y36" s="2"/>
      <c r="Z36" s="19">
        <f t="shared" si="3"/>
        <v>-1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9" t="s">
        <v>8</v>
      </c>
      <c r="C38" s="10"/>
      <c r="D38" s="4">
        <f>SUM(OSRRefD16x_0)</f>
        <v>8258</v>
      </c>
      <c r="E38" s="4"/>
      <c r="F38" s="12">
        <f t="shared" ref="F38:F52" si="10">IF(D$12=0,0,D38/D$12)</f>
        <v>0.46938429830514633</v>
      </c>
      <c r="G38" s="4"/>
      <c r="H38" s="4">
        <f>SUM(OSRRefH16x_0)</f>
        <v>16040.850000000002</v>
      </c>
      <c r="I38" s="4"/>
      <c r="J38" s="12">
        <f t="shared" ref="J38:J52" si="11">IF(H$12=0,0,H38/H$12)</f>
        <v>0.42392372948545165</v>
      </c>
      <c r="K38" s="4"/>
      <c r="L38" s="4">
        <f t="shared" ref="L38:L52" si="12">+D38-H38</f>
        <v>-7782.8500000000022</v>
      </c>
      <c r="M38" s="4"/>
      <c r="N38" s="12">
        <f t="shared" ref="N38:N52" si="13">IF(H38=0,0,L38/H38)</f>
        <v>-0.48518937587471994</v>
      </c>
      <c r="O38" s="10"/>
      <c r="P38" s="4">
        <f>SUM(OSRRefP16x_0)</f>
        <v>43614</v>
      </c>
      <c r="Q38" s="4"/>
      <c r="R38" s="12">
        <f t="shared" ref="R38:R52" si="14">IF(P$12=0,0,P38/P$12)</f>
        <v>0.41139414830639248</v>
      </c>
      <c r="S38" s="4"/>
      <c r="T38" s="4">
        <f>SUM(OSRRefT16x_0)</f>
        <v>98562.07</v>
      </c>
      <c r="U38" s="4"/>
      <c r="V38" s="12">
        <f t="shared" ref="V38:V52" si="15">IF(T$12=0,0,T38/T$12)</f>
        <v>0.42427427205947438</v>
      </c>
      <c r="W38" s="4"/>
      <c r="X38" s="4">
        <f t="shared" ref="X38:X52" si="16">+P38-T38</f>
        <v>-54948.070000000007</v>
      </c>
      <c r="Y38" s="4"/>
      <c r="Z38" s="12">
        <f t="shared" ref="Z38:Z52" si="17">IF(T38=0,0,X38/T38)</f>
        <v>-0.55749711831336335</v>
      </c>
    </row>
    <row r="39" spans="1:26" s="24" customFormat="1" hidden="1" outlineLevel="1" x14ac:dyDescent="0.25">
      <c r="A39" s="44"/>
      <c r="B39" s="11" t="str">
        <f>CONCATENATE("          ", "5026", " - ", "PURCHASES @ COST-WRITING INSTR")</f>
        <v xml:space="preserve">          5026 - PURCHASES @ COST-WRITING INSTR</v>
      </c>
      <c r="C39" s="11"/>
      <c r="D39" s="2"/>
      <c r="E39" s="2"/>
      <c r="F39" s="19">
        <f t="shared" si="10"/>
        <v>0</v>
      </c>
      <c r="G39" s="2"/>
      <c r="H39" s="2">
        <v>-0.9</v>
      </c>
      <c r="I39" s="2"/>
      <c r="J39" s="19">
        <f t="shared" si="11"/>
        <v>-2.3784983746927778E-5</v>
      </c>
      <c r="K39" s="2"/>
      <c r="L39" s="2">
        <f t="shared" si="12"/>
        <v>0.9</v>
      </c>
      <c r="M39" s="2"/>
      <c r="N39" s="19">
        <f t="shared" si="13"/>
        <v>-1</v>
      </c>
      <c r="O39" s="11"/>
      <c r="P39" s="2"/>
      <c r="Q39" s="2"/>
      <c r="R39" s="19">
        <f t="shared" si="14"/>
        <v>0</v>
      </c>
      <c r="S39" s="2"/>
      <c r="T39" s="2">
        <v>-37.270000000000003</v>
      </c>
      <c r="U39" s="2"/>
      <c r="V39" s="19">
        <f t="shared" si="15"/>
        <v>-1.6043394908058048E-4</v>
      </c>
      <c r="W39" s="2"/>
      <c r="X39" s="2">
        <f t="shared" si="16"/>
        <v>37.270000000000003</v>
      </c>
      <c r="Y39" s="2"/>
      <c r="Z39" s="19">
        <f t="shared" si="17"/>
        <v>-1</v>
      </c>
    </row>
    <row r="40" spans="1:26" s="24" customFormat="1" hidden="1" outlineLevel="1" x14ac:dyDescent="0.25">
      <c r="A40" s="44"/>
      <c r="B40" s="11" t="str">
        <f>CONCATENATE("          ", "5027", " - ", "PURCHASES @ COST-SCHOOL SUPPLI")</f>
        <v xml:space="preserve">          5027 - PURCHASES @ COST-SCHOOL SUPPLI</v>
      </c>
      <c r="C40" s="11"/>
      <c r="D40" s="2"/>
      <c r="E40" s="2"/>
      <c r="F40" s="19">
        <f t="shared" si="10"/>
        <v>0</v>
      </c>
      <c r="G40" s="2"/>
      <c r="H40" s="2">
        <v>4.29</v>
      </c>
      <c r="I40" s="2"/>
      <c r="J40" s="19">
        <f t="shared" si="11"/>
        <v>1.1337508919368907E-4</v>
      </c>
      <c r="K40" s="2"/>
      <c r="L40" s="2">
        <f t="shared" si="12"/>
        <v>-4.29</v>
      </c>
      <c r="M40" s="2"/>
      <c r="N40" s="19">
        <f t="shared" si="13"/>
        <v>-1</v>
      </c>
      <c r="O40" s="11"/>
      <c r="P40" s="2"/>
      <c r="Q40" s="2"/>
      <c r="R40" s="19">
        <f t="shared" si="14"/>
        <v>0</v>
      </c>
      <c r="S40" s="2"/>
      <c r="T40" s="2">
        <v>51.29</v>
      </c>
      <c r="U40" s="2"/>
      <c r="V40" s="19">
        <f t="shared" si="15"/>
        <v>2.2078500800490938E-4</v>
      </c>
      <c r="W40" s="2"/>
      <c r="X40" s="2">
        <f t="shared" si="16"/>
        <v>-51.29</v>
      </c>
      <c r="Y40" s="2"/>
      <c r="Z40" s="19">
        <f t="shared" si="17"/>
        <v>-1</v>
      </c>
    </row>
    <row r="41" spans="1:26" s="24" customFormat="1" hidden="1" outlineLevel="1" x14ac:dyDescent="0.25">
      <c r="A41" s="44"/>
      <c r="B41" s="11" t="str">
        <f>CONCATENATE("          ", "5037", " - ", "PURCHASES @ COST-WATER")</f>
        <v xml:space="preserve">          5037 - PURCHASES @ COST-WATER</v>
      </c>
      <c r="C41" s="11"/>
      <c r="D41" s="2"/>
      <c r="E41" s="2"/>
      <c r="F41" s="19">
        <f t="shared" si="10"/>
        <v>0</v>
      </c>
      <c r="G41" s="2"/>
      <c r="H41" s="2"/>
      <c r="I41" s="2"/>
      <c r="J41" s="19">
        <f t="shared" si="11"/>
        <v>0</v>
      </c>
      <c r="K41" s="2"/>
      <c r="L41" s="2">
        <f t="shared" si="12"/>
        <v>0</v>
      </c>
      <c r="M41" s="2"/>
      <c r="N41" s="19">
        <f t="shared" si="13"/>
        <v>0</v>
      </c>
      <c r="O41" s="11"/>
      <c r="P41" s="2"/>
      <c r="Q41" s="2"/>
      <c r="R41" s="19">
        <f t="shared" si="14"/>
        <v>0</v>
      </c>
      <c r="S41" s="2"/>
      <c r="T41" s="2">
        <v>29.76</v>
      </c>
      <c r="U41" s="2"/>
      <c r="V41" s="19">
        <f t="shared" si="15"/>
        <v>1.2810609940000202E-4</v>
      </c>
      <c r="W41" s="2"/>
      <c r="X41" s="2">
        <f t="shared" si="16"/>
        <v>-29.76</v>
      </c>
      <c r="Y41" s="2"/>
      <c r="Z41" s="19">
        <f t="shared" si="17"/>
        <v>-1</v>
      </c>
    </row>
    <row r="42" spans="1:26" s="24" customFormat="1" hidden="1" outlineLevel="1" x14ac:dyDescent="0.25">
      <c r="A42" s="44"/>
      <c r="B42" s="11" t="str">
        <f>CONCATENATE("          ", "5040", " - ", "PURCHASES @ COST-LOGO CLOTHING")</f>
        <v xml:space="preserve">          5040 - PURCHASES @ COST-LOGO CLOTHING</v>
      </c>
      <c r="C42" s="11"/>
      <c r="D42" s="2"/>
      <c r="E42" s="2"/>
      <c r="F42" s="19">
        <f t="shared" si="10"/>
        <v>0</v>
      </c>
      <c r="G42" s="2"/>
      <c r="H42" s="2">
        <v>24596.66</v>
      </c>
      <c r="I42" s="2"/>
      <c r="J42" s="19">
        <f t="shared" si="11"/>
        <v>0.65003462036523174</v>
      </c>
      <c r="K42" s="2"/>
      <c r="L42" s="2">
        <f t="shared" si="12"/>
        <v>-24596.66</v>
      </c>
      <c r="M42" s="2"/>
      <c r="N42" s="19">
        <f t="shared" si="13"/>
        <v>-1</v>
      </c>
      <c r="O42" s="11"/>
      <c r="P42" s="2"/>
      <c r="Q42" s="2"/>
      <c r="R42" s="19">
        <f t="shared" si="14"/>
        <v>0</v>
      </c>
      <c r="S42" s="2"/>
      <c r="T42" s="2">
        <v>125372.19</v>
      </c>
      <c r="U42" s="2"/>
      <c r="V42" s="19">
        <f t="shared" si="15"/>
        <v>0.53968219872768608</v>
      </c>
      <c r="W42" s="2"/>
      <c r="X42" s="2">
        <f t="shared" si="16"/>
        <v>-125372.19</v>
      </c>
      <c r="Y42" s="2"/>
      <c r="Z42" s="19">
        <f t="shared" si="17"/>
        <v>-1</v>
      </c>
    </row>
    <row r="43" spans="1:26" s="24" customFormat="1" hidden="1" outlineLevel="1" x14ac:dyDescent="0.25">
      <c r="A43" s="44"/>
      <c r="B43" s="11" t="str">
        <f>CONCATENATE("          ", "5041", " - ", "PURCHASES @ COST-LOGO GIFTS")</f>
        <v xml:space="preserve">          5041 - PURCHASES @ COST-LOGO GIFTS</v>
      </c>
      <c r="C43" s="11"/>
      <c r="D43" s="2"/>
      <c r="E43" s="2"/>
      <c r="F43" s="19">
        <f t="shared" si="10"/>
        <v>0</v>
      </c>
      <c r="G43" s="2"/>
      <c r="H43" s="2">
        <v>2659.72</v>
      </c>
      <c r="I43" s="2"/>
      <c r="J43" s="19">
        <f t="shared" si="11"/>
        <v>7.0290441079309721E-2</v>
      </c>
      <c r="K43" s="2"/>
      <c r="L43" s="2">
        <f t="shared" si="12"/>
        <v>-2659.72</v>
      </c>
      <c r="M43" s="2"/>
      <c r="N43" s="19">
        <f t="shared" si="13"/>
        <v>-1</v>
      </c>
      <c r="O43" s="11"/>
      <c r="P43" s="2">
        <v>207.6</v>
      </c>
      <c r="Q43" s="2"/>
      <c r="R43" s="19">
        <f t="shared" si="14"/>
        <v>1.958211243830125E-3</v>
      </c>
      <c r="S43" s="2"/>
      <c r="T43" s="2">
        <v>14714.36</v>
      </c>
      <c r="U43" s="2"/>
      <c r="V43" s="19">
        <f t="shared" si="15"/>
        <v>6.3340029058044811E-2</v>
      </c>
      <c r="W43" s="2"/>
      <c r="X43" s="2">
        <f t="shared" si="16"/>
        <v>-14506.76</v>
      </c>
      <c r="Y43" s="2"/>
      <c r="Z43" s="19">
        <f t="shared" si="17"/>
        <v>-0.98589133336414225</v>
      </c>
    </row>
    <row r="44" spans="1:26" s="24" customFormat="1" hidden="1" outlineLevel="1" x14ac:dyDescent="0.25">
      <c r="A44" s="44"/>
      <c r="B44" s="11" t="str">
        <f>CONCATENATE("          ", "5042", " - ", "PURCHASES @ COST-EVERYDAY GIFT")</f>
        <v xml:space="preserve">          5042 - PURCHASES @ COST-EVERYDAY GIFT</v>
      </c>
      <c r="C44" s="11"/>
      <c r="D44" s="2"/>
      <c r="E44" s="2"/>
      <c r="F44" s="19">
        <f t="shared" si="10"/>
        <v>0</v>
      </c>
      <c r="G44" s="2"/>
      <c r="H44" s="2">
        <v>4428.41</v>
      </c>
      <c r="I44" s="2"/>
      <c r="J44" s="19">
        <f t="shared" si="11"/>
        <v>0.11703295541636938</v>
      </c>
      <c r="K44" s="2"/>
      <c r="L44" s="2">
        <f t="shared" si="12"/>
        <v>-4428.41</v>
      </c>
      <c r="M44" s="2"/>
      <c r="N44" s="19">
        <f t="shared" si="13"/>
        <v>-1</v>
      </c>
      <c r="O44" s="11"/>
      <c r="P44" s="2">
        <v>7946.04</v>
      </c>
      <c r="Q44" s="2"/>
      <c r="R44" s="19">
        <f t="shared" si="14"/>
        <v>7.4951950250115265E-2</v>
      </c>
      <c r="S44" s="2"/>
      <c r="T44" s="2">
        <v>13868.95</v>
      </c>
      <c r="U44" s="2"/>
      <c r="V44" s="19">
        <f t="shared" si="15"/>
        <v>5.9700842986346037E-2</v>
      </c>
      <c r="W44" s="2"/>
      <c r="X44" s="2">
        <f t="shared" si="16"/>
        <v>-5922.9100000000008</v>
      </c>
      <c r="Y44" s="2"/>
      <c r="Z44" s="19">
        <f t="shared" si="17"/>
        <v>-0.42706261108447291</v>
      </c>
    </row>
    <row r="45" spans="1:26" s="24" customFormat="1" hidden="1" outlineLevel="1" x14ac:dyDescent="0.25">
      <c r="A45" s="44"/>
      <c r="B45" s="11" t="str">
        <f>CONCATENATE("          ", "5043", " - ", "PURCHASES @ COST-CARDS")</f>
        <v xml:space="preserve">          5043 - PURCHASES @ COST-CARDS</v>
      </c>
      <c r="C45" s="11"/>
      <c r="D45" s="2"/>
      <c r="E45" s="2"/>
      <c r="F45" s="19">
        <f t="shared" si="10"/>
        <v>0</v>
      </c>
      <c r="G45" s="2"/>
      <c r="H45" s="2">
        <v>93.4</v>
      </c>
      <c r="I45" s="2"/>
      <c r="J45" s="19">
        <f t="shared" si="11"/>
        <v>2.4683527577367271E-3</v>
      </c>
      <c r="K45" s="2"/>
      <c r="L45" s="2">
        <f t="shared" si="12"/>
        <v>-93.4</v>
      </c>
      <c r="M45" s="2"/>
      <c r="N45" s="19">
        <f t="shared" si="13"/>
        <v>-1</v>
      </c>
      <c r="O45" s="11"/>
      <c r="P45" s="2"/>
      <c r="Q45" s="2"/>
      <c r="R45" s="19">
        <f t="shared" si="14"/>
        <v>0</v>
      </c>
      <c r="S45" s="2"/>
      <c r="T45" s="2">
        <v>93.4</v>
      </c>
      <c r="U45" s="2"/>
      <c r="V45" s="19">
        <f t="shared" si="15"/>
        <v>4.020534167997375E-4</v>
      </c>
      <c r="W45" s="2"/>
      <c r="X45" s="2">
        <f t="shared" si="16"/>
        <v>-93.4</v>
      </c>
      <c r="Y45" s="2"/>
      <c r="Z45" s="19">
        <f t="shared" si="17"/>
        <v>-1</v>
      </c>
    </row>
    <row r="46" spans="1:26" s="24" customFormat="1" hidden="1" outlineLevel="1" x14ac:dyDescent="0.25">
      <c r="A46" s="44"/>
      <c r="B46" s="11" t="str">
        <f>CONCATENATE("          ", "5044", " - ", "PURCHASES @ COST-ACCESSORIES")</f>
        <v xml:space="preserve">          5044 - PURCHASES @ COST-ACCESSORIES</v>
      </c>
      <c r="C46" s="11"/>
      <c r="D46" s="2"/>
      <c r="E46" s="2"/>
      <c r="F46" s="19">
        <f t="shared" si="10"/>
        <v>0</v>
      </c>
      <c r="G46" s="2"/>
      <c r="H46" s="2">
        <v>-7717.73</v>
      </c>
      <c r="I46" s="2"/>
      <c r="J46" s="19">
        <f t="shared" si="11"/>
        <v>-0.20396231401464102</v>
      </c>
      <c r="K46" s="2"/>
      <c r="L46" s="2">
        <f t="shared" si="12"/>
        <v>7717.73</v>
      </c>
      <c r="M46" s="2"/>
      <c r="N46" s="19">
        <f t="shared" si="13"/>
        <v>-1</v>
      </c>
      <c r="O46" s="11"/>
      <c r="P46" s="2"/>
      <c r="Q46" s="2"/>
      <c r="R46" s="19">
        <f t="shared" si="14"/>
        <v>0</v>
      </c>
      <c r="S46" s="2"/>
      <c r="T46" s="2">
        <v>-5365.16</v>
      </c>
      <c r="U46" s="2"/>
      <c r="V46" s="19">
        <f t="shared" si="15"/>
        <v>-2.3095084686052245E-2</v>
      </c>
      <c r="W46" s="2"/>
      <c r="X46" s="2">
        <f t="shared" si="16"/>
        <v>5365.16</v>
      </c>
      <c r="Y46" s="2"/>
      <c r="Z46" s="19">
        <f t="shared" si="17"/>
        <v>-1</v>
      </c>
    </row>
    <row r="47" spans="1:26" s="24" customFormat="1" hidden="1" outlineLevel="1" x14ac:dyDescent="0.25">
      <c r="A47" s="44"/>
      <c r="B47" s="11" t="str">
        <f>CONCATENATE("          ", "5045", " - ", "PURCHASES @ COST-SPECIAL ORDER")</f>
        <v xml:space="preserve">          5045 - PURCHASES @ COST-SPECIAL ORDER</v>
      </c>
      <c r="C47" s="11"/>
      <c r="D47" s="2"/>
      <c r="E47" s="2"/>
      <c r="F47" s="19">
        <f t="shared" si="10"/>
        <v>0</v>
      </c>
      <c r="G47" s="2"/>
      <c r="H47" s="2">
        <v>-15</v>
      </c>
      <c r="I47" s="2"/>
      <c r="J47" s="19">
        <f t="shared" si="11"/>
        <v>-3.9641639578212964E-4</v>
      </c>
      <c r="K47" s="2"/>
      <c r="L47" s="2">
        <f t="shared" si="12"/>
        <v>15</v>
      </c>
      <c r="M47" s="2"/>
      <c r="N47" s="19">
        <f t="shared" si="13"/>
        <v>-1</v>
      </c>
      <c r="O47" s="11"/>
      <c r="P47" s="2"/>
      <c r="Q47" s="2"/>
      <c r="R47" s="19">
        <f t="shared" si="14"/>
        <v>0</v>
      </c>
      <c r="S47" s="2"/>
      <c r="T47" s="2">
        <v>-983.2</v>
      </c>
      <c r="U47" s="2"/>
      <c r="V47" s="19">
        <f t="shared" si="15"/>
        <v>-4.2323224774893139E-3</v>
      </c>
      <c r="W47" s="2"/>
      <c r="X47" s="2">
        <f t="shared" si="16"/>
        <v>983.2</v>
      </c>
      <c r="Y47" s="2"/>
      <c r="Z47" s="19">
        <f t="shared" si="17"/>
        <v>-1</v>
      </c>
    </row>
    <row r="48" spans="1:26" s="24" customFormat="1" hidden="1" outlineLevel="1" x14ac:dyDescent="0.25">
      <c r="A48" s="44"/>
      <c r="B48" s="11" t="str">
        <f>CONCATENATE("          ", "5083", " - ", "PURCHASES @ COST-COMPUTER EQUI")</f>
        <v xml:space="preserve">          5083 - PURCHASES @ COST-COMPUTER EQUI</v>
      </c>
      <c r="C48" s="11"/>
      <c r="D48" s="2"/>
      <c r="E48" s="2"/>
      <c r="F48" s="19">
        <f t="shared" si="10"/>
        <v>0</v>
      </c>
      <c r="G48" s="2"/>
      <c r="H48" s="2"/>
      <c r="I48" s="2"/>
      <c r="J48" s="19">
        <f t="shared" si="11"/>
        <v>0</v>
      </c>
      <c r="K48" s="2"/>
      <c r="L48" s="2">
        <f t="shared" si="12"/>
        <v>0</v>
      </c>
      <c r="M48" s="2"/>
      <c r="N48" s="19">
        <f t="shared" si="13"/>
        <v>0</v>
      </c>
      <c r="O48" s="11"/>
      <c r="P48" s="2"/>
      <c r="Q48" s="2"/>
      <c r="R48" s="19">
        <f t="shared" si="14"/>
        <v>0</v>
      </c>
      <c r="S48" s="2"/>
      <c r="T48" s="2">
        <v>39.950000000000003</v>
      </c>
      <c r="U48" s="2"/>
      <c r="V48" s="19">
        <f t="shared" si="15"/>
        <v>1.7197038545127959E-4</v>
      </c>
      <c r="W48" s="2"/>
      <c r="X48" s="2">
        <f t="shared" si="16"/>
        <v>-39.950000000000003</v>
      </c>
      <c r="Y48" s="2"/>
      <c r="Z48" s="19">
        <f t="shared" si="17"/>
        <v>-1</v>
      </c>
    </row>
    <row r="49" spans="1:26" s="24" customFormat="1" hidden="1" outlineLevel="1" x14ac:dyDescent="0.25">
      <c r="A49" s="44"/>
      <c r="B49" s="11" t="str">
        <f>CONCATENATE("          ", "5092", " - ", "PURCHASES @ COST-GRAD MERCH")</f>
        <v xml:space="preserve">          5092 - PURCHASES @ COST-GRAD MERCH</v>
      </c>
      <c r="C49" s="11"/>
      <c r="D49" s="2"/>
      <c r="E49" s="2"/>
      <c r="F49" s="19">
        <f t="shared" si="10"/>
        <v>0</v>
      </c>
      <c r="G49" s="2"/>
      <c r="H49" s="2"/>
      <c r="I49" s="2"/>
      <c r="J49" s="19">
        <f t="shared" si="11"/>
        <v>0</v>
      </c>
      <c r="K49" s="2"/>
      <c r="L49" s="2">
        <f t="shared" si="12"/>
        <v>0</v>
      </c>
      <c r="M49" s="2"/>
      <c r="N49" s="19">
        <f t="shared" si="13"/>
        <v>0</v>
      </c>
      <c r="O49" s="11"/>
      <c r="P49" s="2"/>
      <c r="Q49" s="2"/>
      <c r="R49" s="19">
        <f t="shared" si="14"/>
        <v>0</v>
      </c>
      <c r="S49" s="2"/>
      <c r="T49" s="2">
        <v>-60.35</v>
      </c>
      <c r="U49" s="2"/>
      <c r="V49" s="19">
        <f t="shared" si="15"/>
        <v>-2.5978505036257127E-4</v>
      </c>
      <c r="W49" s="2"/>
      <c r="X49" s="2">
        <f t="shared" si="16"/>
        <v>60.35</v>
      </c>
      <c r="Y49" s="2"/>
      <c r="Z49" s="19">
        <f t="shared" si="17"/>
        <v>-1</v>
      </c>
    </row>
    <row r="50" spans="1:26" s="24" customFormat="1" hidden="1" outlineLevel="1" x14ac:dyDescent="0.25">
      <c r="A50" s="44"/>
      <c r="B50" s="11" t="str">
        <f>CONCATENATE("          ", "5095", " - ", "PURCHASES @ COST-CUSTOMER SERV")</f>
        <v xml:space="preserve">          5095 - PURCHASES @ COST-CUSTOMER SERV</v>
      </c>
      <c r="C50" s="11"/>
      <c r="D50" s="2"/>
      <c r="E50" s="2"/>
      <c r="F50" s="19">
        <f t="shared" si="10"/>
        <v>0</v>
      </c>
      <c r="G50" s="2"/>
      <c r="H50" s="2"/>
      <c r="I50" s="2"/>
      <c r="J50" s="19">
        <f t="shared" si="11"/>
        <v>0</v>
      </c>
      <c r="K50" s="2"/>
      <c r="L50" s="2">
        <f t="shared" si="12"/>
        <v>0</v>
      </c>
      <c r="M50" s="2"/>
      <c r="N50" s="19">
        <f t="shared" si="13"/>
        <v>0</v>
      </c>
      <c r="O50" s="11"/>
      <c r="P50" s="2"/>
      <c r="Q50" s="2"/>
      <c r="R50" s="19">
        <f t="shared" si="14"/>
        <v>0</v>
      </c>
      <c r="S50" s="2"/>
      <c r="T50" s="2">
        <v>-11.85</v>
      </c>
      <c r="U50" s="2"/>
      <c r="V50" s="19">
        <f t="shared" si="15"/>
        <v>-5.1009989176412092E-5</v>
      </c>
      <c r="W50" s="2"/>
      <c r="X50" s="2">
        <f t="shared" si="16"/>
        <v>11.85</v>
      </c>
      <c r="Y50" s="2"/>
      <c r="Z50" s="19">
        <f t="shared" si="17"/>
        <v>-1</v>
      </c>
    </row>
    <row r="51" spans="1:26" s="24" customFormat="1" hidden="1" outlineLevel="1" x14ac:dyDescent="0.25">
      <c r="A51" s="44"/>
      <c r="B51" s="11" t="str">
        <f>CONCATENATE("          ", "5200", " - ", "PURCHASES OFFSET")</f>
        <v xml:space="preserve">          5200 - PURCHASES OFFSET</v>
      </c>
      <c r="C51" s="11"/>
      <c r="D51" s="2"/>
      <c r="E51" s="2"/>
      <c r="F51" s="19">
        <f t="shared" si="10"/>
        <v>0</v>
      </c>
      <c r="G51" s="2"/>
      <c r="H51" s="2">
        <v>-24048</v>
      </c>
      <c r="I51" s="2"/>
      <c r="J51" s="19">
        <f t="shared" si="11"/>
        <v>-0.63553476571791023</v>
      </c>
      <c r="K51" s="2"/>
      <c r="L51" s="2">
        <f t="shared" si="12"/>
        <v>24048</v>
      </c>
      <c r="M51" s="2"/>
      <c r="N51" s="19">
        <f t="shared" si="13"/>
        <v>-1</v>
      </c>
      <c r="O51" s="11"/>
      <c r="P51" s="2">
        <v>-8153.64</v>
      </c>
      <c r="Q51" s="2"/>
      <c r="R51" s="19">
        <f t="shared" si="14"/>
        <v>-7.6910161493945389E-2</v>
      </c>
      <c r="S51" s="2"/>
      <c r="T51" s="2">
        <v>-147712</v>
      </c>
      <c r="U51" s="2"/>
      <c r="V51" s="19">
        <f t="shared" si="15"/>
        <v>-0.63584704820474114</v>
      </c>
      <c r="W51" s="2"/>
      <c r="X51" s="2">
        <f t="shared" si="16"/>
        <v>139558.35999999999</v>
      </c>
      <c r="Y51" s="2"/>
      <c r="Z51" s="19">
        <f t="shared" si="17"/>
        <v>-0.94480042244367413</v>
      </c>
    </row>
    <row r="52" spans="1:26" s="24" customFormat="1" hidden="1" outlineLevel="1" x14ac:dyDescent="0.25">
      <c r="A52" s="44"/>
      <c r="B52" s="11" t="str">
        <f>CONCATENATE("          ", "5300", " - ", "COG$ OFFSET")</f>
        <v xml:space="preserve">          5300 - COG$ OFFSET</v>
      </c>
      <c r="C52" s="11"/>
      <c r="D52" s="2">
        <v>8258</v>
      </c>
      <c r="E52" s="2"/>
      <c r="F52" s="19">
        <f t="shared" si="10"/>
        <v>0.46938429830514633</v>
      </c>
      <c r="G52" s="2"/>
      <c r="H52" s="2">
        <v>16040</v>
      </c>
      <c r="I52" s="2"/>
      <c r="J52" s="19">
        <f t="shared" si="11"/>
        <v>0.42390126588969063</v>
      </c>
      <c r="K52" s="2"/>
      <c r="L52" s="2">
        <f t="shared" si="12"/>
        <v>-7782</v>
      </c>
      <c r="M52" s="2"/>
      <c r="N52" s="19">
        <f t="shared" si="13"/>
        <v>-0.48516209476309224</v>
      </c>
      <c r="O52" s="11"/>
      <c r="P52" s="2">
        <v>43614</v>
      </c>
      <c r="Q52" s="2"/>
      <c r="R52" s="19">
        <f t="shared" si="14"/>
        <v>0.41139414830639248</v>
      </c>
      <c r="S52" s="2"/>
      <c r="T52" s="2">
        <v>98562</v>
      </c>
      <c r="U52" s="2"/>
      <c r="V52" s="19">
        <f t="shared" si="15"/>
        <v>0.42427397073464374</v>
      </c>
      <c r="W52" s="2"/>
      <c r="X52" s="2">
        <f t="shared" si="16"/>
        <v>-54948</v>
      </c>
      <c r="Y52" s="2"/>
      <c r="Z52" s="19">
        <f t="shared" si="17"/>
        <v>-0.55749680404212576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6</v>
      </c>
      <c r="C54" s="28"/>
      <c r="D54" s="20">
        <f>D12-D38</f>
        <v>9335.260000000002</v>
      </c>
      <c r="E54" s="14"/>
      <c r="F54" s="22">
        <f>IF(D$12=0,0,D54/D$12)</f>
        <v>0.53061570169485361</v>
      </c>
      <c r="G54" s="14"/>
      <c r="H54" s="20">
        <f>H12-H38</f>
        <v>21798.149999999991</v>
      </c>
      <c r="I54" s="14"/>
      <c r="J54" s="22">
        <f>IF(H$12=0,0,H54/H$12)</f>
        <v>0.57607627051454835</v>
      </c>
      <c r="K54" s="15"/>
      <c r="L54" s="20">
        <f>+D54-H54</f>
        <v>-12462.889999999989</v>
      </c>
      <c r="M54" s="15"/>
      <c r="N54" s="22">
        <f>IF(H54=0,0,L54/H54)</f>
        <v>-0.57174072111624119</v>
      </c>
      <c r="O54" s="29"/>
      <c r="P54" s="20">
        <f>P12-P38</f>
        <v>62401.12000000001</v>
      </c>
      <c r="Q54" s="14"/>
      <c r="R54" s="22">
        <f>IF(P$12=0,0,P54/P$12)</f>
        <v>0.58860585169360746</v>
      </c>
      <c r="S54" s="14"/>
      <c r="T54" s="20">
        <f>T12-T38</f>
        <v>133745.36999999997</v>
      </c>
      <c r="U54" s="14"/>
      <c r="V54" s="22">
        <f>IF(T$12=0,0,T54/T$12)</f>
        <v>0.57572572794052568</v>
      </c>
      <c r="W54" s="15"/>
      <c r="X54" s="20">
        <f>+P54-T54</f>
        <v>-71344.249999999956</v>
      </c>
      <c r="Y54" s="15"/>
      <c r="Z54" s="22">
        <f>IF(T54=0,0,X54/T54)</f>
        <v>-0.53343341904097297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9</v>
      </c>
      <c r="C56" s="10"/>
      <c r="D56" s="21">
        <f>SUM(OSRRefD22x_0)</f>
        <v>20583.830000000005</v>
      </c>
      <c r="E56" s="21"/>
      <c r="F56" s="35">
        <f t="shared" ref="F56:F65" si="18">IF(D$12=0,0,D56/D$12)</f>
        <v>1.1699838460865128</v>
      </c>
      <c r="G56" s="21"/>
      <c r="H56" s="21">
        <f>SUM(OSRRefH22x_0)</f>
        <v>33063.490000000005</v>
      </c>
      <c r="I56" s="21"/>
      <c r="J56" s="35">
        <f t="shared" ref="J56:J65" si="19">IF(H$12=0,0,H56/H$12)</f>
        <v>0.87379396918523244</v>
      </c>
      <c r="K56" s="4"/>
      <c r="L56" s="21">
        <f t="shared" ref="L56:L65" si="20">+D56-H56</f>
        <v>-12479.66</v>
      </c>
      <c r="M56" s="4"/>
      <c r="N56" s="35">
        <f t="shared" ref="N56:N65" si="21">IF(H56=0,0,L56/H56)</f>
        <v>-0.37744533320590168</v>
      </c>
      <c r="O56" s="10"/>
      <c r="P56" s="21">
        <f>SUM(OSRRefP22x_0)</f>
        <v>106425.79000000002</v>
      </c>
      <c r="Q56" s="21"/>
      <c r="R56" s="35">
        <f t="shared" ref="R56:R65" si="22">IF(P$12=0,0,P56/P$12)</f>
        <v>1.0038736927336405</v>
      </c>
      <c r="S56" s="21"/>
      <c r="T56" s="21">
        <f>SUM(OSRRefT22x_0)</f>
        <v>152683.87999999998</v>
      </c>
      <c r="U56" s="21"/>
      <c r="V56" s="35">
        <f t="shared" ref="V56:V65" si="23">IF(T$12=0,0,T56/T$12)</f>
        <v>0.65724920389979757</v>
      </c>
      <c r="W56" s="4"/>
      <c r="X56" s="21">
        <f t="shared" ref="X56:X65" si="24">+P56-T56</f>
        <v>-46258.089999999953</v>
      </c>
      <c r="Y56" s="4"/>
      <c r="Z56" s="35">
        <f t="shared" ref="Z56:Z65" si="25">IF(T56=0,0,X56/T56)</f>
        <v>-0.30296642972394966</v>
      </c>
    </row>
    <row r="57" spans="1:26" s="26" customFormat="1" outlineLevel="1" collapsed="1" x14ac:dyDescent="0.25">
      <c r="A57" s="27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5216.1000000000004</v>
      </c>
      <c r="E57" s="1"/>
      <c r="F57" s="5">
        <f t="shared" si="18"/>
        <v>0.2964828576398007</v>
      </c>
      <c r="G57" s="1"/>
      <c r="H57" s="1">
        <f>SUM(OSRRefH22_0x_0)</f>
        <v>3069.3700000000003</v>
      </c>
      <c r="I57" s="1"/>
      <c r="J57" s="5">
        <f t="shared" si="19"/>
        <v>8.1116572848119683E-2</v>
      </c>
      <c r="K57" s="1"/>
      <c r="L57" s="1">
        <f t="shared" si="20"/>
        <v>2146.73</v>
      </c>
      <c r="M57" s="1"/>
      <c r="N57" s="5">
        <f t="shared" si="21"/>
        <v>0.69940411224453214</v>
      </c>
      <c r="O57" s="13"/>
      <c r="P57" s="1">
        <f>SUM(OSRRefP22_0x_0)</f>
        <v>26049.420000000002</v>
      </c>
      <c r="Q57" s="1"/>
      <c r="R57" s="5">
        <f t="shared" si="22"/>
        <v>0.24571419623917795</v>
      </c>
      <c r="S57" s="1"/>
      <c r="T57" s="1">
        <f>SUM(OSRRefT22_0x_0)</f>
        <v>10668.31</v>
      </c>
      <c r="U57" s="1"/>
      <c r="V57" s="5">
        <f t="shared" si="23"/>
        <v>4.5923238618616781E-2</v>
      </c>
      <c r="W57" s="1"/>
      <c r="X57" s="1">
        <f t="shared" si="24"/>
        <v>15381.110000000002</v>
      </c>
      <c r="Y57" s="1"/>
      <c r="Z57" s="5">
        <f t="shared" si="25"/>
        <v>1.4417569418211509</v>
      </c>
    </row>
    <row r="58" spans="1:26" s="24" customFormat="1" hidden="1" outlineLevel="2" x14ac:dyDescent="0.25">
      <c r="A58" s="25"/>
      <c r="B58" s="11" t="str">
        <f>CONCATENATE("          ", "6111", " - ", "F.I.C.A.")</f>
        <v xml:space="preserve">          6111 - F.I.C.A.</v>
      </c>
      <c r="C58" s="11"/>
      <c r="D58" s="6">
        <v>643.12</v>
      </c>
      <c r="E58" s="2"/>
      <c r="F58" s="7">
        <f t="shared" si="18"/>
        <v>3.6554907959070689E-2</v>
      </c>
      <c r="G58" s="2"/>
      <c r="H58" s="6">
        <v>343</v>
      </c>
      <c r="I58" s="2"/>
      <c r="J58" s="7">
        <f t="shared" si="19"/>
        <v>9.0647215835513648E-3</v>
      </c>
      <c r="K58" s="2"/>
      <c r="L58" s="6">
        <f t="shared" si="20"/>
        <v>300.12</v>
      </c>
      <c r="M58" s="2"/>
      <c r="N58" s="7">
        <f t="shared" si="21"/>
        <v>0.87498542274052482</v>
      </c>
      <c r="O58" s="11"/>
      <c r="P58" s="6">
        <v>3851.5</v>
      </c>
      <c r="Q58" s="2"/>
      <c r="R58" s="7">
        <f t="shared" si="22"/>
        <v>3.6329723533775178E-2</v>
      </c>
      <c r="S58" s="2"/>
      <c r="T58" s="6">
        <v>2506.1</v>
      </c>
      <c r="U58" s="2"/>
      <c r="V58" s="7">
        <f t="shared" si="23"/>
        <v>1.0787859398734712E-2</v>
      </c>
      <c r="W58" s="2"/>
      <c r="X58" s="6">
        <f t="shared" si="24"/>
        <v>1345.4</v>
      </c>
      <c r="Y58" s="2"/>
      <c r="Z58" s="7">
        <f t="shared" si="25"/>
        <v>0.53685008579067084</v>
      </c>
    </row>
    <row r="59" spans="1:26" s="24" customFormat="1" hidden="1" outlineLevel="2" x14ac:dyDescent="0.25">
      <c r="A59" s="25"/>
      <c r="B59" s="11" t="str">
        <f>CONCATENATE("          ", "6112", " - ", "COMPENSATION INSURANCE")</f>
        <v xml:space="preserve">          6112 - COMPENSATION INSURANCE</v>
      </c>
      <c r="C59" s="11"/>
      <c r="D59" s="6">
        <v>354.54</v>
      </c>
      <c r="E59" s="2"/>
      <c r="F59" s="7">
        <f t="shared" si="18"/>
        <v>2.0152035495411311E-2</v>
      </c>
      <c r="G59" s="2"/>
      <c r="H59" s="6">
        <v>203.94</v>
      </c>
      <c r="I59" s="2"/>
      <c r="J59" s="7">
        <f t="shared" si="19"/>
        <v>5.3896773170538344E-3</v>
      </c>
      <c r="K59" s="2"/>
      <c r="L59" s="6">
        <f t="shared" si="20"/>
        <v>150.60000000000002</v>
      </c>
      <c r="M59" s="2"/>
      <c r="N59" s="7">
        <f t="shared" si="21"/>
        <v>0.73845248602530167</v>
      </c>
      <c r="O59" s="11"/>
      <c r="P59" s="6">
        <v>1428.13</v>
      </c>
      <c r="Q59" s="2"/>
      <c r="R59" s="7">
        <f t="shared" si="22"/>
        <v>1.3471003004099792E-2</v>
      </c>
      <c r="S59" s="2"/>
      <c r="T59" s="6">
        <v>697.68</v>
      </c>
      <c r="U59" s="2"/>
      <c r="V59" s="7">
        <f t="shared" si="23"/>
        <v>3.0032615399661761E-3</v>
      </c>
      <c r="W59" s="2"/>
      <c r="X59" s="6">
        <f t="shared" si="24"/>
        <v>730.45000000000016</v>
      </c>
      <c r="Y59" s="2"/>
      <c r="Z59" s="7">
        <f t="shared" si="25"/>
        <v>1.0469699575736731</v>
      </c>
    </row>
    <row r="60" spans="1:26" s="24" customFormat="1" hidden="1" outlineLevel="2" x14ac:dyDescent="0.25">
      <c r="A60" s="25"/>
      <c r="B60" s="11" t="str">
        <f>CONCATENATE("          ", "6113", " - ", "GROUP INSURANCE")</f>
        <v xml:space="preserve">          6113 - GROUP INSURANCE</v>
      </c>
      <c r="C60" s="11"/>
      <c r="D60" s="6">
        <v>2714.98</v>
      </c>
      <c r="E60" s="2"/>
      <c r="F60" s="7">
        <f t="shared" si="18"/>
        <v>0.1543193245595188</v>
      </c>
      <c r="G60" s="2"/>
      <c r="H60" s="6">
        <v>1923.74</v>
      </c>
      <c r="I60" s="2"/>
      <c r="J60" s="7">
        <f t="shared" si="19"/>
        <v>5.0840138481460934E-2</v>
      </c>
      <c r="K60" s="2"/>
      <c r="L60" s="6">
        <f t="shared" si="20"/>
        <v>791.24</v>
      </c>
      <c r="M60" s="2"/>
      <c r="N60" s="7">
        <f t="shared" si="21"/>
        <v>0.41130298273155419</v>
      </c>
      <c r="O60" s="11"/>
      <c r="P60" s="6">
        <v>12872.39</v>
      </c>
      <c r="Q60" s="2"/>
      <c r="R60" s="7">
        <f t="shared" si="22"/>
        <v>0.12142032193143769</v>
      </c>
      <c r="S60" s="2"/>
      <c r="T60" s="6">
        <v>4408.46</v>
      </c>
      <c r="U60" s="2"/>
      <c r="V60" s="7">
        <f t="shared" si="23"/>
        <v>1.8976835180138873E-2</v>
      </c>
      <c r="W60" s="2"/>
      <c r="X60" s="6">
        <f t="shared" si="24"/>
        <v>8463.93</v>
      </c>
      <c r="Y60" s="2"/>
      <c r="Z60" s="7">
        <f t="shared" si="25"/>
        <v>1.9199289547823957</v>
      </c>
    </row>
    <row r="61" spans="1:26" s="24" customFormat="1" hidden="1" outlineLevel="2" x14ac:dyDescent="0.25">
      <c r="A61" s="25"/>
      <c r="B61" s="11" t="str">
        <f>CONCATENATE("          ", "6114", " - ", "STATE UNEMPLOYMENT INSURANCE")</f>
        <v xml:space="preserve">          6114 - STATE UNEMPLOYMENT INSURANCE</v>
      </c>
      <c r="C61" s="11"/>
      <c r="D61" s="6">
        <v>49.83</v>
      </c>
      <c r="E61" s="2"/>
      <c r="F61" s="7">
        <f t="shared" si="18"/>
        <v>2.8323346554305451E-3</v>
      </c>
      <c r="G61" s="2"/>
      <c r="H61" s="6">
        <v>27.91</v>
      </c>
      <c r="I61" s="2"/>
      <c r="J61" s="7">
        <f t="shared" si="19"/>
        <v>7.3759877375194924E-4</v>
      </c>
      <c r="K61" s="2"/>
      <c r="L61" s="6">
        <f t="shared" si="20"/>
        <v>21.919999999999998</v>
      </c>
      <c r="M61" s="2"/>
      <c r="N61" s="7">
        <f t="shared" si="21"/>
        <v>0.78538158366176991</v>
      </c>
      <c r="O61" s="11"/>
      <c r="P61" s="6">
        <v>174.37</v>
      </c>
      <c r="Q61" s="2"/>
      <c r="R61" s="7">
        <f t="shared" si="22"/>
        <v>1.6447653881823648E-3</v>
      </c>
      <c r="S61" s="2"/>
      <c r="T61" s="6">
        <v>128.18</v>
      </c>
      <c r="U61" s="2"/>
      <c r="V61" s="7">
        <f t="shared" si="23"/>
        <v>5.5176881119261623E-4</v>
      </c>
      <c r="W61" s="2"/>
      <c r="X61" s="6">
        <f t="shared" si="24"/>
        <v>46.19</v>
      </c>
      <c r="Y61" s="2"/>
      <c r="Z61" s="7">
        <f t="shared" si="25"/>
        <v>0.36035262911530658</v>
      </c>
    </row>
    <row r="62" spans="1:26" s="24" customFormat="1" hidden="1" outlineLevel="2" x14ac:dyDescent="0.25">
      <c r="A62" s="25"/>
      <c r="B62" s="11" t="str">
        <f>CONCATENATE("          ", "6115", " - ", "P.E.R.S.")</f>
        <v xml:space="preserve">          6115 - P.E.R.S.</v>
      </c>
      <c r="C62" s="11"/>
      <c r="D62" s="6">
        <v>362.12</v>
      </c>
      <c r="E62" s="2"/>
      <c r="F62" s="7">
        <f t="shared" si="18"/>
        <v>2.0582882308338532E-2</v>
      </c>
      <c r="G62" s="2"/>
      <c r="H62" s="6">
        <v>299.39</v>
      </c>
      <c r="I62" s="2"/>
      <c r="J62" s="7">
        <f t="shared" si="19"/>
        <v>7.9122069822141188E-3</v>
      </c>
      <c r="K62" s="2"/>
      <c r="L62" s="6">
        <f t="shared" si="20"/>
        <v>62.730000000000018</v>
      </c>
      <c r="M62" s="2"/>
      <c r="N62" s="7">
        <f t="shared" si="21"/>
        <v>0.20952603627375671</v>
      </c>
      <c r="O62" s="11"/>
      <c r="P62" s="6">
        <v>1883.02</v>
      </c>
      <c r="Q62" s="2"/>
      <c r="R62" s="7">
        <f t="shared" si="22"/>
        <v>1.7761806051816004E-2</v>
      </c>
      <c r="S62" s="2"/>
      <c r="T62" s="6">
        <v>997.93</v>
      </c>
      <c r="U62" s="2"/>
      <c r="V62" s="7">
        <f t="shared" si="23"/>
        <v>4.2957298311237903E-3</v>
      </c>
      <c r="W62" s="2"/>
      <c r="X62" s="6">
        <f t="shared" si="24"/>
        <v>885.09</v>
      </c>
      <c r="Y62" s="2"/>
      <c r="Z62" s="7">
        <f t="shared" si="25"/>
        <v>0.88692593668894615</v>
      </c>
    </row>
    <row r="63" spans="1:26" s="24" customFormat="1" hidden="1" outlineLevel="2" x14ac:dyDescent="0.25">
      <c r="A63" s="25"/>
      <c r="B63" s="11" t="str">
        <f>CONCATENATE("          ", "6118", " - ", "VACATION")</f>
        <v xml:space="preserve">          6118 - VACATION</v>
      </c>
      <c r="C63" s="11"/>
      <c r="D63" s="6">
        <v>498.76</v>
      </c>
      <c r="E63" s="2"/>
      <c r="F63" s="7">
        <f t="shared" si="18"/>
        <v>2.8349492930815547E-2</v>
      </c>
      <c r="G63" s="2"/>
      <c r="H63" s="6">
        <v>540.57000000000005</v>
      </c>
      <c r="I63" s="2"/>
      <c r="J63" s="7">
        <f t="shared" si="19"/>
        <v>1.4286054071196388E-2</v>
      </c>
      <c r="K63" s="2"/>
      <c r="L63" s="6">
        <f t="shared" si="20"/>
        <v>-41.810000000000059</v>
      </c>
      <c r="M63" s="2"/>
      <c r="N63" s="7">
        <f t="shared" si="21"/>
        <v>-7.7344284736481958E-2</v>
      </c>
      <c r="O63" s="11"/>
      <c r="P63" s="6">
        <v>2646.93</v>
      </c>
      <c r="Q63" s="2"/>
      <c r="R63" s="7">
        <f t="shared" si="22"/>
        <v>2.4967476337337539E-2</v>
      </c>
      <c r="S63" s="2"/>
      <c r="T63" s="6">
        <v>1159.32</v>
      </c>
      <c r="U63" s="2"/>
      <c r="V63" s="7">
        <f t="shared" si="23"/>
        <v>4.9904557512234649E-3</v>
      </c>
      <c r="W63" s="2"/>
      <c r="X63" s="6">
        <f t="shared" si="24"/>
        <v>1487.61</v>
      </c>
      <c r="Y63" s="2"/>
      <c r="Z63" s="7">
        <f t="shared" si="25"/>
        <v>1.2831746196045959</v>
      </c>
    </row>
    <row r="64" spans="1:26" s="24" customFormat="1" hidden="1" outlineLevel="2" x14ac:dyDescent="0.25">
      <c r="A64" s="25"/>
      <c r="B64" s="11" t="str">
        <f>CONCATENATE("          ", "6119", " - ", "SICK LEAVE")</f>
        <v xml:space="preserve">          6119 - SICK LEAVE</v>
      </c>
      <c r="C64" s="11"/>
      <c r="D64" s="6">
        <v>446.7</v>
      </c>
      <c r="E64" s="2"/>
      <c r="F64" s="7">
        <f t="shared" si="18"/>
        <v>2.5390405189259974E-2</v>
      </c>
      <c r="G64" s="2"/>
      <c r="H64" s="6">
        <v>-269.18</v>
      </c>
      <c r="I64" s="2"/>
      <c r="J64" s="7">
        <f t="shared" si="19"/>
        <v>-7.1138243611089105E-3</v>
      </c>
      <c r="K64" s="2"/>
      <c r="L64" s="6">
        <f t="shared" si="20"/>
        <v>715.88</v>
      </c>
      <c r="M64" s="2"/>
      <c r="N64" s="7">
        <f t="shared" si="21"/>
        <v>-2.6594843599078684</v>
      </c>
      <c r="O64" s="11"/>
      <c r="P64" s="6">
        <v>2233.5</v>
      </c>
      <c r="Q64" s="2"/>
      <c r="R64" s="7">
        <f t="shared" si="22"/>
        <v>2.1067749581380465E-2</v>
      </c>
      <c r="S64" s="2"/>
      <c r="T64" s="6">
        <v>281.14</v>
      </c>
      <c r="U64" s="2"/>
      <c r="V64" s="7">
        <f t="shared" si="23"/>
        <v>1.2102066124098309E-3</v>
      </c>
      <c r="W64" s="2"/>
      <c r="X64" s="6">
        <f t="shared" si="24"/>
        <v>1952.3600000000001</v>
      </c>
      <c r="Y64" s="2"/>
      <c r="Z64" s="7">
        <f t="shared" si="25"/>
        <v>6.9444404922814265</v>
      </c>
    </row>
    <row r="65" spans="1:26" s="24" customFormat="1" hidden="1" outlineLevel="2" x14ac:dyDescent="0.25">
      <c r="A65" s="25"/>
      <c r="B65" s="11" t="str">
        <f>CONCATENATE("          ", "6156", " - ", "EMPLOYEE MEALS")</f>
        <v xml:space="preserve">          6156 - EMPLOYEE MEALS</v>
      </c>
      <c r="C65" s="11"/>
      <c r="D65" s="6">
        <v>146.05000000000001</v>
      </c>
      <c r="E65" s="2"/>
      <c r="F65" s="7">
        <f t="shared" si="18"/>
        <v>8.301474541955272E-3</v>
      </c>
      <c r="G65" s="2"/>
      <c r="H65" s="6"/>
      <c r="I65" s="2"/>
      <c r="J65" s="7">
        <f t="shared" si="19"/>
        <v>0</v>
      </c>
      <c r="K65" s="2"/>
      <c r="L65" s="6">
        <f t="shared" si="20"/>
        <v>146.05000000000001</v>
      </c>
      <c r="M65" s="2"/>
      <c r="N65" s="7">
        <f t="shared" si="21"/>
        <v>0</v>
      </c>
      <c r="O65" s="11"/>
      <c r="P65" s="6">
        <v>959.58</v>
      </c>
      <c r="Q65" s="2"/>
      <c r="R65" s="7">
        <f t="shared" si="22"/>
        <v>9.0513504111488993E-3</v>
      </c>
      <c r="S65" s="2"/>
      <c r="T65" s="6">
        <v>489.5</v>
      </c>
      <c r="U65" s="2"/>
      <c r="V65" s="7">
        <f t="shared" si="23"/>
        <v>2.107121493827318E-3</v>
      </c>
      <c r="W65" s="2"/>
      <c r="X65" s="6">
        <f t="shared" si="24"/>
        <v>470.08000000000004</v>
      </c>
      <c r="Y65" s="2"/>
      <c r="Z65" s="7">
        <f t="shared" si="25"/>
        <v>0.9603268641470889</v>
      </c>
    </row>
    <row r="66" spans="1:26" s="26" customFormat="1" outlineLevel="1" collapsed="1" x14ac:dyDescent="0.25">
      <c r="A66" s="27"/>
      <c r="B66" s="13" t="str">
        <f>CONCATENATE("     ","*Payroll                                          ")</f>
        <v xml:space="preserve">     *Payroll                                          </v>
      </c>
      <c r="C66" s="13"/>
      <c r="D66" s="1">
        <f>SUM(OSRRefD22_1x_0)</f>
        <v>7497.2</v>
      </c>
      <c r="E66" s="1"/>
      <c r="F66" s="5">
        <f t="shared" ref="F66:F71" si="26">IF(D$12=0,0,D66/D$12)</f>
        <v>0.42614046515540605</v>
      </c>
      <c r="G66" s="1"/>
      <c r="H66" s="1">
        <f>SUM(OSRRefH22_1x_0)</f>
        <v>11070.96</v>
      </c>
      <c r="I66" s="1"/>
      <c r="J66" s="5">
        <f t="shared" ref="J66:J71" si="27">IF(H$12=0,0,H66/H$12)</f>
        <v>0.2925806707365417</v>
      </c>
      <c r="K66" s="1"/>
      <c r="L66" s="1">
        <f t="shared" ref="L66:L71" si="28">+D66-H66</f>
        <v>-3573.7599999999993</v>
      </c>
      <c r="M66" s="1"/>
      <c r="N66" s="5">
        <f t="shared" ref="N66:N71" si="29">IF(H66=0,0,L66/H66)</f>
        <v>-0.32280488774234573</v>
      </c>
      <c r="O66" s="13"/>
      <c r="P66" s="1">
        <f>SUM(OSRRefP22_1x_0)</f>
        <v>39160.49</v>
      </c>
      <c r="Q66" s="1"/>
      <c r="R66" s="5">
        <f t="shared" ref="R66:R71" si="30">IF(P$12=0,0,P66/P$12)</f>
        <v>0.36938589514401338</v>
      </c>
      <c r="S66" s="1"/>
      <c r="T66" s="1">
        <f>SUM(OSRRefT22_1x_0)</f>
        <v>55389.24</v>
      </c>
      <c r="U66" s="1"/>
      <c r="V66" s="5">
        <f t="shared" ref="V66:V71" si="31">IF(T$12=0,0,T66/T$12)</f>
        <v>0.23843076226917229</v>
      </c>
      <c r="W66" s="1"/>
      <c r="X66" s="1">
        <f t="shared" ref="X66:X71" si="32">+P66-T66</f>
        <v>-16228.75</v>
      </c>
      <c r="Y66" s="1"/>
      <c r="Z66" s="5">
        <f t="shared" ref="Z66:Z71" si="33">IF(T66=0,0,X66/T66)</f>
        <v>-0.29299463217043598</v>
      </c>
    </row>
    <row r="67" spans="1:26" s="24" customFormat="1" hidden="1" outlineLevel="2" x14ac:dyDescent="0.25">
      <c r="A67" s="25"/>
      <c r="B67" s="11" t="str">
        <f>CONCATENATE("          ", "6002", " - ", "STAFF SALARIES")</f>
        <v xml:space="preserve">          6002 - STAFF SALARIES</v>
      </c>
      <c r="C67" s="11"/>
      <c r="D67" s="6">
        <v>3981.93</v>
      </c>
      <c r="E67" s="2"/>
      <c r="F67" s="7">
        <f t="shared" si="26"/>
        <v>0.22633269786270421</v>
      </c>
      <c r="G67" s="2"/>
      <c r="H67" s="6">
        <v>2563.84</v>
      </c>
      <c r="I67" s="2"/>
      <c r="J67" s="7">
        <f t="shared" si="27"/>
        <v>6.7756547477470355E-2</v>
      </c>
      <c r="K67" s="2"/>
      <c r="L67" s="6">
        <f t="shared" si="28"/>
        <v>1418.0899999999997</v>
      </c>
      <c r="M67" s="2"/>
      <c r="N67" s="7">
        <f t="shared" si="29"/>
        <v>0.55311173864203678</v>
      </c>
      <c r="O67" s="11"/>
      <c r="P67" s="6">
        <v>23423.1</v>
      </c>
      <c r="Q67" s="2"/>
      <c r="R67" s="7">
        <f t="shared" si="30"/>
        <v>0.22094112613370617</v>
      </c>
      <c r="S67" s="2"/>
      <c r="T67" s="6">
        <v>9425.74</v>
      </c>
      <c r="U67" s="2"/>
      <c r="V67" s="7">
        <f t="shared" si="31"/>
        <v>4.0574421551027383E-2</v>
      </c>
      <c r="W67" s="2"/>
      <c r="X67" s="6">
        <f t="shared" si="32"/>
        <v>13997.359999999999</v>
      </c>
      <c r="Y67" s="2"/>
      <c r="Z67" s="7">
        <f t="shared" si="33"/>
        <v>1.4850144391846156</v>
      </c>
    </row>
    <row r="68" spans="1:26" s="24" customFormat="1" hidden="1" outlineLevel="2" x14ac:dyDescent="0.25">
      <c r="A68" s="25"/>
      <c r="B68" s="11" t="str">
        <f>CONCATENATE("          ", "6004", " - ", "STAFF HOURLY")</f>
        <v xml:space="preserve">          6004 - STAFF HOURLY</v>
      </c>
      <c r="C68" s="11"/>
      <c r="D68" s="6">
        <v>500</v>
      </c>
      <c r="E68" s="2"/>
      <c r="F68" s="7">
        <f t="shared" si="26"/>
        <v>2.8419974467494936E-2</v>
      </c>
      <c r="G68" s="2"/>
      <c r="H68" s="6"/>
      <c r="I68" s="2"/>
      <c r="J68" s="7">
        <f t="shared" si="27"/>
        <v>0</v>
      </c>
      <c r="K68" s="2"/>
      <c r="L68" s="6">
        <f t="shared" si="28"/>
        <v>500</v>
      </c>
      <c r="M68" s="2"/>
      <c r="N68" s="7">
        <f t="shared" si="29"/>
        <v>0</v>
      </c>
      <c r="O68" s="11"/>
      <c r="P68" s="6">
        <v>2350.44</v>
      </c>
      <c r="Q68" s="2"/>
      <c r="R68" s="7">
        <f t="shared" si="30"/>
        <v>2.2170799787803851E-2</v>
      </c>
      <c r="S68" s="2"/>
      <c r="T68" s="6"/>
      <c r="U68" s="2"/>
      <c r="V68" s="7">
        <f t="shared" si="31"/>
        <v>0</v>
      </c>
      <c r="W68" s="2"/>
      <c r="X68" s="6">
        <f t="shared" si="32"/>
        <v>2350.44</v>
      </c>
      <c r="Y68" s="2"/>
      <c r="Z68" s="7">
        <f t="shared" si="33"/>
        <v>0</v>
      </c>
    </row>
    <row r="69" spans="1:26" s="24" customFormat="1" hidden="1" outlineLevel="2" x14ac:dyDescent="0.25">
      <c r="A69" s="25"/>
      <c r="B69" s="11" t="str">
        <f>CONCATENATE("          ", "6005", " - ", "TEMPORARY WAGES-HOURLY")</f>
        <v xml:space="preserve">          6005 - TEMPORARY WAGES-HOURLY</v>
      </c>
      <c r="C69" s="11"/>
      <c r="D69" s="6">
        <v>1601.12</v>
      </c>
      <c r="E69" s="2"/>
      <c r="F69" s="7">
        <f t="shared" si="26"/>
        <v>9.1007579038790976E-2</v>
      </c>
      <c r="G69" s="2"/>
      <c r="H69" s="6">
        <v>1561.92</v>
      </c>
      <c r="I69" s="2"/>
      <c r="J69" s="7">
        <f t="shared" si="27"/>
        <v>4.1278046460001598E-2</v>
      </c>
      <c r="K69" s="2"/>
      <c r="L69" s="6">
        <f t="shared" si="28"/>
        <v>39.199999999999818</v>
      </c>
      <c r="M69" s="2"/>
      <c r="N69" s="7">
        <f t="shared" si="29"/>
        <v>2.5097316123745016E-2</v>
      </c>
      <c r="O69" s="11"/>
      <c r="P69" s="6">
        <v>6347.7</v>
      </c>
      <c r="Q69" s="2"/>
      <c r="R69" s="7">
        <f t="shared" si="30"/>
        <v>5.9875421543643954E-2</v>
      </c>
      <c r="S69" s="2"/>
      <c r="T69" s="6">
        <v>2444.52</v>
      </c>
      <c r="U69" s="2"/>
      <c r="V69" s="7">
        <f t="shared" si="31"/>
        <v>1.0522779640634843E-2</v>
      </c>
      <c r="W69" s="2"/>
      <c r="X69" s="6">
        <f t="shared" si="32"/>
        <v>3903.18</v>
      </c>
      <c r="Y69" s="2"/>
      <c r="Z69" s="7">
        <f t="shared" si="33"/>
        <v>1.5967061018113986</v>
      </c>
    </row>
    <row r="70" spans="1:26" s="24" customFormat="1" hidden="1" outlineLevel="2" x14ac:dyDescent="0.25">
      <c r="A70" s="25"/>
      <c r="B70" s="11" t="str">
        <f>CONCATENATE("          ", "6007", " - ", "STUDENT HOURLY")</f>
        <v xml:space="preserve">          6007 - STUDENT HOURLY</v>
      </c>
      <c r="C70" s="11"/>
      <c r="D70" s="6">
        <v>1144.27</v>
      </c>
      <c r="E70" s="2"/>
      <c r="F70" s="7">
        <f t="shared" si="26"/>
        <v>6.5040248367840864E-2</v>
      </c>
      <c r="G70" s="2"/>
      <c r="H70" s="6">
        <v>6945.2</v>
      </c>
      <c r="I70" s="2"/>
      <c r="J70" s="7">
        <f t="shared" si="27"/>
        <v>0.18354607679906979</v>
      </c>
      <c r="K70" s="2"/>
      <c r="L70" s="6">
        <f t="shared" si="28"/>
        <v>-5800.93</v>
      </c>
      <c r="M70" s="2"/>
      <c r="N70" s="7">
        <f t="shared" si="29"/>
        <v>-0.83524304555664353</v>
      </c>
      <c r="O70" s="11"/>
      <c r="P70" s="6">
        <v>5774.48</v>
      </c>
      <c r="Q70" s="2"/>
      <c r="R70" s="7">
        <f t="shared" si="30"/>
        <v>5.4468456952178133E-2</v>
      </c>
      <c r="S70" s="2"/>
      <c r="T70" s="6">
        <v>43518.979999999996</v>
      </c>
      <c r="U70" s="2"/>
      <c r="V70" s="7">
        <f t="shared" si="31"/>
        <v>0.18733356107751004</v>
      </c>
      <c r="W70" s="2"/>
      <c r="X70" s="6">
        <f t="shared" si="32"/>
        <v>-37744.5</v>
      </c>
      <c r="Y70" s="2"/>
      <c r="Z70" s="7">
        <f t="shared" si="33"/>
        <v>-0.86731122834220842</v>
      </c>
    </row>
    <row r="71" spans="1:26" s="24" customFormat="1" hidden="1" outlineLevel="2" x14ac:dyDescent="0.25">
      <c r="A71" s="25"/>
      <c r="B71" s="11" t="str">
        <f>CONCATENATE("          ", "6008", " - ", "STUDENT HOURLY-FICA EXEMPT")</f>
        <v xml:space="preserve">          6008 - STUDENT HOURLY-FICA EXEMPT</v>
      </c>
      <c r="C71" s="11"/>
      <c r="D71" s="6">
        <v>269.88</v>
      </c>
      <c r="E71" s="2"/>
      <c r="F71" s="7">
        <f t="shared" si="26"/>
        <v>1.5339965418575066E-2</v>
      </c>
      <c r="G71" s="2"/>
      <c r="H71" s="6"/>
      <c r="I71" s="2"/>
      <c r="J71" s="7">
        <f t="shared" si="27"/>
        <v>0</v>
      </c>
      <c r="K71" s="2"/>
      <c r="L71" s="6">
        <f t="shared" si="28"/>
        <v>269.88</v>
      </c>
      <c r="M71" s="2"/>
      <c r="N71" s="7">
        <f t="shared" si="29"/>
        <v>0</v>
      </c>
      <c r="O71" s="11"/>
      <c r="P71" s="6">
        <v>1264.77</v>
      </c>
      <c r="Q71" s="2"/>
      <c r="R71" s="7">
        <f t="shared" si="30"/>
        <v>1.1930090726681249E-2</v>
      </c>
      <c r="S71" s="2"/>
      <c r="T71" s="6"/>
      <c r="U71" s="2"/>
      <c r="V71" s="7">
        <f t="shared" si="31"/>
        <v>0</v>
      </c>
      <c r="W71" s="2"/>
      <c r="X71" s="6">
        <f t="shared" si="32"/>
        <v>1264.77</v>
      </c>
      <c r="Y71" s="2"/>
      <c r="Z71" s="7">
        <f t="shared" si="33"/>
        <v>0</v>
      </c>
    </row>
    <row r="72" spans="1:26" s="26" customFormat="1" outlineLevel="1" collapsed="1" x14ac:dyDescent="0.25">
      <c r="A72" s="27"/>
      <c r="B72" s="13" t="str">
        <f>CONCATENATE("     ","Advertising/Promo                                 ")</f>
        <v xml:space="preserve">     Advertising/Promo                                 </v>
      </c>
      <c r="C72" s="13"/>
      <c r="D72" s="1">
        <f>SUM(OSRRefD22_2x_0)</f>
        <v>35.28</v>
      </c>
      <c r="E72" s="1"/>
      <c r="F72" s="5">
        <f t="shared" ref="F72:F94" si="34">IF(D$12=0,0,D72/D$12)</f>
        <v>2.0053133984264428E-3</v>
      </c>
      <c r="G72" s="1"/>
      <c r="H72" s="1">
        <f>SUM(OSRRefH22_2x_0)</f>
        <v>508.5</v>
      </c>
      <c r="I72" s="1"/>
      <c r="J72" s="5">
        <f t="shared" ref="J72:J94" si="35">IF(H$12=0,0,H72/H$12)</f>
        <v>1.3438515817014194E-2</v>
      </c>
      <c r="K72" s="1"/>
      <c r="L72" s="1">
        <f t="shared" ref="L72:L94" si="36">+D72-H72</f>
        <v>-473.22</v>
      </c>
      <c r="M72" s="1"/>
      <c r="N72" s="5">
        <f t="shared" ref="N72:N94" si="37">IF(H72=0,0,L72/H72)</f>
        <v>-0.93061946902654868</v>
      </c>
      <c r="O72" s="13"/>
      <c r="P72" s="1">
        <f>SUM(OSRRefP22_2x_0)</f>
        <v>971.28</v>
      </c>
      <c r="Q72" s="1"/>
      <c r="R72" s="5">
        <f t="shared" ref="R72:R94" si="38">IF(P$12=0,0,P72/P$12)</f>
        <v>9.1617120274919261E-3</v>
      </c>
      <c r="S72" s="1"/>
      <c r="T72" s="1">
        <f>SUM(OSRRefT22_2x_0)</f>
        <v>1766.23</v>
      </c>
      <c r="U72" s="1"/>
      <c r="V72" s="5">
        <f t="shared" ref="V72:V94" si="39">IF(T$12=0,0,T72/T$12)</f>
        <v>7.6029850787387616E-3</v>
      </c>
      <c r="W72" s="1"/>
      <c r="X72" s="1">
        <f t="shared" ref="X72:X94" si="40">+P72-T72</f>
        <v>-794.95</v>
      </c>
      <c r="Y72" s="1"/>
      <c r="Z72" s="5">
        <f t="shared" ref="Z72:Z94" si="41">IF(T72=0,0,X72/T72)</f>
        <v>-0.45008294502980928</v>
      </c>
    </row>
    <row r="73" spans="1:26" s="24" customFormat="1" hidden="1" outlineLevel="2" x14ac:dyDescent="0.25">
      <c r="A73" s="25"/>
      <c r="B73" s="11" t="str">
        <f>CONCATENATE("          ", "6362", " - ", "ADVERTISING EXPENSE")</f>
        <v xml:space="preserve">          6362 - ADVERTISING EXPENSE</v>
      </c>
      <c r="C73" s="11"/>
      <c r="D73" s="6">
        <v>35.28</v>
      </c>
      <c r="E73" s="2"/>
      <c r="F73" s="7">
        <f t="shared" si="34"/>
        <v>2.0053133984264428E-3</v>
      </c>
      <c r="G73" s="2"/>
      <c r="H73" s="6">
        <v>508.5</v>
      </c>
      <c r="I73" s="2"/>
      <c r="J73" s="7">
        <f t="shared" si="35"/>
        <v>1.3438515817014194E-2</v>
      </c>
      <c r="K73" s="2"/>
      <c r="L73" s="6">
        <f t="shared" si="36"/>
        <v>-473.22</v>
      </c>
      <c r="M73" s="2"/>
      <c r="N73" s="7">
        <f t="shared" si="37"/>
        <v>-0.93061946902654868</v>
      </c>
      <c r="O73" s="11"/>
      <c r="P73" s="6">
        <v>971.28</v>
      </c>
      <c r="Q73" s="2"/>
      <c r="R73" s="7">
        <f t="shared" si="38"/>
        <v>9.1617120274919261E-3</v>
      </c>
      <c r="S73" s="2"/>
      <c r="T73" s="6">
        <v>1766.23</v>
      </c>
      <c r="U73" s="2"/>
      <c r="V73" s="7">
        <f t="shared" si="39"/>
        <v>7.6029850787387616E-3</v>
      </c>
      <c r="W73" s="2"/>
      <c r="X73" s="6">
        <f t="shared" si="40"/>
        <v>-794.95</v>
      </c>
      <c r="Y73" s="2"/>
      <c r="Z73" s="7">
        <f t="shared" si="41"/>
        <v>-0.45008294502980928</v>
      </c>
    </row>
    <row r="74" spans="1:26" s="26" customFormat="1" outlineLevel="1" collapsed="1" x14ac:dyDescent="0.25">
      <c r="A74" s="27"/>
      <c r="B74" s="13" t="str">
        <f>CONCATENATE("     ","Bad Debts/Over/Short                              ")</f>
        <v xml:space="preserve">     Bad Debts/Over/Short                              </v>
      </c>
      <c r="C74" s="13"/>
      <c r="D74" s="1">
        <f>SUM(OSRRefD22_3x_0)</f>
        <v>-0.48</v>
      </c>
      <c r="E74" s="1"/>
      <c r="F74" s="5">
        <f t="shared" si="34"/>
        <v>-2.7283175488795136E-5</v>
      </c>
      <c r="G74" s="1"/>
      <c r="H74" s="1">
        <f>SUM(OSRRefH22_3x_0)</f>
        <v>4.0999999999999996</v>
      </c>
      <c r="I74" s="1"/>
      <c r="J74" s="5">
        <f t="shared" si="35"/>
        <v>1.0835381484711543E-4</v>
      </c>
      <c r="K74" s="1"/>
      <c r="L74" s="1">
        <f t="shared" si="36"/>
        <v>-4.58</v>
      </c>
      <c r="M74" s="1"/>
      <c r="N74" s="5">
        <f t="shared" si="37"/>
        <v>-1.1170731707317074</v>
      </c>
      <c r="O74" s="13"/>
      <c r="P74" s="1">
        <f>SUM(OSRRefP22_3x_0)</f>
        <v>-1.01</v>
      </c>
      <c r="Q74" s="1"/>
      <c r="R74" s="5">
        <f t="shared" si="38"/>
        <v>-9.5269429492698766E-6</v>
      </c>
      <c r="S74" s="1"/>
      <c r="T74" s="1">
        <f>SUM(OSRRefT22_3x_0)</f>
        <v>27.13</v>
      </c>
      <c r="U74" s="1"/>
      <c r="V74" s="5">
        <f t="shared" si="39"/>
        <v>1.167848950511443E-4</v>
      </c>
      <c r="W74" s="1"/>
      <c r="X74" s="1">
        <f t="shared" si="40"/>
        <v>-28.14</v>
      </c>
      <c r="Y74" s="1"/>
      <c r="Z74" s="5">
        <f t="shared" si="41"/>
        <v>-1.0372281607077036</v>
      </c>
    </row>
    <row r="75" spans="1:26" s="24" customFormat="1" hidden="1" outlineLevel="2" x14ac:dyDescent="0.25">
      <c r="A75" s="25"/>
      <c r="B75" s="11" t="str">
        <f>CONCATENATE("          ", "6272", " - ", "CASH (OVER/SHORT)")</f>
        <v xml:space="preserve">          6272 - CASH (OVER/SHORT)</v>
      </c>
      <c r="C75" s="11"/>
      <c r="D75" s="6">
        <v>-0.48</v>
      </c>
      <c r="E75" s="2"/>
      <c r="F75" s="7">
        <f t="shared" si="34"/>
        <v>-2.7283175488795136E-5</v>
      </c>
      <c r="G75" s="2"/>
      <c r="H75" s="6">
        <v>4.0999999999999996</v>
      </c>
      <c r="I75" s="2"/>
      <c r="J75" s="7">
        <f t="shared" si="35"/>
        <v>1.0835381484711543E-4</v>
      </c>
      <c r="K75" s="2"/>
      <c r="L75" s="6">
        <f t="shared" si="36"/>
        <v>-4.58</v>
      </c>
      <c r="M75" s="2"/>
      <c r="N75" s="7">
        <f t="shared" si="37"/>
        <v>-1.1170731707317074</v>
      </c>
      <c r="O75" s="11"/>
      <c r="P75" s="6">
        <v>-1.01</v>
      </c>
      <c r="Q75" s="2"/>
      <c r="R75" s="7">
        <f t="shared" si="38"/>
        <v>-9.5269429492698766E-6</v>
      </c>
      <c r="S75" s="2"/>
      <c r="T75" s="6">
        <v>27.13</v>
      </c>
      <c r="U75" s="2"/>
      <c r="V75" s="7">
        <f t="shared" si="39"/>
        <v>1.167848950511443E-4</v>
      </c>
      <c r="W75" s="2"/>
      <c r="X75" s="6">
        <f t="shared" si="40"/>
        <v>-28.14</v>
      </c>
      <c r="Y75" s="2"/>
      <c r="Z75" s="7">
        <f t="shared" si="41"/>
        <v>-1.0372281607077036</v>
      </c>
    </row>
    <row r="76" spans="1:26" s="26" customFormat="1" outlineLevel="1" collapsed="1" x14ac:dyDescent="0.25">
      <c r="A76" s="27"/>
      <c r="B76" s="13" t="str">
        <f>CONCATENATE("     ","Bank/card Fees                                    ")</f>
        <v xml:space="preserve">     Bank/card Fees                                    </v>
      </c>
      <c r="C76" s="13"/>
      <c r="D76" s="1">
        <f>SUM(OSRRefD22_4x_0)</f>
        <v>315.25</v>
      </c>
      <c r="E76" s="1"/>
      <c r="F76" s="5">
        <f t="shared" si="34"/>
        <v>1.7918793901755558E-2</v>
      </c>
      <c r="G76" s="1"/>
      <c r="H76" s="1">
        <f>SUM(OSRRefH22_4x_0)</f>
        <v>591.74</v>
      </c>
      <c r="I76" s="1"/>
      <c r="J76" s="5">
        <f t="shared" si="35"/>
        <v>1.5638362536007824E-2</v>
      </c>
      <c r="K76" s="1"/>
      <c r="L76" s="1">
        <f t="shared" si="36"/>
        <v>-276.49</v>
      </c>
      <c r="M76" s="1"/>
      <c r="N76" s="5">
        <f t="shared" si="37"/>
        <v>-0.46724912968533477</v>
      </c>
      <c r="O76" s="13"/>
      <c r="P76" s="1">
        <f>SUM(OSRRefP22_4x_0)</f>
        <v>1672.92</v>
      </c>
      <c r="Q76" s="1"/>
      <c r="R76" s="5">
        <f t="shared" si="38"/>
        <v>1.578001326603224E-2</v>
      </c>
      <c r="S76" s="1"/>
      <c r="T76" s="1">
        <f>SUM(OSRRefT22_4x_0)</f>
        <v>3180.98</v>
      </c>
      <c r="U76" s="1"/>
      <c r="V76" s="5">
        <f t="shared" si="39"/>
        <v>1.369297513674121E-2</v>
      </c>
      <c r="W76" s="1"/>
      <c r="X76" s="1">
        <f t="shared" si="40"/>
        <v>-1508.06</v>
      </c>
      <c r="Y76" s="1"/>
      <c r="Z76" s="5">
        <f t="shared" si="41"/>
        <v>-0.47408660224207633</v>
      </c>
    </row>
    <row r="77" spans="1:26" s="24" customFormat="1" hidden="1" outlineLevel="2" x14ac:dyDescent="0.25">
      <c r="A77" s="25"/>
      <c r="B77" s="11" t="str">
        <f>CONCATENATE("          ", "6381", " - ", "BANK/CREDIT CARD FEES")</f>
        <v xml:space="preserve">          6381 - BANK/CREDIT CARD FEES</v>
      </c>
      <c r="C77" s="11"/>
      <c r="D77" s="6">
        <v>315.25</v>
      </c>
      <c r="E77" s="2"/>
      <c r="F77" s="7">
        <f t="shared" si="34"/>
        <v>1.7918793901755558E-2</v>
      </c>
      <c r="G77" s="2"/>
      <c r="H77" s="6">
        <v>591.74</v>
      </c>
      <c r="I77" s="2"/>
      <c r="J77" s="7">
        <f t="shared" si="35"/>
        <v>1.5638362536007824E-2</v>
      </c>
      <c r="K77" s="2"/>
      <c r="L77" s="6">
        <f t="shared" si="36"/>
        <v>-276.49</v>
      </c>
      <c r="M77" s="2"/>
      <c r="N77" s="7">
        <f t="shared" si="37"/>
        <v>-0.46724912968533477</v>
      </c>
      <c r="O77" s="11"/>
      <c r="P77" s="6">
        <v>1672.92</v>
      </c>
      <c r="Q77" s="2"/>
      <c r="R77" s="7">
        <f t="shared" si="38"/>
        <v>1.578001326603224E-2</v>
      </c>
      <c r="S77" s="2"/>
      <c r="T77" s="6">
        <v>3180.98</v>
      </c>
      <c r="U77" s="2"/>
      <c r="V77" s="7">
        <f t="shared" si="39"/>
        <v>1.369297513674121E-2</v>
      </c>
      <c r="W77" s="2"/>
      <c r="X77" s="6">
        <f t="shared" si="40"/>
        <v>-1508.06</v>
      </c>
      <c r="Y77" s="2"/>
      <c r="Z77" s="7">
        <f t="shared" si="41"/>
        <v>-0.47408660224207633</v>
      </c>
    </row>
    <row r="78" spans="1:26" s="26" customFormat="1" outlineLevel="1" collapsed="1" x14ac:dyDescent="0.25">
      <c r="A78" s="27"/>
      <c r="B78" s="13" t="str">
        <f>CONCATENATE("     ","Discounts and Markdowns                           ")</f>
        <v xml:space="preserve">     Discounts and Markdowns                           </v>
      </c>
      <c r="C78" s="13"/>
      <c r="D78" s="1">
        <f>SUM(OSRRefD22_5x_0)</f>
        <v>0</v>
      </c>
      <c r="E78" s="1"/>
      <c r="F78" s="5">
        <f t="shared" si="34"/>
        <v>0</v>
      </c>
      <c r="G78" s="1"/>
      <c r="H78" s="1">
        <f>SUM(OSRRefH22_5x_0)</f>
        <v>8973.75</v>
      </c>
      <c r="I78" s="1"/>
      <c r="J78" s="5">
        <f t="shared" si="35"/>
        <v>0.23715610877665905</v>
      </c>
      <c r="K78" s="1"/>
      <c r="L78" s="1">
        <f t="shared" si="36"/>
        <v>-8973.75</v>
      </c>
      <c r="M78" s="1"/>
      <c r="N78" s="5">
        <f t="shared" si="37"/>
        <v>-1</v>
      </c>
      <c r="O78" s="13"/>
      <c r="P78" s="1">
        <f>SUM(OSRRefP22_5x_0)</f>
        <v>0</v>
      </c>
      <c r="Q78" s="1"/>
      <c r="R78" s="5">
        <f t="shared" si="38"/>
        <v>0</v>
      </c>
      <c r="S78" s="1"/>
      <c r="T78" s="1">
        <f>SUM(OSRRefT22_5x_0)</f>
        <v>37198.579999999994</v>
      </c>
      <c r="U78" s="1"/>
      <c r="V78" s="5">
        <f t="shared" si="39"/>
        <v>0.1601265116605822</v>
      </c>
      <c r="W78" s="1"/>
      <c r="X78" s="1">
        <f t="shared" si="40"/>
        <v>-37198.579999999994</v>
      </c>
      <c r="Y78" s="1"/>
      <c r="Z78" s="5">
        <f t="shared" si="41"/>
        <v>-1</v>
      </c>
    </row>
    <row r="79" spans="1:26" s="24" customFormat="1" hidden="1" outlineLevel="2" x14ac:dyDescent="0.25">
      <c r="A79" s="25"/>
      <c r="B79" s="11" t="str">
        <f>CONCATENATE("          ", "6382", " - ", "DISCOUNTS/MARK DOWNS")</f>
        <v xml:space="preserve">          6382 - DISCOUNTS/MARK DOWNS</v>
      </c>
      <c r="C79" s="11"/>
      <c r="D79" s="6"/>
      <c r="E79" s="2"/>
      <c r="F79" s="7">
        <f t="shared" si="34"/>
        <v>0</v>
      </c>
      <c r="G79" s="2"/>
      <c r="H79" s="6">
        <v>8973.75</v>
      </c>
      <c r="I79" s="2"/>
      <c r="J79" s="7">
        <f t="shared" si="35"/>
        <v>0.23715610877665905</v>
      </c>
      <c r="K79" s="2"/>
      <c r="L79" s="6">
        <f t="shared" si="36"/>
        <v>-8973.75</v>
      </c>
      <c r="M79" s="2"/>
      <c r="N79" s="7">
        <f t="shared" si="37"/>
        <v>-1</v>
      </c>
      <c r="O79" s="11"/>
      <c r="P79" s="6">
        <v>0</v>
      </c>
      <c r="Q79" s="2"/>
      <c r="R79" s="7">
        <f t="shared" si="38"/>
        <v>0</v>
      </c>
      <c r="S79" s="2"/>
      <c r="T79" s="6">
        <v>37198.579999999994</v>
      </c>
      <c r="U79" s="2"/>
      <c r="V79" s="7">
        <f t="shared" si="39"/>
        <v>0.1601265116605822</v>
      </c>
      <c r="W79" s="2"/>
      <c r="X79" s="6">
        <f t="shared" si="40"/>
        <v>-37198.579999999994</v>
      </c>
      <c r="Y79" s="2"/>
      <c r="Z79" s="7">
        <f t="shared" si="41"/>
        <v>-1</v>
      </c>
    </row>
    <row r="80" spans="1:26" s="26" customFormat="1" outlineLevel="1" collapsed="1" x14ac:dyDescent="0.25">
      <c r="A80" s="27"/>
      <c r="B80" s="13" t="str">
        <f>CONCATENATE("     ","Employees' Appreciation                           ")</f>
        <v xml:space="preserve">     Employees' Appreciation                           </v>
      </c>
      <c r="C80" s="13"/>
      <c r="D80" s="1">
        <f>SUM(OSRRefD22_6x_0)</f>
        <v>0</v>
      </c>
      <c r="E80" s="1"/>
      <c r="F80" s="5">
        <f t="shared" si="34"/>
        <v>0</v>
      </c>
      <c r="G80" s="1"/>
      <c r="H80" s="1">
        <f>SUM(OSRRefH22_6x_0)</f>
        <v>0</v>
      </c>
      <c r="I80" s="1"/>
      <c r="J80" s="5">
        <f t="shared" si="35"/>
        <v>0</v>
      </c>
      <c r="K80" s="1"/>
      <c r="L80" s="1">
        <f t="shared" si="36"/>
        <v>0</v>
      </c>
      <c r="M80" s="1"/>
      <c r="N80" s="5">
        <f t="shared" si="37"/>
        <v>0</v>
      </c>
      <c r="O80" s="13"/>
      <c r="P80" s="1">
        <f>SUM(OSRRefP22_6x_0)</f>
        <v>0</v>
      </c>
      <c r="Q80" s="1"/>
      <c r="R80" s="5">
        <f t="shared" si="38"/>
        <v>0</v>
      </c>
      <c r="S80" s="1"/>
      <c r="T80" s="1">
        <f>SUM(OSRRefT22_6x_0)</f>
        <v>120.93</v>
      </c>
      <c r="U80" s="1"/>
      <c r="V80" s="5">
        <f t="shared" si="39"/>
        <v>5.2056016802561305E-4</v>
      </c>
      <c r="W80" s="1"/>
      <c r="X80" s="1">
        <f t="shared" si="40"/>
        <v>-120.93</v>
      </c>
      <c r="Y80" s="1"/>
      <c r="Z80" s="5">
        <f t="shared" si="41"/>
        <v>-1</v>
      </c>
    </row>
    <row r="81" spans="1:26" s="24" customFormat="1" hidden="1" outlineLevel="2" x14ac:dyDescent="0.25">
      <c r="A81" s="25"/>
      <c r="B81" s="11" t="str">
        <f>CONCATENATE("          ", "6277", " - ", "EMPLOYEE APPRECIATION")</f>
        <v xml:space="preserve">          6277 - EMPLOYEE APPRECIATION</v>
      </c>
      <c r="C81" s="11"/>
      <c r="D81" s="6"/>
      <c r="E81" s="2"/>
      <c r="F81" s="7">
        <f t="shared" si="34"/>
        <v>0</v>
      </c>
      <c r="G81" s="2"/>
      <c r="H81" s="6"/>
      <c r="I81" s="2"/>
      <c r="J81" s="7">
        <f t="shared" si="35"/>
        <v>0</v>
      </c>
      <c r="K81" s="2"/>
      <c r="L81" s="6">
        <f t="shared" si="36"/>
        <v>0</v>
      </c>
      <c r="M81" s="2"/>
      <c r="N81" s="7">
        <f t="shared" si="37"/>
        <v>0</v>
      </c>
      <c r="O81" s="11"/>
      <c r="P81" s="6"/>
      <c r="Q81" s="2"/>
      <c r="R81" s="7">
        <f t="shared" si="38"/>
        <v>0</v>
      </c>
      <c r="S81" s="2"/>
      <c r="T81" s="6">
        <v>120.93</v>
      </c>
      <c r="U81" s="2"/>
      <c r="V81" s="7">
        <f t="shared" si="39"/>
        <v>5.2056016802561305E-4</v>
      </c>
      <c r="W81" s="2"/>
      <c r="X81" s="6">
        <f t="shared" si="40"/>
        <v>-120.93</v>
      </c>
      <c r="Y81" s="2"/>
      <c r="Z81" s="7">
        <f t="shared" si="41"/>
        <v>-1</v>
      </c>
    </row>
    <row r="82" spans="1:26" s="26" customFormat="1" outlineLevel="1" collapsed="1" x14ac:dyDescent="0.25">
      <c r="A82" s="27"/>
      <c r="B82" s="13" t="str">
        <f>CONCATENATE("     ","General                                           ")</f>
        <v xml:space="preserve">     General                                           </v>
      </c>
      <c r="C82" s="13"/>
      <c r="D82" s="1">
        <f>SUM(OSRRefD22_7x_0)</f>
        <v>0</v>
      </c>
      <c r="E82" s="1"/>
      <c r="F82" s="5">
        <f t="shared" si="34"/>
        <v>0</v>
      </c>
      <c r="G82" s="1"/>
      <c r="H82" s="1">
        <f>SUM(OSRRefH22_7x_0)</f>
        <v>1111.44</v>
      </c>
      <c r="I82" s="1"/>
      <c r="J82" s="5">
        <f t="shared" si="35"/>
        <v>2.9372869261872679E-2</v>
      </c>
      <c r="K82" s="1"/>
      <c r="L82" s="1">
        <f t="shared" si="36"/>
        <v>-1111.44</v>
      </c>
      <c r="M82" s="1"/>
      <c r="N82" s="5">
        <f t="shared" si="37"/>
        <v>-1</v>
      </c>
      <c r="O82" s="13"/>
      <c r="P82" s="1">
        <f>SUM(OSRRefP22_7x_0)</f>
        <v>0</v>
      </c>
      <c r="Q82" s="1"/>
      <c r="R82" s="5">
        <f t="shared" si="38"/>
        <v>0</v>
      </c>
      <c r="S82" s="1"/>
      <c r="T82" s="1">
        <f>SUM(OSRRefT22_7x_0)</f>
        <v>1111.44</v>
      </c>
      <c r="U82" s="1"/>
      <c r="V82" s="5">
        <f t="shared" si="39"/>
        <v>4.7843495671081402E-3</v>
      </c>
      <c r="W82" s="1"/>
      <c r="X82" s="1">
        <f t="shared" si="40"/>
        <v>-1111.44</v>
      </c>
      <c r="Y82" s="1"/>
      <c r="Z82" s="5">
        <f t="shared" si="41"/>
        <v>-1</v>
      </c>
    </row>
    <row r="83" spans="1:26" s="24" customFormat="1" hidden="1" outlineLevel="2" x14ac:dyDescent="0.25">
      <c r="A83" s="25"/>
      <c r="B83" s="11" t="str">
        <f>CONCATENATE("          ", "6279", " - ", "GENERAL EXPENSE")</f>
        <v xml:space="preserve">          6279 - GENERAL EXPENSE</v>
      </c>
      <c r="C83" s="11"/>
      <c r="D83" s="6"/>
      <c r="E83" s="2"/>
      <c r="F83" s="7">
        <f t="shared" si="34"/>
        <v>0</v>
      </c>
      <c r="G83" s="2"/>
      <c r="H83" s="6">
        <v>1111.44</v>
      </c>
      <c r="I83" s="2"/>
      <c r="J83" s="7">
        <f t="shared" si="35"/>
        <v>2.9372869261872679E-2</v>
      </c>
      <c r="K83" s="2"/>
      <c r="L83" s="6">
        <f t="shared" si="36"/>
        <v>-1111.44</v>
      </c>
      <c r="M83" s="2"/>
      <c r="N83" s="7">
        <f t="shared" si="37"/>
        <v>-1</v>
      </c>
      <c r="O83" s="11"/>
      <c r="P83" s="6"/>
      <c r="Q83" s="2"/>
      <c r="R83" s="7">
        <f t="shared" si="38"/>
        <v>0</v>
      </c>
      <c r="S83" s="2"/>
      <c r="T83" s="6">
        <v>1111.44</v>
      </c>
      <c r="U83" s="2"/>
      <c r="V83" s="7">
        <f t="shared" si="39"/>
        <v>4.7843495671081402E-3</v>
      </c>
      <c r="W83" s="2"/>
      <c r="X83" s="6">
        <f t="shared" si="40"/>
        <v>-1111.44</v>
      </c>
      <c r="Y83" s="2"/>
      <c r="Z83" s="7">
        <f t="shared" si="41"/>
        <v>-1</v>
      </c>
    </row>
    <row r="84" spans="1:26" s="26" customFormat="1" outlineLevel="1" collapsed="1" x14ac:dyDescent="0.25">
      <c r="A84" s="27"/>
      <c r="B84" s="13" t="str">
        <f>CONCATENATE("     ","Insurance                                         ")</f>
        <v xml:space="preserve">     Insurance                                         </v>
      </c>
      <c r="C84" s="13"/>
      <c r="D84" s="1">
        <f>SUM(OSRRefD22_8x_0)</f>
        <v>161.18</v>
      </c>
      <c r="E84" s="1"/>
      <c r="F84" s="5">
        <f t="shared" si="34"/>
        <v>9.1614629693416681E-3</v>
      </c>
      <c r="G84" s="1"/>
      <c r="H84" s="1">
        <f>SUM(OSRRefH22_8x_0)</f>
        <v>161.18</v>
      </c>
      <c r="I84" s="1"/>
      <c r="J84" s="5">
        <f t="shared" si="35"/>
        <v>4.2596263114775771E-3</v>
      </c>
      <c r="K84" s="1"/>
      <c r="L84" s="1">
        <f t="shared" si="36"/>
        <v>0</v>
      </c>
      <c r="M84" s="1"/>
      <c r="N84" s="5">
        <f t="shared" si="37"/>
        <v>0</v>
      </c>
      <c r="O84" s="13"/>
      <c r="P84" s="1">
        <f>SUM(OSRRefP22_8x_0)</f>
        <v>805.9</v>
      </c>
      <c r="Q84" s="1"/>
      <c r="R84" s="5">
        <f t="shared" si="38"/>
        <v>7.6017458641748454E-3</v>
      </c>
      <c r="S84" s="1"/>
      <c r="T84" s="1">
        <f>SUM(OSRRefT22_8x_0)</f>
        <v>805.9</v>
      </c>
      <c r="U84" s="1"/>
      <c r="V84" s="5">
        <f t="shared" si="39"/>
        <v>3.4691097280397051E-3</v>
      </c>
      <c r="W84" s="1"/>
      <c r="X84" s="1">
        <f t="shared" si="40"/>
        <v>0</v>
      </c>
      <c r="Y84" s="1"/>
      <c r="Z84" s="5">
        <f t="shared" si="41"/>
        <v>0</v>
      </c>
    </row>
    <row r="85" spans="1:26" s="24" customFormat="1" hidden="1" outlineLevel="2" x14ac:dyDescent="0.25">
      <c r="A85" s="25"/>
      <c r="B85" s="11" t="str">
        <f>CONCATENATE("          ", "6314", " - ", "LIABILITY INSURANCE")</f>
        <v xml:space="preserve">          6314 - LIABILITY INSURANCE</v>
      </c>
      <c r="C85" s="11"/>
      <c r="D85" s="6">
        <v>161.18</v>
      </c>
      <c r="E85" s="2"/>
      <c r="F85" s="7">
        <f t="shared" si="34"/>
        <v>9.1614629693416681E-3</v>
      </c>
      <c r="G85" s="2"/>
      <c r="H85" s="6">
        <v>161.18</v>
      </c>
      <c r="I85" s="2"/>
      <c r="J85" s="7">
        <f t="shared" si="35"/>
        <v>4.2596263114775771E-3</v>
      </c>
      <c r="K85" s="2"/>
      <c r="L85" s="6">
        <f t="shared" si="36"/>
        <v>0</v>
      </c>
      <c r="M85" s="2"/>
      <c r="N85" s="7">
        <f t="shared" si="37"/>
        <v>0</v>
      </c>
      <c r="O85" s="11"/>
      <c r="P85" s="6">
        <v>805.9</v>
      </c>
      <c r="Q85" s="2"/>
      <c r="R85" s="7">
        <f t="shared" si="38"/>
        <v>7.6017458641748454E-3</v>
      </c>
      <c r="S85" s="2"/>
      <c r="T85" s="6">
        <v>805.9</v>
      </c>
      <c r="U85" s="2"/>
      <c r="V85" s="7">
        <f t="shared" si="39"/>
        <v>3.4691097280397051E-3</v>
      </c>
      <c r="W85" s="2"/>
      <c r="X85" s="6">
        <f t="shared" si="40"/>
        <v>0</v>
      </c>
      <c r="Y85" s="2"/>
      <c r="Z85" s="7">
        <f t="shared" si="41"/>
        <v>0</v>
      </c>
    </row>
    <row r="86" spans="1:26" s="26" customFormat="1" outlineLevel="1" collapsed="1" x14ac:dyDescent="0.25">
      <c r="A86" s="27"/>
      <c r="B86" s="13" t="str">
        <f>CONCATENATE("     ","Inventory Adjustment                              ")</f>
        <v xml:space="preserve">     Inventory Adjustment                              </v>
      </c>
      <c r="C86" s="13"/>
      <c r="D86" s="1">
        <f>SUM(OSRRefD22_9x_0)</f>
        <v>100</v>
      </c>
      <c r="E86" s="1"/>
      <c r="F86" s="5">
        <f t="shared" si="34"/>
        <v>5.683994893498987E-3</v>
      </c>
      <c r="G86" s="1"/>
      <c r="H86" s="1">
        <f>SUM(OSRRefH22_9x_0)</f>
        <v>300</v>
      </c>
      <c r="I86" s="1"/>
      <c r="J86" s="5">
        <f t="shared" si="35"/>
        <v>7.9283279156425919E-3</v>
      </c>
      <c r="K86" s="1"/>
      <c r="L86" s="1">
        <f t="shared" si="36"/>
        <v>-200</v>
      </c>
      <c r="M86" s="1"/>
      <c r="N86" s="5">
        <f t="shared" si="37"/>
        <v>-0.66666666666666663</v>
      </c>
      <c r="O86" s="13"/>
      <c r="P86" s="1">
        <f>SUM(OSRRefP22_9x_0)</f>
        <v>500</v>
      </c>
      <c r="Q86" s="1"/>
      <c r="R86" s="5">
        <f t="shared" si="38"/>
        <v>4.7163083907276618E-3</v>
      </c>
      <c r="S86" s="1"/>
      <c r="T86" s="1">
        <f>SUM(OSRRefT22_9x_0)</f>
        <v>1500</v>
      </c>
      <c r="U86" s="1"/>
      <c r="V86" s="5">
        <f t="shared" si="39"/>
        <v>6.4569606552420371E-3</v>
      </c>
      <c r="W86" s="1"/>
      <c r="X86" s="1">
        <f t="shared" si="40"/>
        <v>-1000</v>
      </c>
      <c r="Y86" s="1"/>
      <c r="Z86" s="5">
        <f t="shared" si="41"/>
        <v>-0.66666666666666663</v>
      </c>
    </row>
    <row r="87" spans="1:26" s="24" customFormat="1" hidden="1" outlineLevel="2" x14ac:dyDescent="0.25">
      <c r="A87" s="25"/>
      <c r="B87" s="11" t="str">
        <f>CONCATENATE("          ", "6408", " - ", "INVENTORY ADJUSTMENT")</f>
        <v xml:space="preserve">          6408 - INVENTORY ADJUSTMENT</v>
      </c>
      <c r="C87" s="11"/>
      <c r="D87" s="6">
        <v>100</v>
      </c>
      <c r="E87" s="2"/>
      <c r="F87" s="7">
        <f t="shared" si="34"/>
        <v>5.683994893498987E-3</v>
      </c>
      <c r="G87" s="2"/>
      <c r="H87" s="6">
        <v>300</v>
      </c>
      <c r="I87" s="2"/>
      <c r="J87" s="7">
        <f t="shared" si="35"/>
        <v>7.9283279156425919E-3</v>
      </c>
      <c r="K87" s="2"/>
      <c r="L87" s="6">
        <f t="shared" si="36"/>
        <v>-200</v>
      </c>
      <c r="M87" s="2"/>
      <c r="N87" s="7">
        <f t="shared" si="37"/>
        <v>-0.66666666666666663</v>
      </c>
      <c r="O87" s="11"/>
      <c r="P87" s="6">
        <v>500</v>
      </c>
      <c r="Q87" s="2"/>
      <c r="R87" s="7">
        <f t="shared" si="38"/>
        <v>4.7163083907276618E-3</v>
      </c>
      <c r="S87" s="2"/>
      <c r="T87" s="6">
        <v>1500</v>
      </c>
      <c r="U87" s="2"/>
      <c r="V87" s="7">
        <f t="shared" si="39"/>
        <v>6.4569606552420371E-3</v>
      </c>
      <c r="W87" s="2"/>
      <c r="X87" s="6">
        <f t="shared" si="40"/>
        <v>-1000</v>
      </c>
      <c r="Y87" s="2"/>
      <c r="Z87" s="7">
        <f t="shared" si="41"/>
        <v>-0.66666666666666663</v>
      </c>
    </row>
    <row r="88" spans="1:26" s="26" customFormat="1" outlineLevel="1" collapsed="1" x14ac:dyDescent="0.25">
      <c r="A88" s="27"/>
      <c r="B88" s="13" t="str">
        <f>CONCATENATE("     ","Professional Services                             ")</f>
        <v xml:space="preserve">     Professional Services                             </v>
      </c>
      <c r="C88" s="13"/>
      <c r="D88" s="1">
        <f>SUM(OSRRefD22_10x_0)</f>
        <v>0</v>
      </c>
      <c r="E88" s="1"/>
      <c r="F88" s="5">
        <f t="shared" si="34"/>
        <v>0</v>
      </c>
      <c r="G88" s="1"/>
      <c r="H88" s="1">
        <f>SUM(OSRRefH22_10x_0)</f>
        <v>0</v>
      </c>
      <c r="I88" s="1"/>
      <c r="J88" s="5">
        <f t="shared" si="35"/>
        <v>0</v>
      </c>
      <c r="K88" s="1"/>
      <c r="L88" s="1">
        <f t="shared" si="36"/>
        <v>0</v>
      </c>
      <c r="M88" s="1"/>
      <c r="N88" s="5">
        <f t="shared" si="37"/>
        <v>0</v>
      </c>
      <c r="O88" s="13"/>
      <c r="P88" s="1">
        <f>SUM(OSRRefP22_10x_0)</f>
        <v>0</v>
      </c>
      <c r="Q88" s="1"/>
      <c r="R88" s="5">
        <f t="shared" si="38"/>
        <v>0</v>
      </c>
      <c r="S88" s="1"/>
      <c r="T88" s="1">
        <f>SUM(OSRRefT22_10x_0)</f>
        <v>750</v>
      </c>
      <c r="U88" s="1"/>
      <c r="V88" s="5">
        <f t="shared" si="39"/>
        <v>3.2284803276210186E-3</v>
      </c>
      <c r="W88" s="1"/>
      <c r="X88" s="1">
        <f t="shared" si="40"/>
        <v>-750</v>
      </c>
      <c r="Y88" s="1"/>
      <c r="Z88" s="5">
        <f t="shared" si="41"/>
        <v>-1</v>
      </c>
    </row>
    <row r="89" spans="1:26" s="24" customFormat="1" hidden="1" outlineLevel="2" x14ac:dyDescent="0.25">
      <c r="A89" s="25"/>
      <c r="B89" s="11" t="str">
        <f>CONCATENATE("          ", "6336", " - ", "PROFESSIONAL SERVICES")</f>
        <v xml:space="preserve">          6336 - PROFESSIONAL SERVICES</v>
      </c>
      <c r="C89" s="11"/>
      <c r="D89" s="6"/>
      <c r="E89" s="2"/>
      <c r="F89" s="7">
        <f t="shared" si="34"/>
        <v>0</v>
      </c>
      <c r="G89" s="2"/>
      <c r="H89" s="6"/>
      <c r="I89" s="2"/>
      <c r="J89" s="7">
        <f t="shared" si="35"/>
        <v>0</v>
      </c>
      <c r="K89" s="2"/>
      <c r="L89" s="6">
        <f t="shared" si="36"/>
        <v>0</v>
      </c>
      <c r="M89" s="2"/>
      <c r="N89" s="7">
        <f t="shared" si="37"/>
        <v>0</v>
      </c>
      <c r="O89" s="11"/>
      <c r="P89" s="6"/>
      <c r="Q89" s="2"/>
      <c r="R89" s="7">
        <f t="shared" si="38"/>
        <v>0</v>
      </c>
      <c r="S89" s="2"/>
      <c r="T89" s="6">
        <v>750</v>
      </c>
      <c r="U89" s="2"/>
      <c r="V89" s="7">
        <f t="shared" si="39"/>
        <v>3.2284803276210186E-3</v>
      </c>
      <c r="W89" s="2"/>
      <c r="X89" s="6">
        <f t="shared" si="40"/>
        <v>-750</v>
      </c>
      <c r="Y89" s="2"/>
      <c r="Z89" s="7">
        <f t="shared" si="41"/>
        <v>-1</v>
      </c>
    </row>
    <row r="90" spans="1:26" s="26" customFormat="1" outlineLevel="1" collapsed="1" x14ac:dyDescent="0.25">
      <c r="A90" s="27"/>
      <c r="B90" s="13" t="str">
        <f>CONCATENATE("     ","Rent                                              ")</f>
        <v xml:space="preserve">     Rent                                              </v>
      </c>
      <c r="C90" s="13"/>
      <c r="D90" s="1">
        <f>SUM(OSRRefD22_11x_0)</f>
        <v>6900</v>
      </c>
      <c r="E90" s="1"/>
      <c r="F90" s="5">
        <f t="shared" si="34"/>
        <v>0.39219564765143011</v>
      </c>
      <c r="G90" s="1"/>
      <c r="H90" s="1">
        <f>SUM(OSRRefH22_11x_0)</f>
        <v>6900</v>
      </c>
      <c r="I90" s="1"/>
      <c r="J90" s="5">
        <f t="shared" si="35"/>
        <v>0.18235154205977963</v>
      </c>
      <c r="K90" s="1"/>
      <c r="L90" s="1">
        <f t="shared" si="36"/>
        <v>0</v>
      </c>
      <c r="M90" s="1"/>
      <c r="N90" s="5">
        <f t="shared" si="37"/>
        <v>0</v>
      </c>
      <c r="O90" s="13"/>
      <c r="P90" s="1">
        <f>SUM(OSRRefP22_11x_0)</f>
        <v>34500</v>
      </c>
      <c r="Q90" s="1"/>
      <c r="R90" s="5">
        <f t="shared" si="38"/>
        <v>0.32542527896020867</v>
      </c>
      <c r="S90" s="1"/>
      <c r="T90" s="1">
        <f>SUM(OSRRefT22_11x_0)</f>
        <v>34500</v>
      </c>
      <c r="U90" s="1"/>
      <c r="V90" s="5">
        <f t="shared" si="39"/>
        <v>0.14851009507056684</v>
      </c>
      <c r="W90" s="1"/>
      <c r="X90" s="1">
        <f t="shared" si="40"/>
        <v>0</v>
      </c>
      <c r="Y90" s="1"/>
      <c r="Z90" s="5">
        <f t="shared" si="41"/>
        <v>0</v>
      </c>
    </row>
    <row r="91" spans="1:26" s="24" customFormat="1" hidden="1" outlineLevel="2" x14ac:dyDescent="0.25">
      <c r="A91" s="25"/>
      <c r="B91" s="11" t="str">
        <f>CONCATENATE("          ", "6273", " - ", "RENT")</f>
        <v xml:space="preserve">          6273 - RENT</v>
      </c>
      <c r="C91" s="11"/>
      <c r="D91" s="6">
        <v>6900</v>
      </c>
      <c r="E91" s="2"/>
      <c r="F91" s="7">
        <f t="shared" si="34"/>
        <v>0.39219564765143011</v>
      </c>
      <c r="G91" s="2"/>
      <c r="H91" s="6">
        <v>6900</v>
      </c>
      <c r="I91" s="2"/>
      <c r="J91" s="7">
        <f t="shared" si="35"/>
        <v>0.18235154205977963</v>
      </c>
      <c r="K91" s="2"/>
      <c r="L91" s="6">
        <f t="shared" si="36"/>
        <v>0</v>
      </c>
      <c r="M91" s="2"/>
      <c r="N91" s="7">
        <f t="shared" si="37"/>
        <v>0</v>
      </c>
      <c r="O91" s="11"/>
      <c r="P91" s="6">
        <v>34500</v>
      </c>
      <c r="Q91" s="2"/>
      <c r="R91" s="7">
        <f t="shared" si="38"/>
        <v>0.32542527896020867</v>
      </c>
      <c r="S91" s="2"/>
      <c r="T91" s="6">
        <v>34500</v>
      </c>
      <c r="U91" s="2"/>
      <c r="V91" s="7">
        <f t="shared" si="39"/>
        <v>0.14851009507056684</v>
      </c>
      <c r="W91" s="2"/>
      <c r="X91" s="6">
        <f t="shared" si="40"/>
        <v>0</v>
      </c>
      <c r="Y91" s="2"/>
      <c r="Z91" s="7">
        <f t="shared" si="41"/>
        <v>0</v>
      </c>
    </row>
    <row r="92" spans="1:26" s="26" customFormat="1" outlineLevel="1" collapsed="1" x14ac:dyDescent="0.25">
      <c r="A92" s="27"/>
      <c r="B92" s="13" t="str">
        <f>CONCATENATE("     ","Repair and Maintenance                            ")</f>
        <v xml:space="preserve">     Repair and Maintenance                            </v>
      </c>
      <c r="C92" s="13"/>
      <c r="D92" s="1">
        <f>SUM(OSRRefD22_12x_0)</f>
        <v>0</v>
      </c>
      <c r="E92" s="1"/>
      <c r="F92" s="5">
        <f t="shared" si="34"/>
        <v>0</v>
      </c>
      <c r="G92" s="1"/>
      <c r="H92" s="1">
        <f>SUM(OSRRefH22_12x_0)</f>
        <v>0</v>
      </c>
      <c r="I92" s="1"/>
      <c r="J92" s="5">
        <f t="shared" si="35"/>
        <v>0</v>
      </c>
      <c r="K92" s="1"/>
      <c r="L92" s="1">
        <f t="shared" si="36"/>
        <v>0</v>
      </c>
      <c r="M92" s="1"/>
      <c r="N92" s="5">
        <f t="shared" si="37"/>
        <v>0</v>
      </c>
      <c r="O92" s="13"/>
      <c r="P92" s="1">
        <f>SUM(OSRRefP22_12x_0)</f>
        <v>48.21</v>
      </c>
      <c r="Q92" s="1"/>
      <c r="R92" s="5">
        <f t="shared" si="38"/>
        <v>4.5474645503396115E-4</v>
      </c>
      <c r="S92" s="1"/>
      <c r="T92" s="1">
        <f>SUM(OSRRefT22_12x_0)</f>
        <v>104.28999999999999</v>
      </c>
      <c r="U92" s="1"/>
      <c r="V92" s="5">
        <f t="shared" si="39"/>
        <v>4.4893095115679466E-4</v>
      </c>
      <c r="W92" s="1"/>
      <c r="X92" s="1">
        <f t="shared" si="40"/>
        <v>-56.079999999999991</v>
      </c>
      <c r="Y92" s="1"/>
      <c r="Z92" s="5">
        <f t="shared" si="41"/>
        <v>-0.53773132610988583</v>
      </c>
    </row>
    <row r="93" spans="1:26" s="24" customFormat="1" hidden="1" outlineLevel="2" x14ac:dyDescent="0.25">
      <c r="A93" s="25"/>
      <c r="B93" s="11" t="str">
        <f>CONCATENATE("          ", "6373", " - ", "MAINTENANCE CONTRACTS")</f>
        <v xml:space="preserve">          6373 - MAINTENANCE CONTRACTS</v>
      </c>
      <c r="C93" s="11"/>
      <c r="D93" s="6"/>
      <c r="E93" s="2"/>
      <c r="F93" s="7">
        <f t="shared" si="34"/>
        <v>0</v>
      </c>
      <c r="G93" s="2"/>
      <c r="H93" s="6"/>
      <c r="I93" s="2"/>
      <c r="J93" s="7">
        <f t="shared" si="35"/>
        <v>0</v>
      </c>
      <c r="K93" s="2"/>
      <c r="L93" s="6">
        <f t="shared" si="36"/>
        <v>0</v>
      </c>
      <c r="M93" s="2"/>
      <c r="N93" s="7">
        <f t="shared" si="37"/>
        <v>0</v>
      </c>
      <c r="O93" s="11"/>
      <c r="P93" s="6">
        <v>48.21</v>
      </c>
      <c r="Q93" s="2"/>
      <c r="R93" s="7">
        <f t="shared" si="38"/>
        <v>4.5474645503396115E-4</v>
      </c>
      <c r="S93" s="2"/>
      <c r="T93" s="6">
        <v>45.65</v>
      </c>
      <c r="U93" s="2"/>
      <c r="V93" s="7">
        <f t="shared" si="39"/>
        <v>1.9650683594119931E-4</v>
      </c>
      <c r="W93" s="2"/>
      <c r="X93" s="6">
        <f t="shared" si="40"/>
        <v>2.5600000000000023</v>
      </c>
      <c r="Y93" s="2"/>
      <c r="Z93" s="7">
        <f t="shared" si="41"/>
        <v>5.6078860898138058E-2</v>
      </c>
    </row>
    <row r="94" spans="1:26" s="24" customFormat="1" hidden="1" outlineLevel="2" x14ac:dyDescent="0.25">
      <c r="A94" s="25"/>
      <c r="B94" s="11" t="str">
        <f>CONCATENATE("          ", "6375", " - ", "OUTSIDE REPAIRS &amp; MAINTENANCE")</f>
        <v xml:space="preserve">          6375 - OUTSIDE REPAIRS &amp; MAINTENANCE</v>
      </c>
      <c r="C94" s="11"/>
      <c r="D94" s="6"/>
      <c r="E94" s="2"/>
      <c r="F94" s="7">
        <f t="shared" si="34"/>
        <v>0</v>
      </c>
      <c r="G94" s="2"/>
      <c r="H94" s="6"/>
      <c r="I94" s="2"/>
      <c r="J94" s="7">
        <f t="shared" si="35"/>
        <v>0</v>
      </c>
      <c r="K94" s="2"/>
      <c r="L94" s="6">
        <f t="shared" si="36"/>
        <v>0</v>
      </c>
      <c r="M94" s="2"/>
      <c r="N94" s="7">
        <f t="shared" si="37"/>
        <v>0</v>
      </c>
      <c r="O94" s="11"/>
      <c r="P94" s="6"/>
      <c r="Q94" s="2"/>
      <c r="R94" s="7">
        <f t="shared" si="38"/>
        <v>0</v>
      </c>
      <c r="S94" s="2"/>
      <c r="T94" s="6">
        <v>58.64</v>
      </c>
      <c r="U94" s="2"/>
      <c r="V94" s="7">
        <f t="shared" si="39"/>
        <v>2.5242411521559537E-4</v>
      </c>
      <c r="W94" s="2"/>
      <c r="X94" s="6">
        <f t="shared" si="40"/>
        <v>-58.64</v>
      </c>
      <c r="Y94" s="2"/>
      <c r="Z94" s="7">
        <f t="shared" si="41"/>
        <v>-1</v>
      </c>
    </row>
    <row r="95" spans="1:26" s="26" customFormat="1" outlineLevel="1" collapsed="1" x14ac:dyDescent="0.25">
      <c r="A95" s="27"/>
      <c r="B95" s="13" t="str">
        <f>CONCATENATE("     ","Services                                          ")</f>
        <v xml:space="preserve">     Services                                          </v>
      </c>
      <c r="C95" s="13"/>
      <c r="D95" s="1">
        <f>SUM(OSRRefD22_13x_0)</f>
        <v>-19.419999999999995</v>
      </c>
      <c r="E95" s="1"/>
      <c r="F95" s="5">
        <f t="shared" ref="F95:F98" si="42">IF(D$12=0,0,D95/D$12)</f>
        <v>-1.103831808317503E-3</v>
      </c>
      <c r="G95" s="1"/>
      <c r="H95" s="1">
        <f>SUM(OSRRefH22_13x_0)</f>
        <v>181.82</v>
      </c>
      <c r="I95" s="1"/>
      <c r="J95" s="5">
        <f t="shared" ref="J95:J98" si="43">IF(H$12=0,0,H95/H$12)</f>
        <v>4.8050952720737868E-3</v>
      </c>
      <c r="K95" s="1"/>
      <c r="L95" s="1">
        <f t="shared" ref="L95:L98" si="44">+D95-H95</f>
        <v>-201.23999999999998</v>
      </c>
      <c r="M95" s="1"/>
      <c r="N95" s="5">
        <f t="shared" ref="N95:N98" si="45">IF(H95=0,0,L95/H95)</f>
        <v>-1.1068089319106809</v>
      </c>
      <c r="O95" s="13"/>
      <c r="P95" s="1">
        <f>SUM(OSRRefP22_13x_0)</f>
        <v>-31.590000000000146</v>
      </c>
      <c r="Q95" s="1"/>
      <c r="R95" s="5">
        <f t="shared" ref="R95:R98" si="46">IF(P$12=0,0,P95/P$12)</f>
        <v>-2.9797636412617505E-4</v>
      </c>
      <c r="S95" s="1"/>
      <c r="T95" s="1">
        <f>SUM(OSRRefT22_13x_0)</f>
        <v>1820.46</v>
      </c>
      <c r="U95" s="1"/>
      <c r="V95" s="5">
        <f t="shared" ref="V95:V98" si="47">IF(T$12=0,0,T95/T$12)</f>
        <v>7.8364257296279459E-3</v>
      </c>
      <c r="W95" s="1"/>
      <c r="X95" s="1">
        <f t="shared" ref="X95:X98" si="48">+P95-T95</f>
        <v>-1852.0500000000002</v>
      </c>
      <c r="Y95" s="1"/>
      <c r="Z95" s="5">
        <f t="shared" ref="Z95:Z98" si="49">IF(T95=0,0,X95/T95)</f>
        <v>-1.0173527569954848</v>
      </c>
    </row>
    <row r="96" spans="1:26" s="24" customFormat="1" hidden="1" outlineLevel="2" x14ac:dyDescent="0.25">
      <c r="A96" s="25"/>
      <c r="B96" s="11" t="str">
        <f>CONCATENATE("          ", "6283", " - ", "PLANT SERVICE")</f>
        <v xml:space="preserve">          6283 - PLANT SERVICE</v>
      </c>
      <c r="C96" s="11"/>
      <c r="D96" s="6">
        <v>41.31</v>
      </c>
      <c r="E96" s="2"/>
      <c r="F96" s="7">
        <f t="shared" si="42"/>
        <v>2.3480582905044318E-3</v>
      </c>
      <c r="G96" s="2"/>
      <c r="H96" s="6"/>
      <c r="I96" s="2"/>
      <c r="J96" s="7">
        <f t="shared" si="43"/>
        <v>0</v>
      </c>
      <c r="K96" s="2"/>
      <c r="L96" s="6">
        <f t="shared" si="44"/>
        <v>41.31</v>
      </c>
      <c r="M96" s="2"/>
      <c r="N96" s="7">
        <f t="shared" si="45"/>
        <v>0</v>
      </c>
      <c r="O96" s="11"/>
      <c r="P96" s="6">
        <v>41.31</v>
      </c>
      <c r="Q96" s="2"/>
      <c r="R96" s="7">
        <f t="shared" si="46"/>
        <v>3.8966139924191944E-4</v>
      </c>
      <c r="S96" s="2"/>
      <c r="T96" s="6">
        <v>178.65</v>
      </c>
      <c r="U96" s="2"/>
      <c r="V96" s="7">
        <f t="shared" si="47"/>
        <v>7.6902401403932666E-4</v>
      </c>
      <c r="W96" s="2"/>
      <c r="X96" s="6">
        <f t="shared" si="48"/>
        <v>-137.34</v>
      </c>
      <c r="Y96" s="2"/>
      <c r="Z96" s="7">
        <f t="shared" si="49"/>
        <v>-0.7687657430730479</v>
      </c>
    </row>
    <row r="97" spans="1:26" s="24" customFormat="1" hidden="1" outlineLevel="2" x14ac:dyDescent="0.25">
      <c r="A97" s="25"/>
      <c r="B97" s="11" t="str">
        <f>CONCATENATE("          ", "6284", " - ", "TRASH REMOVAL EXPENSE")</f>
        <v xml:space="preserve">          6284 - TRASH REMOVAL EXPENSE</v>
      </c>
      <c r="C97" s="11"/>
      <c r="D97" s="6"/>
      <c r="E97" s="2"/>
      <c r="F97" s="7">
        <f t="shared" si="42"/>
        <v>0</v>
      </c>
      <c r="G97" s="2"/>
      <c r="H97" s="6">
        <v>134.82</v>
      </c>
      <c r="I97" s="2"/>
      <c r="J97" s="7">
        <f t="shared" si="43"/>
        <v>3.562990565289781E-3</v>
      </c>
      <c r="K97" s="2"/>
      <c r="L97" s="6">
        <f t="shared" si="44"/>
        <v>-134.82</v>
      </c>
      <c r="M97" s="2"/>
      <c r="N97" s="7">
        <f t="shared" si="45"/>
        <v>-1</v>
      </c>
      <c r="O97" s="11"/>
      <c r="P97" s="6">
        <v>585.29999999999995</v>
      </c>
      <c r="Q97" s="2"/>
      <c r="R97" s="7">
        <f t="shared" si="46"/>
        <v>5.5209106021858008E-3</v>
      </c>
      <c r="S97" s="2"/>
      <c r="T97" s="6">
        <v>674.1</v>
      </c>
      <c r="U97" s="2"/>
      <c r="V97" s="7">
        <f t="shared" si="47"/>
        <v>2.9017581184657714E-3</v>
      </c>
      <c r="W97" s="2"/>
      <c r="X97" s="6">
        <f t="shared" si="48"/>
        <v>-88.800000000000068</v>
      </c>
      <c r="Y97" s="2"/>
      <c r="Z97" s="7">
        <f t="shared" si="49"/>
        <v>-0.13173119715175799</v>
      </c>
    </row>
    <row r="98" spans="1:26" s="24" customFormat="1" hidden="1" outlineLevel="2" x14ac:dyDescent="0.25">
      <c r="A98" s="25"/>
      <c r="B98" s="11" t="str">
        <f>CONCATENATE("          ", "6285", " - ", "JANITORIAL SERVICES")</f>
        <v xml:space="preserve">          6285 - JANITORIAL SERVICES</v>
      </c>
      <c r="C98" s="11"/>
      <c r="D98" s="6">
        <v>-60.73</v>
      </c>
      <c r="E98" s="2"/>
      <c r="F98" s="7">
        <f t="shared" si="42"/>
        <v>-3.4518900988219346E-3</v>
      </c>
      <c r="G98" s="2"/>
      <c r="H98" s="6">
        <v>47</v>
      </c>
      <c r="I98" s="2"/>
      <c r="J98" s="7">
        <f t="shared" si="43"/>
        <v>1.2421047067840061E-3</v>
      </c>
      <c r="K98" s="2"/>
      <c r="L98" s="6">
        <f t="shared" si="44"/>
        <v>-107.72999999999999</v>
      </c>
      <c r="M98" s="2"/>
      <c r="N98" s="7">
        <f t="shared" si="45"/>
        <v>-2.2921276595744677</v>
      </c>
      <c r="O98" s="11"/>
      <c r="P98" s="6">
        <v>-658.2</v>
      </c>
      <c r="Q98" s="2"/>
      <c r="R98" s="7">
        <f t="shared" si="46"/>
        <v>-6.2085483655538948E-3</v>
      </c>
      <c r="S98" s="2"/>
      <c r="T98" s="6">
        <v>967.71</v>
      </c>
      <c r="U98" s="2"/>
      <c r="V98" s="7">
        <f t="shared" si="47"/>
        <v>4.1656435971228478E-3</v>
      </c>
      <c r="W98" s="2"/>
      <c r="X98" s="6">
        <f t="shared" si="48"/>
        <v>-1625.91</v>
      </c>
      <c r="Y98" s="2"/>
      <c r="Z98" s="7">
        <f t="shared" si="49"/>
        <v>-1.6801624453606969</v>
      </c>
    </row>
    <row r="99" spans="1:26" s="26" customFormat="1" outlineLevel="1" collapsed="1" x14ac:dyDescent="0.25">
      <c r="A99" s="27"/>
      <c r="B99" s="13" t="str">
        <f>CONCATENATE("     ","Subscriptions &amp; Dues                              ")</f>
        <v xml:space="preserve">     Subscriptions &amp; Dues                              </v>
      </c>
      <c r="C99" s="13"/>
      <c r="D99" s="1">
        <f>SUM(OSRRefD22_14x_0)</f>
        <v>0</v>
      </c>
      <c r="E99" s="1"/>
      <c r="F99" s="5">
        <f t="shared" ref="F99:F105" si="50">IF(D$12=0,0,D99/D$12)</f>
        <v>0</v>
      </c>
      <c r="G99" s="1"/>
      <c r="H99" s="1">
        <f>SUM(OSRRefH22_14x_0)</f>
        <v>0</v>
      </c>
      <c r="I99" s="1"/>
      <c r="J99" s="5">
        <f t="shared" ref="J99:J105" si="51">IF(H$12=0,0,H99/H$12)</f>
        <v>0</v>
      </c>
      <c r="K99" s="1"/>
      <c r="L99" s="1">
        <f t="shared" ref="L99:L105" si="52">+D99-H99</f>
        <v>0</v>
      </c>
      <c r="M99" s="1"/>
      <c r="N99" s="5">
        <f t="shared" ref="N99:N105" si="53">IF(H99=0,0,L99/H99)</f>
        <v>0</v>
      </c>
      <c r="O99" s="13"/>
      <c r="P99" s="1">
        <f>SUM(OSRRefP22_14x_0)</f>
        <v>150</v>
      </c>
      <c r="Q99" s="1"/>
      <c r="R99" s="5">
        <f t="shared" ref="R99:R105" si="54">IF(P$12=0,0,P99/P$12)</f>
        <v>1.4148925172182986E-3</v>
      </c>
      <c r="S99" s="1"/>
      <c r="T99" s="1">
        <f>SUM(OSRRefT22_14x_0)</f>
        <v>88.42</v>
      </c>
      <c r="U99" s="1"/>
      <c r="V99" s="5">
        <f t="shared" ref="V99:V105" si="55">IF(T$12=0,0,T99/T$12)</f>
        <v>3.8061630742433394E-4</v>
      </c>
      <c r="W99" s="1"/>
      <c r="X99" s="1">
        <f t="shared" ref="X99:X105" si="56">+P99-T99</f>
        <v>61.58</v>
      </c>
      <c r="Y99" s="1"/>
      <c r="Z99" s="5">
        <f t="shared" ref="Z99:Z105" si="57">IF(T99=0,0,X99/T99)</f>
        <v>0.69644876724722915</v>
      </c>
    </row>
    <row r="100" spans="1:26" s="24" customFormat="1" hidden="1" outlineLevel="2" x14ac:dyDescent="0.25">
      <c r="A100" s="25"/>
      <c r="B100" s="11" t="str">
        <f>CONCATENATE("          ", "6275", " - ", "SUBSCRIPTIONS")</f>
        <v xml:space="preserve">          6275 - SUBSCRIPTIONS</v>
      </c>
      <c r="C100" s="11"/>
      <c r="D100" s="6"/>
      <c r="E100" s="2"/>
      <c r="F100" s="7">
        <f t="shared" si="50"/>
        <v>0</v>
      </c>
      <c r="G100" s="2"/>
      <c r="H100" s="6"/>
      <c r="I100" s="2"/>
      <c r="J100" s="7">
        <f t="shared" si="51"/>
        <v>0</v>
      </c>
      <c r="K100" s="2"/>
      <c r="L100" s="6">
        <f t="shared" si="52"/>
        <v>0</v>
      </c>
      <c r="M100" s="2"/>
      <c r="N100" s="7">
        <f t="shared" si="53"/>
        <v>0</v>
      </c>
      <c r="O100" s="11"/>
      <c r="P100" s="6">
        <v>150</v>
      </c>
      <c r="Q100" s="2"/>
      <c r="R100" s="7">
        <f t="shared" si="54"/>
        <v>1.4148925172182986E-3</v>
      </c>
      <c r="S100" s="2"/>
      <c r="T100" s="6">
        <v>88.42</v>
      </c>
      <c r="U100" s="2"/>
      <c r="V100" s="7">
        <f t="shared" si="55"/>
        <v>3.8061630742433394E-4</v>
      </c>
      <c r="W100" s="2"/>
      <c r="X100" s="6">
        <f t="shared" si="56"/>
        <v>61.58</v>
      </c>
      <c r="Y100" s="2"/>
      <c r="Z100" s="7">
        <f t="shared" si="57"/>
        <v>0.69644876724722915</v>
      </c>
    </row>
    <row r="101" spans="1:26" s="26" customFormat="1" outlineLevel="1" collapsed="1" x14ac:dyDescent="0.25">
      <c r="A101" s="27"/>
      <c r="B101" s="13" t="str">
        <f>CONCATENATE("     ","Supplies                                          ")</f>
        <v xml:space="preserve">     Supplies                                          </v>
      </c>
      <c r="C101" s="13"/>
      <c r="D101" s="1">
        <f>SUM(OSRRefD22_15x_0)</f>
        <v>79.86</v>
      </c>
      <c r="E101" s="1"/>
      <c r="F101" s="5">
        <f t="shared" si="50"/>
        <v>4.5392383219482911E-3</v>
      </c>
      <c r="G101" s="1"/>
      <c r="H101" s="1">
        <f>SUM(OSRRefH22_15x_0)</f>
        <v>43.09</v>
      </c>
      <c r="I101" s="1"/>
      <c r="J101" s="5">
        <f t="shared" si="51"/>
        <v>1.1387721662834646E-3</v>
      </c>
      <c r="K101" s="1"/>
      <c r="L101" s="1">
        <f t="shared" si="52"/>
        <v>36.769999999999996</v>
      </c>
      <c r="M101" s="1"/>
      <c r="N101" s="5">
        <f t="shared" si="53"/>
        <v>0.85333023903457861</v>
      </c>
      <c r="O101" s="13"/>
      <c r="P101" s="1">
        <f>SUM(OSRRefP22_15x_0)</f>
        <v>542.26</v>
      </c>
      <c r="Q101" s="1"/>
      <c r="R101" s="5">
        <f t="shared" si="54"/>
        <v>5.1149307759119633E-3</v>
      </c>
      <c r="S101" s="1"/>
      <c r="T101" s="1">
        <f>SUM(OSRRefT22_15x_0)</f>
        <v>1458.1299999999999</v>
      </c>
      <c r="U101" s="1"/>
      <c r="V101" s="5">
        <f t="shared" si="55"/>
        <v>6.2767253601520474E-3</v>
      </c>
      <c r="W101" s="1"/>
      <c r="X101" s="1">
        <f t="shared" si="56"/>
        <v>-915.86999999999989</v>
      </c>
      <c r="Y101" s="1"/>
      <c r="Z101" s="5">
        <f t="shared" si="57"/>
        <v>-0.62811271971634897</v>
      </c>
    </row>
    <row r="102" spans="1:26" s="24" customFormat="1" hidden="1" outlineLevel="2" x14ac:dyDescent="0.25">
      <c r="A102" s="25"/>
      <c r="B102" s="11" t="str">
        <f>CONCATENATE("          ", "6235", " - ", "COVID-19 EXPENSES")</f>
        <v xml:space="preserve">          6235 - COVID-19 EXPENSES</v>
      </c>
      <c r="C102" s="11"/>
      <c r="D102" s="6"/>
      <c r="E102" s="2"/>
      <c r="F102" s="7">
        <f t="shared" si="50"/>
        <v>0</v>
      </c>
      <c r="G102" s="2"/>
      <c r="H102" s="6"/>
      <c r="I102" s="2"/>
      <c r="J102" s="7">
        <f t="shared" si="51"/>
        <v>0</v>
      </c>
      <c r="K102" s="2"/>
      <c r="L102" s="6">
        <f t="shared" si="52"/>
        <v>0</v>
      </c>
      <c r="M102" s="2"/>
      <c r="N102" s="7">
        <f t="shared" si="53"/>
        <v>0</v>
      </c>
      <c r="O102" s="11"/>
      <c r="P102" s="6">
        <v>265.7</v>
      </c>
      <c r="Q102" s="2"/>
      <c r="R102" s="7">
        <f t="shared" si="54"/>
        <v>2.5062462788326793E-3</v>
      </c>
      <c r="S102" s="2"/>
      <c r="T102" s="6"/>
      <c r="U102" s="2"/>
      <c r="V102" s="7">
        <f t="shared" si="55"/>
        <v>0</v>
      </c>
      <c r="W102" s="2"/>
      <c r="X102" s="6">
        <f t="shared" si="56"/>
        <v>265.7</v>
      </c>
      <c r="Y102" s="2"/>
      <c r="Z102" s="7">
        <f t="shared" si="57"/>
        <v>0</v>
      </c>
    </row>
    <row r="103" spans="1:26" s="24" customFormat="1" hidden="1" outlineLevel="2" x14ac:dyDescent="0.25">
      <c r="A103" s="25"/>
      <c r="B103" s="11" t="str">
        <f>CONCATENATE("          ", "6237", " - ", "JANITORIAL SUPPLIES")</f>
        <v xml:space="preserve">          6237 - JANITORIAL SUPPLIES</v>
      </c>
      <c r="C103" s="11"/>
      <c r="D103" s="6"/>
      <c r="E103" s="2"/>
      <c r="F103" s="7">
        <f t="shared" si="50"/>
        <v>0</v>
      </c>
      <c r="G103" s="2"/>
      <c r="H103" s="6"/>
      <c r="I103" s="2"/>
      <c r="J103" s="7">
        <f t="shared" si="51"/>
        <v>0</v>
      </c>
      <c r="K103" s="2"/>
      <c r="L103" s="6">
        <f t="shared" si="52"/>
        <v>0</v>
      </c>
      <c r="M103" s="2"/>
      <c r="N103" s="7">
        <f t="shared" si="53"/>
        <v>0</v>
      </c>
      <c r="O103" s="11"/>
      <c r="P103" s="6">
        <v>191.74</v>
      </c>
      <c r="Q103" s="2"/>
      <c r="R103" s="7">
        <f t="shared" si="54"/>
        <v>1.8086099416762438E-3</v>
      </c>
      <c r="S103" s="2"/>
      <c r="T103" s="6">
        <v>287.72000000000003</v>
      </c>
      <c r="U103" s="2"/>
      <c r="V103" s="7">
        <f t="shared" si="55"/>
        <v>1.2385311464841594E-3</v>
      </c>
      <c r="W103" s="2"/>
      <c r="X103" s="6">
        <f t="shared" si="56"/>
        <v>-95.980000000000018</v>
      </c>
      <c r="Y103" s="2"/>
      <c r="Z103" s="7">
        <f t="shared" si="57"/>
        <v>-0.33358821076046158</v>
      </c>
    </row>
    <row r="104" spans="1:26" s="24" customFormat="1" hidden="1" outlineLevel="2" x14ac:dyDescent="0.25">
      <c r="A104" s="25"/>
      <c r="B104" s="11" t="str">
        <f>CONCATENATE("          ", "6241", " - ", "OFFICE EXPENSE")</f>
        <v xml:space="preserve">          6241 - OFFICE EXPENSE</v>
      </c>
      <c r="C104" s="11"/>
      <c r="D104" s="6">
        <v>79.86</v>
      </c>
      <c r="E104" s="2"/>
      <c r="F104" s="7">
        <f t="shared" si="50"/>
        <v>4.5392383219482911E-3</v>
      </c>
      <c r="G104" s="2"/>
      <c r="H104" s="6">
        <v>22.97</v>
      </c>
      <c r="I104" s="2"/>
      <c r="J104" s="7">
        <f t="shared" si="51"/>
        <v>6.0704564074103452E-4</v>
      </c>
      <c r="K104" s="2"/>
      <c r="L104" s="6">
        <f t="shared" si="52"/>
        <v>56.89</v>
      </c>
      <c r="M104" s="2"/>
      <c r="N104" s="7">
        <f t="shared" si="53"/>
        <v>2.476708750544188</v>
      </c>
      <c r="O104" s="11"/>
      <c r="P104" s="6">
        <v>84.82</v>
      </c>
      <c r="Q104" s="2"/>
      <c r="R104" s="7">
        <f t="shared" si="54"/>
        <v>8.0007455540304052E-4</v>
      </c>
      <c r="S104" s="2"/>
      <c r="T104" s="6">
        <v>1150.29</v>
      </c>
      <c r="U104" s="2"/>
      <c r="V104" s="7">
        <f t="shared" si="55"/>
        <v>4.9515848480789085E-3</v>
      </c>
      <c r="W104" s="2"/>
      <c r="X104" s="6">
        <f t="shared" si="56"/>
        <v>-1065.47</v>
      </c>
      <c r="Y104" s="2"/>
      <c r="Z104" s="7">
        <f t="shared" si="57"/>
        <v>-0.92626207304245023</v>
      </c>
    </row>
    <row r="105" spans="1:26" s="24" customFormat="1" hidden="1" outlineLevel="2" x14ac:dyDescent="0.25">
      <c r="A105" s="25"/>
      <c r="B105" s="11" t="str">
        <f>CONCATENATE("          ", "6247", " - ", "STORE SUPPLIES")</f>
        <v xml:space="preserve">          6247 - STORE SUPPLIES</v>
      </c>
      <c r="C105" s="11"/>
      <c r="D105" s="6"/>
      <c r="E105" s="2"/>
      <c r="F105" s="7">
        <f t="shared" si="50"/>
        <v>0</v>
      </c>
      <c r="G105" s="2"/>
      <c r="H105" s="6">
        <v>20.12</v>
      </c>
      <c r="I105" s="2"/>
      <c r="J105" s="7">
        <f t="shared" si="51"/>
        <v>5.3172652554242994E-4</v>
      </c>
      <c r="K105" s="2"/>
      <c r="L105" s="6">
        <f t="shared" si="52"/>
        <v>-20.12</v>
      </c>
      <c r="M105" s="2"/>
      <c r="N105" s="7">
        <f t="shared" si="53"/>
        <v>-1</v>
      </c>
      <c r="O105" s="11"/>
      <c r="P105" s="6"/>
      <c r="Q105" s="2"/>
      <c r="R105" s="7">
        <f t="shared" si="54"/>
        <v>0</v>
      </c>
      <c r="S105" s="2"/>
      <c r="T105" s="6">
        <v>20.12</v>
      </c>
      <c r="U105" s="2"/>
      <c r="V105" s="7">
        <f t="shared" si="55"/>
        <v>8.6609365588979863E-5</v>
      </c>
      <c r="W105" s="2"/>
      <c r="X105" s="6">
        <f t="shared" si="56"/>
        <v>-20.12</v>
      </c>
      <c r="Y105" s="2"/>
      <c r="Z105" s="7">
        <f t="shared" si="57"/>
        <v>-1</v>
      </c>
    </row>
    <row r="106" spans="1:26" s="26" customFormat="1" outlineLevel="1" collapsed="1" x14ac:dyDescent="0.25">
      <c r="A106" s="27"/>
      <c r="B106" s="13" t="str">
        <f>CONCATENATE("     ","Telephone/Data Lines                              ")</f>
        <v xml:space="preserve">     Telephone/Data Lines                              </v>
      </c>
      <c r="C106" s="13"/>
      <c r="D106" s="1">
        <f>SUM(OSRRefD22_16x_0)</f>
        <v>281.48</v>
      </c>
      <c r="E106" s="1"/>
      <c r="F106" s="5">
        <f t="shared" ref="F106:F111" si="58">IF(D$12=0,0,D106/D$12)</f>
        <v>1.599930882622095E-2</v>
      </c>
      <c r="G106" s="1"/>
      <c r="H106" s="1">
        <f>SUM(OSRRefH22_16x_0)</f>
        <v>71.760000000000005</v>
      </c>
      <c r="I106" s="1"/>
      <c r="J106" s="5">
        <f t="shared" ref="J106:J111" si="59">IF(H$12=0,0,H106/H$12)</f>
        <v>1.8964560374217082E-3</v>
      </c>
      <c r="K106" s="1"/>
      <c r="L106" s="1">
        <f t="shared" ref="L106:L111" si="60">+D106-H106</f>
        <v>209.72000000000003</v>
      </c>
      <c r="M106" s="1"/>
      <c r="N106" s="5">
        <f t="shared" ref="N106:N111" si="61">IF(H106=0,0,L106/H106)</f>
        <v>2.9225195094760315</v>
      </c>
      <c r="O106" s="13"/>
      <c r="P106" s="1">
        <f>SUM(OSRRefP22_16x_0)</f>
        <v>1634.24</v>
      </c>
      <c r="Q106" s="1"/>
      <c r="R106" s="5">
        <f t="shared" ref="R106:R111" si="62">IF(P$12=0,0,P106/P$12)</f>
        <v>1.5415159648925548E-2</v>
      </c>
      <c r="S106" s="1"/>
      <c r="T106" s="1">
        <f>SUM(OSRRefT22_16x_0)</f>
        <v>1485.93</v>
      </c>
      <c r="U106" s="1"/>
      <c r="V106" s="5">
        <f t="shared" ref="V106:V111" si="63">IF(T$12=0,0,T106/T$12)</f>
        <v>6.3963943642958666E-3</v>
      </c>
      <c r="W106" s="1"/>
      <c r="X106" s="1">
        <f t="shared" ref="X106:X111" si="64">+P106-T106</f>
        <v>148.30999999999995</v>
      </c>
      <c r="Y106" s="1"/>
      <c r="Z106" s="5">
        <f t="shared" ref="Z106:Z111" si="65">IF(T106=0,0,X106/T106)</f>
        <v>9.9809546883096734E-2</v>
      </c>
    </row>
    <row r="107" spans="1:26" s="24" customFormat="1" hidden="1" outlineLevel="2" x14ac:dyDescent="0.25">
      <c r="A107" s="25"/>
      <c r="B107" s="11" t="str">
        <f>CONCATENATE("          ", "6309", " - ", "TELEPHONE")</f>
        <v xml:space="preserve">          6309 - TELEPHONE</v>
      </c>
      <c r="C107" s="11"/>
      <c r="D107" s="6">
        <v>281.48</v>
      </c>
      <c r="E107" s="2"/>
      <c r="F107" s="7">
        <f t="shared" si="58"/>
        <v>1.599930882622095E-2</v>
      </c>
      <c r="G107" s="2"/>
      <c r="H107" s="6">
        <v>71.760000000000005</v>
      </c>
      <c r="I107" s="2"/>
      <c r="J107" s="7">
        <f t="shared" si="59"/>
        <v>1.8964560374217082E-3</v>
      </c>
      <c r="K107" s="2"/>
      <c r="L107" s="6">
        <f t="shared" si="60"/>
        <v>209.72000000000003</v>
      </c>
      <c r="M107" s="2"/>
      <c r="N107" s="7">
        <f t="shared" si="61"/>
        <v>2.9225195094760315</v>
      </c>
      <c r="O107" s="11"/>
      <c r="P107" s="6">
        <v>1634.24</v>
      </c>
      <c r="Q107" s="2"/>
      <c r="R107" s="7">
        <f t="shared" si="62"/>
        <v>1.5415159648925548E-2</v>
      </c>
      <c r="S107" s="2"/>
      <c r="T107" s="6">
        <v>1485.93</v>
      </c>
      <c r="U107" s="2"/>
      <c r="V107" s="7">
        <f t="shared" si="63"/>
        <v>6.3963943642958666E-3</v>
      </c>
      <c r="W107" s="2"/>
      <c r="X107" s="6">
        <f t="shared" si="64"/>
        <v>148.30999999999995</v>
      </c>
      <c r="Y107" s="2"/>
      <c r="Z107" s="7">
        <f t="shared" si="65"/>
        <v>9.9809546883096734E-2</v>
      </c>
    </row>
    <row r="108" spans="1:26" s="26" customFormat="1" outlineLevel="1" collapsed="1" x14ac:dyDescent="0.25">
      <c r="A108" s="27"/>
      <c r="B108" s="13" t="str">
        <f>CONCATENATE("     ","Travel                                            ")</f>
        <v xml:space="preserve">     Travel                                            </v>
      </c>
      <c r="C108" s="13"/>
      <c r="D108" s="1">
        <f>SUM(OSRRefD22_17x_0)</f>
        <v>0</v>
      </c>
      <c r="E108" s="1"/>
      <c r="F108" s="5">
        <f t="shared" si="58"/>
        <v>0</v>
      </c>
      <c r="G108" s="1"/>
      <c r="H108" s="1">
        <f>SUM(OSRRefH22_17x_0)</f>
        <v>44.52</v>
      </c>
      <c r="I108" s="1"/>
      <c r="J108" s="5">
        <f t="shared" si="59"/>
        <v>1.1765638626813609E-3</v>
      </c>
      <c r="K108" s="1"/>
      <c r="L108" s="1">
        <f t="shared" si="60"/>
        <v>-44.52</v>
      </c>
      <c r="M108" s="1"/>
      <c r="N108" s="5">
        <f t="shared" si="61"/>
        <v>-1</v>
      </c>
      <c r="O108" s="13"/>
      <c r="P108" s="1">
        <f>SUM(OSRRefP22_17x_0)</f>
        <v>321.88</v>
      </c>
      <c r="Q108" s="1"/>
      <c r="R108" s="5">
        <f t="shared" si="62"/>
        <v>3.0361706896148396E-3</v>
      </c>
      <c r="S108" s="1"/>
      <c r="T108" s="1">
        <f>SUM(OSRRefT22_17x_0)</f>
        <v>480.99</v>
      </c>
      <c r="U108" s="1"/>
      <c r="V108" s="5">
        <f t="shared" si="63"/>
        <v>2.0704890037099117E-3</v>
      </c>
      <c r="W108" s="1"/>
      <c r="X108" s="1">
        <f t="shared" si="64"/>
        <v>-159.11000000000001</v>
      </c>
      <c r="Y108" s="1"/>
      <c r="Z108" s="5">
        <f t="shared" si="65"/>
        <v>-0.33079689806440887</v>
      </c>
    </row>
    <row r="109" spans="1:26" s="24" customFormat="1" hidden="1" outlineLevel="2" x14ac:dyDescent="0.25">
      <c r="A109" s="25"/>
      <c r="B109" s="11" t="str">
        <f>CONCATENATE("          ", "6294", " - ", "TRAVEL OPERATIONAL")</f>
        <v xml:space="preserve">          6294 - TRAVEL OPERATIONAL</v>
      </c>
      <c r="C109" s="11"/>
      <c r="D109" s="6"/>
      <c r="E109" s="2"/>
      <c r="F109" s="7">
        <f t="shared" si="58"/>
        <v>0</v>
      </c>
      <c r="G109" s="2"/>
      <c r="H109" s="6">
        <v>44.52</v>
      </c>
      <c r="I109" s="2"/>
      <c r="J109" s="7">
        <f t="shared" si="59"/>
        <v>1.1765638626813609E-3</v>
      </c>
      <c r="K109" s="2"/>
      <c r="L109" s="6">
        <f t="shared" si="60"/>
        <v>-44.52</v>
      </c>
      <c r="M109" s="2"/>
      <c r="N109" s="7">
        <f t="shared" si="61"/>
        <v>-1</v>
      </c>
      <c r="O109" s="11"/>
      <c r="P109" s="6">
        <v>321.88</v>
      </c>
      <c r="Q109" s="2"/>
      <c r="R109" s="7">
        <f t="shared" si="62"/>
        <v>3.0361706896148396E-3</v>
      </c>
      <c r="S109" s="2"/>
      <c r="T109" s="6">
        <v>480.99</v>
      </c>
      <c r="U109" s="2"/>
      <c r="V109" s="7">
        <f t="shared" si="63"/>
        <v>2.0704890037099117E-3</v>
      </c>
      <c r="W109" s="2"/>
      <c r="X109" s="6">
        <f t="shared" si="64"/>
        <v>-159.11000000000001</v>
      </c>
      <c r="Y109" s="2"/>
      <c r="Z109" s="7">
        <f t="shared" si="65"/>
        <v>-0.33079689806440887</v>
      </c>
    </row>
    <row r="110" spans="1:26" s="26" customFormat="1" outlineLevel="1" collapsed="1" x14ac:dyDescent="0.25">
      <c r="A110" s="27"/>
      <c r="B110" s="13" t="str">
        <f>CONCATENATE("     ","Utilities                                         ")</f>
        <v xml:space="preserve">     Utilities                                         </v>
      </c>
      <c r="C110" s="13"/>
      <c r="D110" s="1">
        <f>SUM(OSRRefD22_18x_0)</f>
        <v>17.38</v>
      </c>
      <c r="E110" s="1"/>
      <c r="F110" s="5">
        <f t="shared" si="58"/>
        <v>9.8787831249012381E-4</v>
      </c>
      <c r="G110" s="1"/>
      <c r="H110" s="1">
        <f>SUM(OSRRefH22_18x_0)</f>
        <v>31.26</v>
      </c>
      <c r="I110" s="1"/>
      <c r="J110" s="5">
        <f t="shared" si="59"/>
        <v>8.2613176880995821E-4</v>
      </c>
      <c r="K110" s="1"/>
      <c r="L110" s="1">
        <f t="shared" si="60"/>
        <v>-13.880000000000003</v>
      </c>
      <c r="M110" s="1"/>
      <c r="N110" s="5">
        <f t="shared" si="61"/>
        <v>-0.44401791426743448</v>
      </c>
      <c r="O110" s="13"/>
      <c r="P110" s="1">
        <f>SUM(OSRRefP22_18x_0)</f>
        <v>101.79</v>
      </c>
      <c r="Q110" s="1"/>
      <c r="R110" s="5">
        <f t="shared" si="62"/>
        <v>9.6014606218433748E-4</v>
      </c>
      <c r="S110" s="1"/>
      <c r="T110" s="1">
        <f>SUM(OSRRefT22_18x_0)</f>
        <v>226.92</v>
      </c>
      <c r="U110" s="1"/>
      <c r="V110" s="5">
        <f t="shared" si="63"/>
        <v>9.7680900792501539E-4</v>
      </c>
      <c r="W110" s="1"/>
      <c r="X110" s="1">
        <f t="shared" si="64"/>
        <v>-125.12999999999998</v>
      </c>
      <c r="Y110" s="1"/>
      <c r="Z110" s="5">
        <f t="shared" si="65"/>
        <v>-0.55142781597038604</v>
      </c>
    </row>
    <row r="111" spans="1:26" s="24" customFormat="1" hidden="1" outlineLevel="2" x14ac:dyDescent="0.25">
      <c r="A111" s="25"/>
      <c r="B111" s="11" t="str">
        <f>CONCATENATE("          ", "6274", " - ", "UTILITIES")</f>
        <v xml:space="preserve">          6274 - UTILITIES</v>
      </c>
      <c r="C111" s="11"/>
      <c r="D111" s="6">
        <v>17.38</v>
      </c>
      <c r="E111" s="2"/>
      <c r="F111" s="7">
        <f t="shared" si="58"/>
        <v>9.8787831249012381E-4</v>
      </c>
      <c r="G111" s="2"/>
      <c r="H111" s="6">
        <v>31.26</v>
      </c>
      <c r="I111" s="2"/>
      <c r="J111" s="7">
        <f t="shared" si="59"/>
        <v>8.2613176880995821E-4</v>
      </c>
      <c r="K111" s="2"/>
      <c r="L111" s="6">
        <f t="shared" si="60"/>
        <v>-13.880000000000003</v>
      </c>
      <c r="M111" s="2"/>
      <c r="N111" s="7">
        <f t="shared" si="61"/>
        <v>-0.44401791426743448</v>
      </c>
      <c r="O111" s="11"/>
      <c r="P111" s="6">
        <v>101.79</v>
      </c>
      <c r="Q111" s="2"/>
      <c r="R111" s="7">
        <f t="shared" si="62"/>
        <v>9.6014606218433748E-4</v>
      </c>
      <c r="S111" s="2"/>
      <c r="T111" s="6">
        <v>226.92</v>
      </c>
      <c r="U111" s="2"/>
      <c r="V111" s="7">
        <f t="shared" si="63"/>
        <v>9.7680900792501539E-4</v>
      </c>
      <c r="W111" s="2"/>
      <c r="X111" s="6">
        <f t="shared" si="64"/>
        <v>-125.12999999999998</v>
      </c>
      <c r="Y111" s="2"/>
      <c r="Z111" s="7">
        <f t="shared" si="65"/>
        <v>-0.55142781597038604</v>
      </c>
    </row>
    <row r="112" spans="1:26" s="53" customFormat="1" x14ac:dyDescent="0.25">
      <c r="A112" s="37"/>
      <c r="B112" s="37"/>
      <c r="C112" s="37"/>
      <c r="D112" s="1"/>
      <c r="E112" s="1"/>
      <c r="F112" s="5"/>
      <c r="G112" s="1"/>
      <c r="H112" s="1"/>
      <c r="I112" s="1"/>
      <c r="J112" s="5"/>
      <c r="K112" s="1"/>
      <c r="L112" s="1"/>
      <c r="M112" s="1"/>
      <c r="N112" s="5"/>
      <c r="O112" s="37"/>
      <c r="P112" s="1"/>
      <c r="Q112" s="1"/>
      <c r="R112" s="5"/>
      <c r="S112" s="1"/>
      <c r="T112" s="1"/>
      <c r="U112" s="1"/>
      <c r="V112" s="5"/>
      <c r="W112" s="1"/>
      <c r="X112" s="1"/>
      <c r="Y112" s="1"/>
      <c r="Z112" s="5"/>
    </row>
    <row r="113" spans="1:26" s="23" customFormat="1" x14ac:dyDescent="0.25">
      <c r="A113" s="10"/>
      <c r="B113" s="29" t="s">
        <v>0</v>
      </c>
      <c r="C113" s="10"/>
      <c r="D113" s="4">
        <f>SUM(0)</f>
        <v>0</v>
      </c>
      <c r="E113" s="4"/>
      <c r="F113" s="12">
        <f>IF(D$12=0,0,D113/D$12)</f>
        <v>0</v>
      </c>
      <c r="G113" s="4"/>
      <c r="H113" s="4">
        <f>SUM(0)</f>
        <v>0</v>
      </c>
      <c r="I113" s="4"/>
      <c r="J113" s="12">
        <f>IF(H$12=0,0,H113/H$12)</f>
        <v>0</v>
      </c>
      <c r="K113" s="4"/>
      <c r="L113" s="4">
        <f>+D113-H113</f>
        <v>0</v>
      </c>
      <c r="M113" s="4"/>
      <c r="N113" s="12">
        <f>IF(H113=0,0,L113/H113)</f>
        <v>0</v>
      </c>
      <c r="O113" s="10"/>
      <c r="P113" s="4">
        <f>SUM(0)</f>
        <v>0</v>
      </c>
      <c r="Q113" s="4"/>
      <c r="R113" s="12">
        <f>IF(P$12=0,0,P113/P$12)</f>
        <v>0</v>
      </c>
      <c r="S113" s="4"/>
      <c r="T113" s="4">
        <f>SUM(0)</f>
        <v>0</v>
      </c>
      <c r="U113" s="4"/>
      <c r="V113" s="12">
        <f>IF(T$12=0,0,T113/T$12)</f>
        <v>0</v>
      </c>
      <c r="W113" s="4"/>
      <c r="X113" s="4">
        <f>+P113-T113</f>
        <v>0</v>
      </c>
      <c r="Y113" s="4"/>
      <c r="Z113" s="12">
        <f>IF(T113=0,0,X113/T113)</f>
        <v>0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25">
      <c r="A115" s="10"/>
      <c r="B115" s="28" t="s">
        <v>3</v>
      </c>
      <c r="C115" s="28"/>
      <c r="D115" s="20">
        <f>+D54-D56+D113</f>
        <v>-11248.570000000003</v>
      </c>
      <c r="E115" s="14"/>
      <c r="F115" s="22">
        <f>IF(D$12=0,0,D115/D$12)</f>
        <v>-0.63936814439165923</v>
      </c>
      <c r="G115" s="14"/>
      <c r="H115" s="20">
        <f>+H54-H56+H113</f>
        <v>-11265.340000000015</v>
      </c>
      <c r="I115" s="14"/>
      <c r="J115" s="22">
        <f>IF(H$12=0,0,H115/H$12)</f>
        <v>-0.29771769867068415</v>
      </c>
      <c r="K115" s="15"/>
      <c r="L115" s="20">
        <f>+D115-H115</f>
        <v>16.77000000001135</v>
      </c>
      <c r="M115" s="15"/>
      <c r="N115" s="22">
        <f>IF(H115=0,0,L115/H115)</f>
        <v>-1.4886368276511254E-3</v>
      </c>
      <c r="O115" s="29"/>
      <c r="P115" s="20">
        <f>+P54-P56+P113</f>
        <v>-44024.670000000013</v>
      </c>
      <c r="Q115" s="14"/>
      <c r="R115" s="22">
        <f>IF(P$12=0,0,P115/P$12)</f>
        <v>-0.41526784104003284</v>
      </c>
      <c r="S115" s="14"/>
      <c r="T115" s="20">
        <f>+T54-T56+T113</f>
        <v>-18938.510000000009</v>
      </c>
      <c r="U115" s="14"/>
      <c r="V115" s="22">
        <f>IF(T$12=0,0,T115/T$12)</f>
        <v>-8.1523475959271952E-2</v>
      </c>
      <c r="W115" s="15"/>
      <c r="X115" s="20">
        <f>+P115-T115</f>
        <v>-25086.160000000003</v>
      </c>
      <c r="Y115" s="15"/>
      <c r="Z115" s="22">
        <f>IF(T115=0,0,X115/T115)</f>
        <v>1.3246110702478702</v>
      </c>
    </row>
    <row r="116" spans="1:26" x14ac:dyDescent="0.25">
      <c r="A116" s="9"/>
      <c r="B116" s="10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51"/>
      <c r="B117" s="10" t="s">
        <v>13</v>
      </c>
      <c r="C117" s="10"/>
      <c r="D117" s="4">
        <v>-2308.27</v>
      </c>
      <c r="E117" s="4"/>
      <c r="F117" s="12">
        <f>IF(D$12=0,0,D117/D$12)</f>
        <v>-0.13120194892816905</v>
      </c>
      <c r="G117" s="4"/>
      <c r="H117" s="4">
        <v>5024.1000000000004</v>
      </c>
      <c r="I117" s="4"/>
      <c r="J117" s="12">
        <f>IF(H$12=0,0,H117/H$12)</f>
        <v>0.13277570760326651</v>
      </c>
      <c r="K117" s="4"/>
      <c r="L117" s="4">
        <f>+D117-H117</f>
        <v>-7332.3700000000008</v>
      </c>
      <c r="M117" s="4"/>
      <c r="N117" s="12">
        <f>IF(H117=0,0,L117/H117)</f>
        <v>-1.459439501602277</v>
      </c>
      <c r="O117" s="10"/>
      <c r="P117" s="4">
        <v>16845.809999999998</v>
      </c>
      <c r="Q117" s="4"/>
      <c r="R117" s="12">
        <f>IF(P$12=0,0,P117/P$12)</f>
        <v>0.15890007010320789</v>
      </c>
      <c r="S117" s="4"/>
      <c r="T117" s="4">
        <v>24599.79</v>
      </c>
      <c r="U117" s="4"/>
      <c r="V117" s="12">
        <f>IF(T$12=0,0,T117/T$12)</f>
        <v>0.10589325077147768</v>
      </c>
      <c r="W117" s="4"/>
      <c r="X117" s="4">
        <f>+P117-T117</f>
        <v>-7753.9800000000032</v>
      </c>
      <c r="Y117" s="4"/>
      <c r="Z117" s="12">
        <f>IF(T117=0,0,X117/T117)</f>
        <v>-0.31520512979988863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8" t="s">
        <v>4</v>
      </c>
      <c r="C119" s="28"/>
      <c r="D119" s="31">
        <f>+D115-D117</f>
        <v>-8940.3000000000029</v>
      </c>
      <c r="E119" s="14"/>
      <c r="F119" s="34">
        <f>IF(D$12=0,0,D119/D$12)</f>
        <v>-0.50816619546349007</v>
      </c>
      <c r="G119" s="14"/>
      <c r="H119" s="31">
        <f>+H115-H117</f>
        <v>-16289.440000000015</v>
      </c>
      <c r="I119" s="14"/>
      <c r="J119" s="34">
        <f>IF(H$12=0,0,H119/H$12)</f>
        <v>-0.43049340627395066</v>
      </c>
      <c r="K119" s="15"/>
      <c r="L119" s="31">
        <f>D119-H119</f>
        <v>7349.1400000000122</v>
      </c>
      <c r="M119" s="15"/>
      <c r="N119" s="34">
        <f>IF(H119=0,0,L119/H119)</f>
        <v>-0.45115976976495237</v>
      </c>
      <c r="O119" s="29"/>
      <c r="P119" s="31">
        <f>+P115-P117</f>
        <v>-60870.48000000001</v>
      </c>
      <c r="Q119" s="14"/>
      <c r="R119" s="34">
        <f>IF(P$12=0,0,P119/P$12)</f>
        <v>-0.57416791114324073</v>
      </c>
      <c r="S119" s="14"/>
      <c r="T119" s="31">
        <f>+T115-T117</f>
        <v>-43538.30000000001</v>
      </c>
      <c r="U119" s="14"/>
      <c r="V119" s="34">
        <f>IF(T$12=0,0,T119/T$12)</f>
        <v>-0.18741672673074963</v>
      </c>
      <c r="W119" s="15"/>
      <c r="X119" s="31">
        <f>P119-T119</f>
        <v>-17332.18</v>
      </c>
      <c r="Y119" s="15"/>
      <c r="Z119" s="34">
        <f>IF(T119=0,0,X119/T119)</f>
        <v>0.39809041694324299</v>
      </c>
    </row>
    <row r="120" spans="1:26" ht="15.75" thickTop="1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x14ac:dyDescent="0.25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8" t="s">
        <v>5</v>
      </c>
      <c r="C122" s="28"/>
      <c r="D122" s="32">
        <f>SUM(D119:D121)</f>
        <v>-8940.3000000000029</v>
      </c>
      <c r="E122" s="14"/>
      <c r="F122" s="30">
        <f>IF(D$12=0,0,D122/D$12)</f>
        <v>-0.50816619546349007</v>
      </c>
      <c r="G122" s="14"/>
      <c r="H122" s="32">
        <f>SUM(H119:H121)</f>
        <v>-16289.440000000015</v>
      </c>
      <c r="I122" s="14"/>
      <c r="J122" s="30">
        <f>IF(H$12=0,0,H122/H$12)</f>
        <v>-0.43049340627395066</v>
      </c>
      <c r="K122" s="15"/>
      <c r="L122" s="32">
        <f>+D122-H122</f>
        <v>7349.1400000000122</v>
      </c>
      <c r="M122" s="15"/>
      <c r="N122" s="30">
        <f>IF(H122=0,0,L122/H122)</f>
        <v>-0.45115976976495237</v>
      </c>
      <c r="O122" s="29"/>
      <c r="P122" s="32">
        <f>SUM(P119:P121)</f>
        <v>-60870.48000000001</v>
      </c>
      <c r="Q122" s="14"/>
      <c r="R122" s="30">
        <f>IF(P$12=0,0,P122/P$12)</f>
        <v>-0.57416791114324073</v>
      </c>
      <c r="S122" s="14"/>
      <c r="T122" s="32">
        <f>SUM(T119:T121)</f>
        <v>-43538.30000000001</v>
      </c>
      <c r="U122" s="14"/>
      <c r="V122" s="30">
        <f>IF(T$12=0,0,T122/T$12)</f>
        <v>-0.18741672673074963</v>
      </c>
      <c r="W122" s="15"/>
      <c r="X122" s="32">
        <f>+P122-T122</f>
        <v>-17332.18</v>
      </c>
      <c r="Y122" s="15"/>
      <c r="Z122" s="30">
        <f>IF(T122=0,0,X122/T122)</f>
        <v>0.39809041694324299</v>
      </c>
    </row>
    <row r="123" spans="1:26" ht="15.75" thickTop="1" x14ac:dyDescent="0.25">
      <c r="A123" s="9"/>
      <c r="C123" s="9"/>
      <c r="D123" s="17"/>
      <c r="E123" s="17"/>
      <c r="G123" s="17"/>
      <c r="H123" s="17"/>
      <c r="I123" s="17"/>
      <c r="J123" s="43"/>
      <c r="K123" s="17"/>
      <c r="L123" s="17"/>
      <c r="M123" s="17"/>
      <c r="P123" s="17"/>
      <c r="Q123" s="17"/>
      <c r="R123" s="43"/>
      <c r="S123" s="17"/>
      <c r="T123" s="17"/>
      <c r="U123" s="17"/>
      <c r="V123" s="43"/>
      <c r="W123" s="17"/>
      <c r="X123" s="17"/>
    </row>
    <row r="124" spans="1:26" x14ac:dyDescent="0.25">
      <c r="A124" s="9"/>
      <c r="B124" s="54">
        <v>44174.685833020834</v>
      </c>
      <c r="D124" s="17"/>
      <c r="E124" s="17"/>
      <c r="G124" s="17"/>
      <c r="H124" s="17"/>
      <c r="I124" s="17"/>
      <c r="J124" s="43"/>
      <c r="K124" s="17"/>
      <c r="L124" s="17"/>
      <c r="M124" s="17"/>
      <c r="P124" s="17"/>
      <c r="Q124" s="17"/>
      <c r="R124" s="43"/>
      <c r="S124" s="17"/>
      <c r="T124" s="17"/>
      <c r="U124" s="17"/>
      <c r="V124" s="43"/>
      <c r="W124" s="17"/>
      <c r="X124" s="17"/>
    </row>
    <row r="125" spans="1:26" x14ac:dyDescent="0.25">
      <c r="A125" s="9"/>
      <c r="B125" s="56" t="s">
        <v>313</v>
      </c>
      <c r="D125" s="17"/>
      <c r="E125" s="17"/>
      <c r="G125" s="17"/>
      <c r="H125" s="17"/>
      <c r="I125" s="17"/>
      <c r="J125" s="43"/>
      <c r="K125" s="17"/>
      <c r="L125" s="17"/>
      <c r="M125" s="17"/>
      <c r="P125" s="17"/>
      <c r="Q125" s="17"/>
      <c r="R125" s="43"/>
      <c r="S125" s="17"/>
      <c r="T125" s="17"/>
      <c r="U125" s="17"/>
      <c r="V125" s="43"/>
      <c r="W125" s="17"/>
      <c r="X125" s="17"/>
    </row>
    <row r="126" spans="1:26" x14ac:dyDescent="0.25">
      <c r="A126" s="9"/>
      <c r="B126" s="61"/>
      <c r="D126" s="17"/>
      <c r="E126" s="17"/>
      <c r="G126" s="17"/>
      <c r="H126" s="17"/>
      <c r="I126" s="17"/>
      <c r="J126" s="43"/>
      <c r="K126" s="17"/>
      <c r="L126" s="17"/>
      <c r="M126" s="17"/>
      <c r="P126" s="17"/>
      <c r="Q126" s="17"/>
      <c r="R126" s="43"/>
      <c r="S126" s="17"/>
      <c r="T126" s="17"/>
      <c r="U126" s="17"/>
      <c r="V126" s="43"/>
      <c r="W126" s="17"/>
      <c r="X126" s="17"/>
    </row>
    <row r="127" spans="1:26" x14ac:dyDescent="0.25">
      <c r="D127" s="17"/>
      <c r="E127" s="17"/>
      <c r="G127" s="17"/>
      <c r="H127" s="17"/>
      <c r="I127" s="17"/>
      <c r="J127" s="43"/>
      <c r="K127" s="17"/>
      <c r="L127" s="17"/>
      <c r="M127" s="17"/>
      <c r="P127" s="17"/>
      <c r="Q127" s="17"/>
      <c r="R127" s="43"/>
      <c r="S127" s="17"/>
      <c r="T127" s="17"/>
      <c r="U127" s="17"/>
      <c r="V127" s="43"/>
      <c r="W127" s="17"/>
      <c r="X127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303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1597.9</v>
      </c>
      <c r="E12" s="4"/>
      <c r="F12" s="12"/>
      <c r="G12" s="4"/>
      <c r="H12" s="4">
        <f>SUM(OSRRefH13x_0)</f>
        <v>41064.650000000009</v>
      </c>
      <c r="I12" s="4"/>
      <c r="J12" s="12"/>
      <c r="K12" s="4"/>
      <c r="L12" s="4">
        <f t="shared" ref="L12:L27" si="0">+D12-H12</f>
        <v>-39466.750000000007</v>
      </c>
      <c r="M12" s="4"/>
      <c r="N12" s="12">
        <f t="shared" ref="N12:N27" si="1">IF(H12=0,0,L12/H12)</f>
        <v>-0.9610881865546157</v>
      </c>
      <c r="O12" s="10"/>
      <c r="P12" s="4">
        <f>SUM(OSRRefP13x_0)</f>
        <v>73572.91</v>
      </c>
      <c r="Q12" s="4"/>
      <c r="R12" s="12"/>
      <c r="S12" s="4"/>
      <c r="T12" s="4">
        <f>SUM(OSRRefT13x_0)</f>
        <v>270556.36</v>
      </c>
      <c r="U12" s="4"/>
      <c r="V12" s="12"/>
      <c r="W12" s="4"/>
      <c r="X12" s="4">
        <f t="shared" ref="X12:X27" si="2">+P12-T12</f>
        <v>-196983.44999999998</v>
      </c>
      <c r="Y12" s="4"/>
      <c r="Z12" s="12">
        <f t="shared" ref="Z12:Z27" si="3">IF(T12=0,0,X12/T12)</f>
        <v>-0.72806808163740822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-8.65</f>
        <v>-8.65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-8.65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--323.05</f>
        <v>323.05</v>
      </c>
      <c r="E14" s="2"/>
      <c r="F14" s="19"/>
      <c r="G14" s="2"/>
      <c r="H14" s="2">
        <f>--194.1</f>
        <v>194.1</v>
      </c>
      <c r="I14" s="2"/>
      <c r="J14" s="19"/>
      <c r="K14" s="2"/>
      <c r="L14" s="2">
        <f t="shared" si="0"/>
        <v>128.95000000000002</v>
      </c>
      <c r="M14" s="2"/>
      <c r="N14" s="19">
        <f t="shared" si="1"/>
        <v>0.66434827408552299</v>
      </c>
      <c r="O14" s="11"/>
      <c r="P14" s="2">
        <f>--60692.37</f>
        <v>60692.37</v>
      </c>
      <c r="Q14" s="2"/>
      <c r="R14" s="19"/>
      <c r="S14" s="2"/>
      <c r="T14" s="2">
        <f>--96968.35</f>
        <v>96968.35</v>
      </c>
      <c r="U14" s="2"/>
      <c r="V14" s="19"/>
      <c r="W14" s="2"/>
      <c r="X14" s="2">
        <f t="shared" si="2"/>
        <v>-36275.980000000003</v>
      </c>
      <c r="Y14" s="2"/>
      <c r="Z14" s="19">
        <f t="shared" si="3"/>
        <v>-0.37410124025004038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--402.24</f>
        <v>402.24</v>
      </c>
      <c r="E15" s="2"/>
      <c r="F15" s="19"/>
      <c r="G15" s="2"/>
      <c r="H15" s="2">
        <f>--7977.42</f>
        <v>7977.42</v>
      </c>
      <c r="I15" s="2"/>
      <c r="J15" s="19"/>
      <c r="K15" s="2"/>
      <c r="L15" s="2">
        <f t="shared" si="0"/>
        <v>-7575.18</v>
      </c>
      <c r="M15" s="2"/>
      <c r="N15" s="19">
        <f t="shared" si="1"/>
        <v>-0.94957768301029655</v>
      </c>
      <c r="O15" s="11"/>
      <c r="P15" s="2">
        <f>--11889.82</f>
        <v>11889.82</v>
      </c>
      <c r="Q15" s="2"/>
      <c r="R15" s="19"/>
      <c r="S15" s="2"/>
      <c r="T15" s="2">
        <f>--39895.64</f>
        <v>39895.64</v>
      </c>
      <c r="U15" s="2"/>
      <c r="V15" s="19"/>
      <c r="W15" s="2"/>
      <c r="X15" s="2">
        <f t="shared" si="2"/>
        <v>-28005.82</v>
      </c>
      <c r="Y15" s="2"/>
      <c r="Z15" s="19">
        <f t="shared" si="3"/>
        <v>-0.70197695788311709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 t="shared" ref="D16:D20" si="4">0</f>
        <v>0</v>
      </c>
      <c r="E16" s="2"/>
      <c r="F16" s="19"/>
      <c r="G16" s="2"/>
      <c r="H16" s="2">
        <f>--3.7</f>
        <v>3.7</v>
      </c>
      <c r="I16" s="2"/>
      <c r="J16" s="19"/>
      <c r="K16" s="2"/>
      <c r="L16" s="2">
        <f t="shared" si="0"/>
        <v>-3.7</v>
      </c>
      <c r="M16" s="2"/>
      <c r="N16" s="19">
        <f t="shared" si="1"/>
        <v>-1</v>
      </c>
      <c r="O16" s="11"/>
      <c r="P16" s="2">
        <f>--7.98</f>
        <v>7.98</v>
      </c>
      <c r="Q16" s="2"/>
      <c r="R16" s="19"/>
      <c r="S16" s="2"/>
      <c r="T16" s="2">
        <f>--101.98</f>
        <v>101.98</v>
      </c>
      <c r="U16" s="2"/>
      <c r="V16" s="19"/>
      <c r="W16" s="2"/>
      <c r="X16" s="2">
        <f t="shared" si="2"/>
        <v>-94</v>
      </c>
      <c r="Y16" s="2"/>
      <c r="Z16" s="19">
        <f t="shared" si="3"/>
        <v>-0.92174936262012153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 t="shared" si="4"/>
        <v>0</v>
      </c>
      <c r="E17" s="2"/>
      <c r="F17" s="19"/>
      <c r="G17" s="2"/>
      <c r="H17" s="2">
        <f>--304.55</f>
        <v>304.55</v>
      </c>
      <c r="I17" s="2"/>
      <c r="J17" s="19"/>
      <c r="K17" s="2"/>
      <c r="L17" s="2">
        <f t="shared" si="0"/>
        <v>-304.55</v>
      </c>
      <c r="M17" s="2"/>
      <c r="N17" s="19">
        <f t="shared" si="1"/>
        <v>-1</v>
      </c>
      <c r="O17" s="11"/>
      <c r="P17" s="2">
        <f t="shared" ref="P17:P19" si="5">0</f>
        <v>0</v>
      </c>
      <c r="Q17" s="2"/>
      <c r="R17" s="19"/>
      <c r="S17" s="2"/>
      <c r="T17" s="2">
        <f>--1678.55</f>
        <v>1678.55</v>
      </c>
      <c r="U17" s="2"/>
      <c r="V17" s="19"/>
      <c r="W17" s="2"/>
      <c r="X17" s="2">
        <f t="shared" si="2"/>
        <v>-1678.55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"4092", " - ", "TAXABLE SALES-GRAD MERCH")</f>
        <v xml:space="preserve">          4092 - TAXABLE SALES-GRAD MERCH</v>
      </c>
      <c r="C18" s="11"/>
      <c r="D18" s="2">
        <f t="shared" si="4"/>
        <v>0</v>
      </c>
      <c r="E18" s="2"/>
      <c r="F18" s="19"/>
      <c r="G18" s="2"/>
      <c r="H18" s="2">
        <f>--2389.54</f>
        <v>2389.54</v>
      </c>
      <c r="I18" s="2"/>
      <c r="J18" s="19"/>
      <c r="K18" s="2"/>
      <c r="L18" s="2">
        <f t="shared" si="0"/>
        <v>-2389.54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--7480.57</f>
        <v>7480.57</v>
      </c>
      <c r="U18" s="2"/>
      <c r="V18" s="19"/>
      <c r="W18" s="2"/>
      <c r="X18" s="2">
        <f t="shared" si="2"/>
        <v>-7480.57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"4095", " - ", "TAXABLE SALES-CUSTOMER SERVICE")</f>
        <v xml:space="preserve">          4095 - TAXABLE SALES-CUSTOMER SERVICE</v>
      </c>
      <c r="C19" s="11"/>
      <c r="D19" s="2">
        <f t="shared" si="4"/>
        <v>0</v>
      </c>
      <c r="E19" s="2"/>
      <c r="F19" s="19"/>
      <c r="G19" s="2"/>
      <c r="H19" s="2">
        <f>--30.84</f>
        <v>30.84</v>
      </c>
      <c r="I19" s="2"/>
      <c r="J19" s="19"/>
      <c r="K19" s="2"/>
      <c r="L19" s="2">
        <f t="shared" si="0"/>
        <v>-30.84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--248.72</f>
        <v>248.72</v>
      </c>
      <c r="U19" s="2"/>
      <c r="V19" s="19"/>
      <c r="W19" s="2"/>
      <c r="X19" s="2">
        <f t="shared" si="2"/>
        <v>-248.72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 t="shared" si="4"/>
        <v>0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--511.5</f>
        <v>511.5</v>
      </c>
      <c r="Q20" s="2"/>
      <c r="R20" s="19"/>
      <c r="S20" s="2"/>
      <c r="T20" s="2">
        <f>--152.75</f>
        <v>152.75</v>
      </c>
      <c r="U20" s="2"/>
      <c r="V20" s="19"/>
      <c r="W20" s="2"/>
      <c r="X20" s="2">
        <f t="shared" si="2"/>
        <v>358.75</v>
      </c>
      <c r="Y20" s="2"/>
      <c r="Z20" s="19">
        <f t="shared" si="3"/>
        <v>2.3486088379705401</v>
      </c>
    </row>
    <row r="21" spans="1:26" s="24" customFormat="1" hidden="1" outlineLevel="1" x14ac:dyDescent="0.2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>--859.61</f>
        <v>859.61</v>
      </c>
      <c r="E21" s="2"/>
      <c r="F21" s="19"/>
      <c r="G21" s="2"/>
      <c r="H21" s="2">
        <f>--1168.7</f>
        <v>1168.7</v>
      </c>
      <c r="I21" s="2"/>
      <c r="J21" s="19"/>
      <c r="K21" s="2"/>
      <c r="L21" s="2">
        <f t="shared" si="0"/>
        <v>-309.09000000000003</v>
      </c>
      <c r="M21" s="2"/>
      <c r="N21" s="19">
        <f t="shared" si="1"/>
        <v>-0.26447334645332421</v>
      </c>
      <c r="O21" s="11"/>
      <c r="P21" s="2">
        <f>--1110.59</f>
        <v>1110.5899999999999</v>
      </c>
      <c r="Q21" s="2"/>
      <c r="R21" s="19"/>
      <c r="S21" s="2"/>
      <c r="T21" s="2">
        <f>--5517</f>
        <v>5517</v>
      </c>
      <c r="U21" s="2"/>
      <c r="V21" s="19"/>
      <c r="W21" s="2"/>
      <c r="X21" s="2">
        <f t="shared" si="2"/>
        <v>-4406.41</v>
      </c>
      <c r="Y21" s="2"/>
      <c r="Z21" s="19">
        <f t="shared" si="3"/>
        <v>-0.79869675548305241</v>
      </c>
    </row>
    <row r="22" spans="1:26" s="24" customFormat="1" hidden="1" outlineLevel="1" x14ac:dyDescent="0.25">
      <c r="A22" s="44"/>
      <c r="B22" s="11" t="str">
        <f>CONCATENATE("          ", "4146", " - ", "NON-TAXABLE SALES-COIN OP MACH")</f>
        <v xml:space="preserve">          4146 - NON-TAXABLE SALES-COIN OP MACH</v>
      </c>
      <c r="C22" s="11"/>
      <c r="D22" s="2">
        <f>--21.5</f>
        <v>21.5</v>
      </c>
      <c r="E22" s="2"/>
      <c r="F22" s="19"/>
      <c r="G22" s="2"/>
      <c r="H22" s="2">
        <f>--28930.75</f>
        <v>28930.75</v>
      </c>
      <c r="I22" s="2"/>
      <c r="J22" s="19"/>
      <c r="K22" s="2"/>
      <c r="L22" s="2">
        <f t="shared" si="0"/>
        <v>-28909.25</v>
      </c>
      <c r="M22" s="2"/>
      <c r="N22" s="19">
        <f t="shared" si="1"/>
        <v>-0.9992568460893686</v>
      </c>
      <c r="O22" s="11"/>
      <c r="P22" s="2">
        <f>--108</f>
        <v>108</v>
      </c>
      <c r="Q22" s="2"/>
      <c r="R22" s="19"/>
      <c r="S22" s="2"/>
      <c r="T22" s="2">
        <f>--119341.05</f>
        <v>119341.05</v>
      </c>
      <c r="U22" s="2"/>
      <c r="V22" s="19"/>
      <c r="W22" s="2"/>
      <c r="X22" s="2">
        <f t="shared" si="2"/>
        <v>-119233.05</v>
      </c>
      <c r="Y22" s="2"/>
      <c r="Z22" s="19">
        <f t="shared" si="3"/>
        <v>-0.99909503058670923</v>
      </c>
    </row>
    <row r="23" spans="1:26" s="24" customFormat="1" hidden="1" outlineLevel="1" x14ac:dyDescent="0.25">
      <c r="A23" s="44"/>
      <c r="B23" s="11" t="str">
        <f>CONCATENATE("          ", "4147", " - ", "NON-TAXABLE SALES-MISC")</f>
        <v xml:space="preserve">          4147 - NON-TAXABLE SALES-MISC</v>
      </c>
      <c r="C23" s="11"/>
      <c r="D23" s="2">
        <f>--5</f>
        <v>5</v>
      </c>
      <c r="E23" s="2"/>
      <c r="F23" s="19"/>
      <c r="G23" s="2"/>
      <c r="H23" s="2">
        <f>--75</f>
        <v>75</v>
      </c>
      <c r="I23" s="2"/>
      <c r="J23" s="19"/>
      <c r="K23" s="2"/>
      <c r="L23" s="2">
        <f t="shared" si="0"/>
        <v>-70</v>
      </c>
      <c r="M23" s="2"/>
      <c r="N23" s="19">
        <f t="shared" si="1"/>
        <v>-0.93333333333333335</v>
      </c>
      <c r="O23" s="11"/>
      <c r="P23" s="2">
        <f>--91.5</f>
        <v>91.5</v>
      </c>
      <c r="Q23" s="2"/>
      <c r="R23" s="19"/>
      <c r="S23" s="2"/>
      <c r="T23" s="2">
        <f>--249.9</f>
        <v>249.9</v>
      </c>
      <c r="U23" s="2"/>
      <c r="V23" s="19"/>
      <c r="W23" s="2"/>
      <c r="X23" s="2">
        <f t="shared" si="2"/>
        <v>-158.4</v>
      </c>
      <c r="Y23" s="2"/>
      <c r="Z23" s="19">
        <f t="shared" si="3"/>
        <v>-0.63385354141656669</v>
      </c>
    </row>
    <row r="24" spans="1:26" s="24" customFormat="1" hidden="1" outlineLevel="1" x14ac:dyDescent="0.25">
      <c r="A24" s="44"/>
      <c r="B24" s="11" t="str">
        <f>CONCATENATE("          ", "4241", " - ", "SALES RETURN TAXABLE-LOGO GIFT")</f>
        <v xml:space="preserve">          4241 - SALES RETURN TAXABLE-LOGO GIFT</v>
      </c>
      <c r="C24" s="11"/>
      <c r="D24" s="2">
        <f>-13.5</f>
        <v>-13.5</v>
      </c>
      <c r="E24" s="2"/>
      <c r="F24" s="19"/>
      <c r="G24" s="2"/>
      <c r="H24" s="2">
        <f t="shared" ref="H24:H25" si="6">0</f>
        <v>0</v>
      </c>
      <c r="I24" s="2"/>
      <c r="J24" s="19"/>
      <c r="K24" s="2"/>
      <c r="L24" s="2">
        <f t="shared" si="0"/>
        <v>-13.5</v>
      </c>
      <c r="M24" s="2"/>
      <c r="N24" s="19">
        <f t="shared" si="1"/>
        <v>0</v>
      </c>
      <c r="O24" s="11"/>
      <c r="P24" s="2">
        <f>-830.2</f>
        <v>-830.2</v>
      </c>
      <c r="Q24" s="2"/>
      <c r="R24" s="19"/>
      <c r="S24" s="2"/>
      <c r="T24" s="2">
        <f>-634.75</f>
        <v>-634.75</v>
      </c>
      <c r="U24" s="2"/>
      <c r="V24" s="19"/>
      <c r="W24" s="2"/>
      <c r="X24" s="2">
        <f t="shared" si="2"/>
        <v>-195.45000000000005</v>
      </c>
      <c r="Y24" s="2"/>
      <c r="Z24" s="19">
        <f t="shared" si="3"/>
        <v>0.30791650256006309</v>
      </c>
    </row>
    <row r="25" spans="1:26" s="24" customFormat="1" hidden="1" outlineLevel="1" x14ac:dyDescent="0.25">
      <c r="A25" s="44"/>
      <c r="B25" s="11" t="str">
        <f>CONCATENATE("          ", "4242", " - ", "SALES RETURN TAXABLE-EVERYDAY")</f>
        <v xml:space="preserve">          4242 - SALES RETURN TAXABLE-EVERYDAY</v>
      </c>
      <c r="C25" s="11"/>
      <c r="D25" s="2">
        <f t="shared" ref="D25:D27" si="7">0</f>
        <v>0</v>
      </c>
      <c r="E25" s="2"/>
      <c r="F25" s="19"/>
      <c r="G25" s="2"/>
      <c r="H25" s="2">
        <f t="shared" si="6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ref="P25:P27" si="8">0</f>
        <v>0</v>
      </c>
      <c r="Q25" s="2"/>
      <c r="R25" s="19"/>
      <c r="S25" s="2"/>
      <c r="T25" s="2">
        <f>-16.2</f>
        <v>-16.2</v>
      </c>
      <c r="U25" s="2"/>
      <c r="V25" s="19"/>
      <c r="W25" s="2"/>
      <c r="X25" s="2">
        <f t="shared" si="2"/>
        <v>16.2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"4292", " - ", "SALES RETURN TAXABLE-GRAD MERC")</f>
        <v xml:space="preserve">          4292 - SALES RETURN TAXABLE-GRAD MERC</v>
      </c>
      <c r="C26" s="11"/>
      <c r="D26" s="2">
        <f t="shared" si="7"/>
        <v>0</v>
      </c>
      <c r="E26" s="2"/>
      <c r="F26" s="19"/>
      <c r="G26" s="2"/>
      <c r="H26" s="2">
        <f>-9.95</f>
        <v>-9.9499999999999993</v>
      </c>
      <c r="I26" s="2"/>
      <c r="J26" s="19"/>
      <c r="K26" s="2"/>
      <c r="L26" s="2">
        <f t="shared" si="0"/>
        <v>9.9499999999999993</v>
      </c>
      <c r="M26" s="2"/>
      <c r="N26" s="19">
        <f t="shared" si="1"/>
        <v>-1</v>
      </c>
      <c r="O26" s="11"/>
      <c r="P26" s="2">
        <f t="shared" si="8"/>
        <v>0</v>
      </c>
      <c r="Q26" s="2"/>
      <c r="R26" s="19"/>
      <c r="S26" s="2"/>
      <c r="T26" s="2">
        <f>-419.05</f>
        <v>-419.05</v>
      </c>
      <c r="U26" s="2"/>
      <c r="V26" s="19"/>
      <c r="W26" s="2"/>
      <c r="X26" s="2">
        <f t="shared" si="2"/>
        <v>419.05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"4346", " - ", "SALES RETURN NON TAXABLE-COIN-")</f>
        <v xml:space="preserve">          4346 - SALES RETURN NON TAXABLE-COIN-</v>
      </c>
      <c r="C27" s="11"/>
      <c r="D27" s="2">
        <f t="shared" si="7"/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8"/>
        <v>0</v>
      </c>
      <c r="Q27" s="2"/>
      <c r="R27" s="19"/>
      <c r="S27" s="2"/>
      <c r="T27" s="2">
        <f>-8.15</f>
        <v>-8.15</v>
      </c>
      <c r="U27" s="2"/>
      <c r="V27" s="19"/>
      <c r="W27" s="2"/>
      <c r="X27" s="2">
        <f t="shared" si="2"/>
        <v>8.15</v>
      </c>
      <c r="Y27" s="2"/>
      <c r="Z27" s="19">
        <f t="shared" si="3"/>
        <v>-1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collapsed="1" x14ac:dyDescent="0.25">
      <c r="A29" s="10"/>
      <c r="B29" s="29" t="s">
        <v>8</v>
      </c>
      <c r="C29" s="10"/>
      <c r="D29" s="4">
        <f>SUM(OSRRefD16x_0)</f>
        <v>0</v>
      </c>
      <c r="E29" s="4"/>
      <c r="F29" s="12">
        <f t="shared" ref="F29:F34" si="9">IF(D$12=0,0,D29/D$12)</f>
        <v>0</v>
      </c>
      <c r="G29" s="4"/>
      <c r="H29" s="4">
        <f>SUM(OSRRefH16x_0)</f>
        <v>1226</v>
      </c>
      <c r="I29" s="4"/>
      <c r="J29" s="12">
        <f t="shared" ref="J29:J34" si="10">IF(H$12=0,0,H29/H$12)</f>
        <v>2.9855362215433463E-2</v>
      </c>
      <c r="K29" s="4"/>
      <c r="L29" s="4">
        <f t="shared" ref="L29:L34" si="11">+D29-H29</f>
        <v>-1226</v>
      </c>
      <c r="M29" s="4"/>
      <c r="N29" s="12">
        <f t="shared" ref="N29:N34" si="12">IF(H29=0,0,L29/H29)</f>
        <v>-1</v>
      </c>
      <c r="O29" s="10"/>
      <c r="P29" s="4">
        <f>SUM(OSRRefP16x_0)</f>
        <v>0</v>
      </c>
      <c r="Q29" s="4"/>
      <c r="R29" s="12">
        <f t="shared" ref="R29:R34" si="13">IF(P$12=0,0,P29/P$12)</f>
        <v>0</v>
      </c>
      <c r="S29" s="4"/>
      <c r="T29" s="4">
        <f>SUM(OSRRefT16x_0)</f>
        <v>3688.1200000000003</v>
      </c>
      <c r="U29" s="4"/>
      <c r="V29" s="12">
        <f t="shared" ref="V29:V34" si="14">IF(T$12=0,0,T29/T$12)</f>
        <v>1.3631614499840256E-2</v>
      </c>
      <c r="W29" s="4"/>
      <c r="X29" s="4">
        <f t="shared" ref="X29:X34" si="15">+P29-T29</f>
        <v>-3688.1200000000003</v>
      </c>
      <c r="Y29" s="4"/>
      <c r="Z29" s="12">
        <f t="shared" ref="Z29:Z34" si="16">IF(T29=0,0,X29/T29)</f>
        <v>-1</v>
      </c>
    </row>
    <row r="30" spans="1:26" s="24" customFormat="1" hidden="1" outlineLevel="1" x14ac:dyDescent="0.25">
      <c r="A30" s="44"/>
      <c r="B30" s="11" t="str">
        <f>CONCATENATE("          ", "5092", " - ", "PURCHASES @ COST-GRAD MERCH")</f>
        <v xml:space="preserve">          5092 - PURCHASES @ COST-GRAD MERCH</v>
      </c>
      <c r="C30" s="11"/>
      <c r="D30" s="2"/>
      <c r="E30" s="2"/>
      <c r="F30" s="19">
        <f t="shared" si="9"/>
        <v>0</v>
      </c>
      <c r="G30" s="2"/>
      <c r="H30" s="2">
        <v>628</v>
      </c>
      <c r="I30" s="2"/>
      <c r="J30" s="19">
        <f t="shared" si="10"/>
        <v>1.5292958785719587E-2</v>
      </c>
      <c r="K30" s="2"/>
      <c r="L30" s="2">
        <f t="shared" si="11"/>
        <v>-628</v>
      </c>
      <c r="M30" s="2"/>
      <c r="N30" s="19">
        <f t="shared" si="12"/>
        <v>-1</v>
      </c>
      <c r="O30" s="11"/>
      <c r="P30" s="2"/>
      <c r="Q30" s="2"/>
      <c r="R30" s="19">
        <f t="shared" si="13"/>
        <v>0</v>
      </c>
      <c r="S30" s="2"/>
      <c r="T30" s="2">
        <v>1984.49</v>
      </c>
      <c r="U30" s="2"/>
      <c r="V30" s="19">
        <f t="shared" si="14"/>
        <v>7.3348488278006108E-3</v>
      </c>
      <c r="W30" s="2"/>
      <c r="X30" s="2">
        <f t="shared" si="15"/>
        <v>-1984.49</v>
      </c>
      <c r="Y30" s="2"/>
      <c r="Z30" s="19">
        <f t="shared" si="16"/>
        <v>-1</v>
      </c>
    </row>
    <row r="31" spans="1:26" s="24" customFormat="1" hidden="1" outlineLevel="1" x14ac:dyDescent="0.25">
      <c r="A31" s="44"/>
      <c r="B31" s="11" t="str">
        <f>CONCATENATE("          ", "5095", " - ", "PURCHASES @ COST-CUSTOMER SERV")</f>
        <v xml:space="preserve">          5095 - PURCHASES @ COST-CUSTOMER SERV</v>
      </c>
      <c r="C31" s="11"/>
      <c r="D31" s="2"/>
      <c r="E31" s="2"/>
      <c r="F31" s="19">
        <f t="shared" si="9"/>
        <v>0</v>
      </c>
      <c r="G31" s="2"/>
      <c r="H31" s="2"/>
      <c r="I31" s="2"/>
      <c r="J31" s="19">
        <f t="shared" si="10"/>
        <v>0</v>
      </c>
      <c r="K31" s="2"/>
      <c r="L31" s="2">
        <f t="shared" si="11"/>
        <v>0</v>
      </c>
      <c r="M31" s="2"/>
      <c r="N31" s="19">
        <f t="shared" si="12"/>
        <v>0</v>
      </c>
      <c r="O31" s="11"/>
      <c r="P31" s="2"/>
      <c r="Q31" s="2"/>
      <c r="R31" s="19">
        <f t="shared" si="13"/>
        <v>0</v>
      </c>
      <c r="S31" s="2"/>
      <c r="T31" s="2">
        <v>11.85</v>
      </c>
      <c r="U31" s="2"/>
      <c r="V31" s="19">
        <f t="shared" si="14"/>
        <v>4.3798637740395388E-5</v>
      </c>
      <c r="W31" s="2"/>
      <c r="X31" s="2">
        <f t="shared" si="15"/>
        <v>-11.85</v>
      </c>
      <c r="Y31" s="2"/>
      <c r="Z31" s="19">
        <f t="shared" si="16"/>
        <v>-1</v>
      </c>
    </row>
    <row r="32" spans="1:26" s="24" customFormat="1" hidden="1" outlineLevel="1" x14ac:dyDescent="0.25">
      <c r="A32" s="44"/>
      <c r="B32" s="11" t="str">
        <f>CONCATENATE("          ", "5200", " - ", "PURCHASES OFFSET")</f>
        <v xml:space="preserve">          5200 - PURCHASES OFFSET</v>
      </c>
      <c r="C32" s="11"/>
      <c r="D32" s="2"/>
      <c r="E32" s="2"/>
      <c r="F32" s="19">
        <f t="shared" si="9"/>
        <v>0</v>
      </c>
      <c r="G32" s="2"/>
      <c r="H32" s="2">
        <v>-663</v>
      </c>
      <c r="I32" s="2"/>
      <c r="J32" s="19">
        <f t="shared" si="10"/>
        <v>-1.6145273367726254E-2</v>
      </c>
      <c r="K32" s="2"/>
      <c r="L32" s="2">
        <f t="shared" si="11"/>
        <v>663</v>
      </c>
      <c r="M32" s="2"/>
      <c r="N32" s="19">
        <f t="shared" si="12"/>
        <v>-1</v>
      </c>
      <c r="O32" s="11"/>
      <c r="P32" s="2"/>
      <c r="Q32" s="2"/>
      <c r="R32" s="19">
        <f t="shared" si="13"/>
        <v>0</v>
      </c>
      <c r="S32" s="2"/>
      <c r="T32" s="2">
        <v>-2103</v>
      </c>
      <c r="U32" s="2"/>
      <c r="V32" s="19">
        <f t="shared" si="14"/>
        <v>-7.7728721660802955E-3</v>
      </c>
      <c r="W32" s="2"/>
      <c r="X32" s="2">
        <f t="shared" si="15"/>
        <v>2103</v>
      </c>
      <c r="Y32" s="2"/>
      <c r="Z32" s="19">
        <f t="shared" si="16"/>
        <v>-1</v>
      </c>
    </row>
    <row r="33" spans="1:26" s="24" customFormat="1" hidden="1" outlineLevel="1" x14ac:dyDescent="0.25">
      <c r="A33" s="44"/>
      <c r="B33" s="11" t="str">
        <f>CONCATENATE("          ", "5300", " - ", "COG$ OFFSET")</f>
        <v xml:space="preserve">          5300 - COG$ OFFSET</v>
      </c>
      <c r="C33" s="11"/>
      <c r="D33" s="2"/>
      <c r="E33" s="2"/>
      <c r="F33" s="19">
        <f t="shared" si="9"/>
        <v>0</v>
      </c>
      <c r="G33" s="2"/>
      <c r="H33" s="2">
        <v>1226</v>
      </c>
      <c r="I33" s="2"/>
      <c r="J33" s="19">
        <f t="shared" si="10"/>
        <v>2.9855362215433463E-2</v>
      </c>
      <c r="K33" s="2"/>
      <c r="L33" s="2">
        <f t="shared" si="11"/>
        <v>-1226</v>
      </c>
      <c r="M33" s="2"/>
      <c r="N33" s="19">
        <f t="shared" si="12"/>
        <v>-1</v>
      </c>
      <c r="O33" s="11"/>
      <c r="P33" s="2"/>
      <c r="Q33" s="2"/>
      <c r="R33" s="19">
        <f t="shared" si="13"/>
        <v>0</v>
      </c>
      <c r="S33" s="2"/>
      <c r="T33" s="2">
        <v>3689</v>
      </c>
      <c r="U33" s="2"/>
      <c r="V33" s="19">
        <f t="shared" si="14"/>
        <v>1.3634867056904521E-2</v>
      </c>
      <c r="W33" s="2"/>
      <c r="X33" s="2">
        <f t="shared" si="15"/>
        <v>-3689</v>
      </c>
      <c r="Y33" s="2"/>
      <c r="Z33" s="19">
        <f t="shared" si="16"/>
        <v>-1</v>
      </c>
    </row>
    <row r="34" spans="1:26" s="24" customFormat="1" hidden="1" outlineLevel="1" x14ac:dyDescent="0.25">
      <c r="A34" s="44"/>
      <c r="B34" s="11" t="str">
        <f>CONCATENATE("          ", "5592", " - ", "FREIGHT-IN-GRAD MERCH")</f>
        <v xml:space="preserve">          5592 - FREIGHT-IN-GRAD MERCH</v>
      </c>
      <c r="C34" s="11"/>
      <c r="D34" s="2"/>
      <c r="E34" s="2"/>
      <c r="F34" s="19">
        <f t="shared" si="9"/>
        <v>0</v>
      </c>
      <c r="G34" s="2"/>
      <c r="H34" s="2">
        <v>35</v>
      </c>
      <c r="I34" s="2"/>
      <c r="J34" s="19">
        <f t="shared" si="10"/>
        <v>8.5231458200666493E-4</v>
      </c>
      <c r="K34" s="2"/>
      <c r="L34" s="2">
        <f t="shared" si="11"/>
        <v>-35</v>
      </c>
      <c r="M34" s="2"/>
      <c r="N34" s="19">
        <f t="shared" si="12"/>
        <v>-1</v>
      </c>
      <c r="O34" s="11"/>
      <c r="P34" s="2"/>
      <c r="Q34" s="2"/>
      <c r="R34" s="19">
        <f t="shared" si="13"/>
        <v>0</v>
      </c>
      <c r="S34" s="2"/>
      <c r="T34" s="2">
        <v>105.78</v>
      </c>
      <c r="U34" s="2"/>
      <c r="V34" s="19">
        <f t="shared" si="14"/>
        <v>3.909721434750231E-4</v>
      </c>
      <c r="W34" s="2"/>
      <c r="X34" s="2">
        <f t="shared" si="15"/>
        <v>-105.78</v>
      </c>
      <c r="Y34" s="2"/>
      <c r="Z34" s="19">
        <f t="shared" si="16"/>
        <v>-1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25">
      <c r="A36" s="10"/>
      <c r="B36" s="28" t="s">
        <v>6</v>
      </c>
      <c r="C36" s="28"/>
      <c r="D36" s="20">
        <f>D12-D29</f>
        <v>1597.9</v>
      </c>
      <c r="E36" s="14"/>
      <c r="F36" s="22">
        <f>IF(D$12=0,0,D36/D$12)</f>
        <v>1</v>
      </c>
      <c r="G36" s="14"/>
      <c r="H36" s="20">
        <f>H12-H29</f>
        <v>39838.650000000009</v>
      </c>
      <c r="I36" s="14"/>
      <c r="J36" s="22">
        <f>IF(H$12=0,0,H36/H$12)</f>
        <v>0.9701446377845665</v>
      </c>
      <c r="K36" s="15"/>
      <c r="L36" s="20">
        <f>+D36-H36</f>
        <v>-38240.750000000007</v>
      </c>
      <c r="M36" s="15"/>
      <c r="N36" s="22">
        <f>IF(H36=0,0,L36/H36)</f>
        <v>-0.95989070914802577</v>
      </c>
      <c r="O36" s="29"/>
      <c r="P36" s="20">
        <f>P12-P29</f>
        <v>73572.91</v>
      </c>
      <c r="Q36" s="14"/>
      <c r="R36" s="22">
        <f>IF(P$12=0,0,P36/P$12)</f>
        <v>1</v>
      </c>
      <c r="S36" s="14"/>
      <c r="T36" s="20">
        <f>T12-T29</f>
        <v>266868.24</v>
      </c>
      <c r="U36" s="14"/>
      <c r="V36" s="22">
        <f>IF(T$12=0,0,T36/T$12)</f>
        <v>0.98636838550015982</v>
      </c>
      <c r="W36" s="15"/>
      <c r="X36" s="20">
        <f>+P36-T36</f>
        <v>-193295.33</v>
      </c>
      <c r="Y36" s="15"/>
      <c r="Z36" s="22">
        <f>IF(T36=0,0,X36/T36)</f>
        <v>-0.72430998158491988</v>
      </c>
    </row>
    <row r="37" spans="1:26" x14ac:dyDescent="0.25">
      <c r="A37" s="9"/>
      <c r="B37" s="10"/>
      <c r="C37" s="9"/>
      <c r="D37" s="1"/>
      <c r="E37" s="1"/>
      <c r="F37" s="5"/>
      <c r="G37" s="1"/>
      <c r="H37" s="1"/>
      <c r="I37" s="1"/>
      <c r="J37" s="5"/>
      <c r="K37" s="1"/>
      <c r="L37" s="1"/>
      <c r="M37" s="1"/>
      <c r="N37" s="5"/>
      <c r="O37" s="37"/>
      <c r="P37" s="1"/>
      <c r="Q37" s="1"/>
      <c r="R37" s="5"/>
      <c r="S37" s="1"/>
      <c r="T37" s="1"/>
      <c r="U37" s="1"/>
      <c r="V37" s="5"/>
      <c r="W37" s="1"/>
      <c r="X37" s="1"/>
      <c r="Y37" s="1"/>
      <c r="Z37" s="5"/>
    </row>
    <row r="38" spans="1:26" s="23" customFormat="1" x14ac:dyDescent="0.25">
      <c r="A38" s="10"/>
      <c r="B38" s="29" t="s">
        <v>9</v>
      </c>
      <c r="C38" s="10"/>
      <c r="D38" s="21">
        <f>SUM(OSRRefD22x_0)</f>
        <v>39180.050000000003</v>
      </c>
      <c r="E38" s="21"/>
      <c r="F38" s="35">
        <f t="shared" ref="F38:F47" si="17">IF(D$12=0,0,D38/D$12)</f>
        <v>24.519713373803118</v>
      </c>
      <c r="G38" s="21"/>
      <c r="H38" s="21">
        <f>SUM(OSRRefH22x_0)</f>
        <v>50305.890000000007</v>
      </c>
      <c r="I38" s="21"/>
      <c r="J38" s="35">
        <f t="shared" ref="J38:J47" si="18">IF(H$12=0,0,H38/H$12)</f>
        <v>1.2250412459378077</v>
      </c>
      <c r="K38" s="4"/>
      <c r="L38" s="21">
        <f t="shared" ref="L38:L47" si="19">+D38-H38</f>
        <v>-11125.840000000004</v>
      </c>
      <c r="M38" s="4"/>
      <c r="N38" s="35">
        <f t="shared" ref="N38:N47" si="20">IF(H38=0,0,L38/H38)</f>
        <v>-0.22116376432262708</v>
      </c>
      <c r="O38" s="10"/>
      <c r="P38" s="21">
        <f>SUM(OSRRefP22x_0)</f>
        <v>160185.7399999999</v>
      </c>
      <c r="Q38" s="21"/>
      <c r="R38" s="35">
        <f t="shared" ref="R38:R47" si="21">IF(P$12=0,0,P38/P$12)</f>
        <v>2.1772380622161052</v>
      </c>
      <c r="S38" s="21"/>
      <c r="T38" s="21">
        <f>SUM(OSRRefT22x_0)</f>
        <v>227017.93</v>
      </c>
      <c r="U38" s="21"/>
      <c r="V38" s="35">
        <f t="shared" ref="V38:V47" si="22">IF(T$12=0,0,T38/T$12)</f>
        <v>0.83907814992780061</v>
      </c>
      <c r="W38" s="4"/>
      <c r="X38" s="21">
        <f t="shared" ref="X38:X47" si="23">+P38-T38</f>
        <v>-66832.19000000009</v>
      </c>
      <c r="Y38" s="4"/>
      <c r="Z38" s="35">
        <f t="shared" ref="Z38:Z47" si="24">IF(T38=0,0,X38/T38)</f>
        <v>-0.29439168086855561</v>
      </c>
    </row>
    <row r="39" spans="1:26" s="26" customFormat="1" outlineLevel="1" collapsed="1" x14ac:dyDescent="0.25">
      <c r="A39" s="27"/>
      <c r="B39" s="13" t="str">
        <f>CONCATENATE("     ","*Benefits                                         ")</f>
        <v xml:space="preserve">     *Benefits                                         </v>
      </c>
      <c r="C39" s="13"/>
      <c r="D39" s="1">
        <f>SUM(OSRRefD22_0x_0)</f>
        <v>9539.5300000000007</v>
      </c>
      <c r="E39" s="1"/>
      <c r="F39" s="5">
        <f t="shared" si="17"/>
        <v>5.9700419300331689</v>
      </c>
      <c r="G39" s="1"/>
      <c r="H39" s="1">
        <f>SUM(OSRRefH22_0x_0)</f>
        <v>7441.55</v>
      </c>
      <c r="I39" s="1"/>
      <c r="J39" s="5">
        <f t="shared" si="18"/>
        <v>0.18121547364947707</v>
      </c>
      <c r="K39" s="1"/>
      <c r="L39" s="1">
        <f t="shared" si="19"/>
        <v>2097.9800000000005</v>
      </c>
      <c r="M39" s="1"/>
      <c r="N39" s="5">
        <f t="shared" si="20"/>
        <v>0.28192782417641493</v>
      </c>
      <c r="O39" s="13"/>
      <c r="P39" s="1">
        <f>SUM(OSRRefP22_0x_0)</f>
        <v>45812.57</v>
      </c>
      <c r="Q39" s="1"/>
      <c r="R39" s="5">
        <f t="shared" si="21"/>
        <v>0.62268258792536546</v>
      </c>
      <c r="S39" s="1"/>
      <c r="T39" s="1">
        <f>SUM(OSRRefT22_0x_0)</f>
        <v>40563.9</v>
      </c>
      <c r="U39" s="1"/>
      <c r="V39" s="5">
        <f t="shared" si="22"/>
        <v>0.149927726703597</v>
      </c>
      <c r="W39" s="1"/>
      <c r="X39" s="1">
        <f t="shared" si="23"/>
        <v>5248.6699999999983</v>
      </c>
      <c r="Y39" s="1"/>
      <c r="Z39" s="5">
        <f t="shared" si="24"/>
        <v>0.12939263729572348</v>
      </c>
    </row>
    <row r="40" spans="1:26" s="24" customFormat="1" hidden="1" outlineLevel="2" x14ac:dyDescent="0.25">
      <c r="A40" s="25"/>
      <c r="B40" s="11" t="str">
        <f>CONCATENATE("          ", "6111", " - ", "F.I.C.A.")</f>
        <v xml:space="preserve">          6111 - F.I.C.A.</v>
      </c>
      <c r="C40" s="11"/>
      <c r="D40" s="6">
        <v>1062.21</v>
      </c>
      <c r="E40" s="2"/>
      <c r="F40" s="7">
        <f t="shared" si="17"/>
        <v>0.66475373928280868</v>
      </c>
      <c r="G40" s="2"/>
      <c r="H40" s="6">
        <v>1059.4000000000001</v>
      </c>
      <c r="I40" s="2"/>
      <c r="J40" s="7">
        <f t="shared" si="18"/>
        <v>2.5798344805081738E-2</v>
      </c>
      <c r="K40" s="2"/>
      <c r="L40" s="6">
        <f t="shared" si="19"/>
        <v>2.8099999999999454</v>
      </c>
      <c r="M40" s="2"/>
      <c r="N40" s="7">
        <f t="shared" si="20"/>
        <v>2.6524447800641356E-3</v>
      </c>
      <c r="O40" s="11"/>
      <c r="P40" s="6">
        <v>6620.47</v>
      </c>
      <c r="Q40" s="2"/>
      <c r="R40" s="7">
        <f t="shared" si="21"/>
        <v>8.9985158939615131E-2</v>
      </c>
      <c r="S40" s="2"/>
      <c r="T40" s="6">
        <v>6962.43</v>
      </c>
      <c r="U40" s="2"/>
      <c r="V40" s="7">
        <f t="shared" si="22"/>
        <v>2.5733751001085322E-2</v>
      </c>
      <c r="W40" s="2"/>
      <c r="X40" s="6">
        <f t="shared" si="23"/>
        <v>-341.96000000000004</v>
      </c>
      <c r="Y40" s="2"/>
      <c r="Z40" s="7">
        <f t="shared" si="24"/>
        <v>-4.9115035985999145E-2</v>
      </c>
    </row>
    <row r="41" spans="1:26" s="24" customFormat="1" hidden="1" outlineLevel="2" x14ac:dyDescent="0.25">
      <c r="A41" s="25"/>
      <c r="B41" s="11" t="str">
        <f>CONCATENATE("          ", "6112", " - ", "COMPENSATION INSURANCE")</f>
        <v xml:space="preserve">          6112 - COMPENSATION INSURANCE</v>
      </c>
      <c r="C41" s="11"/>
      <c r="D41" s="6">
        <v>556.65</v>
      </c>
      <c r="E41" s="2"/>
      <c r="F41" s="7">
        <f t="shared" si="17"/>
        <v>0.34836347706364601</v>
      </c>
      <c r="G41" s="2"/>
      <c r="H41" s="6">
        <v>235.76</v>
      </c>
      <c r="I41" s="2"/>
      <c r="J41" s="7">
        <f t="shared" si="18"/>
        <v>5.7411910243968948E-3</v>
      </c>
      <c r="K41" s="2"/>
      <c r="L41" s="6">
        <f t="shared" si="19"/>
        <v>320.89</v>
      </c>
      <c r="M41" s="2"/>
      <c r="N41" s="7">
        <f t="shared" si="20"/>
        <v>1.361087546657618</v>
      </c>
      <c r="O41" s="11"/>
      <c r="P41" s="6">
        <v>1787.3</v>
      </c>
      <c r="Q41" s="2"/>
      <c r="R41" s="7">
        <f t="shared" si="21"/>
        <v>2.429290889812568E-2</v>
      </c>
      <c r="S41" s="2"/>
      <c r="T41" s="6">
        <v>913.96</v>
      </c>
      <c r="U41" s="2"/>
      <c r="V41" s="7">
        <f t="shared" si="22"/>
        <v>3.3780761982457187E-3</v>
      </c>
      <c r="W41" s="2"/>
      <c r="X41" s="6">
        <f t="shared" si="23"/>
        <v>873.33999999999992</v>
      </c>
      <c r="Y41" s="2"/>
      <c r="Z41" s="7">
        <f t="shared" si="24"/>
        <v>0.95555604183990539</v>
      </c>
    </row>
    <row r="42" spans="1:26" s="24" customFormat="1" hidden="1" outlineLevel="2" x14ac:dyDescent="0.25">
      <c r="A42" s="25"/>
      <c r="B42" s="11" t="str">
        <f>CONCATENATE("          ", "6113", " - ", "GROUP INSURANCE")</f>
        <v xml:space="preserve">          6113 - GROUP INSURANCE</v>
      </c>
      <c r="C42" s="11"/>
      <c r="D42" s="6">
        <v>3423.78</v>
      </c>
      <c r="E42" s="2"/>
      <c r="F42" s="7">
        <f t="shared" si="17"/>
        <v>2.1426747606233181</v>
      </c>
      <c r="G42" s="2"/>
      <c r="H42" s="6">
        <v>3051.28</v>
      </c>
      <c r="I42" s="2"/>
      <c r="J42" s="7">
        <f t="shared" si="18"/>
        <v>7.4304298222437046E-2</v>
      </c>
      <c r="K42" s="2"/>
      <c r="L42" s="6">
        <f t="shared" si="19"/>
        <v>372.5</v>
      </c>
      <c r="M42" s="2"/>
      <c r="N42" s="7">
        <f t="shared" si="20"/>
        <v>0.12207991400330352</v>
      </c>
      <c r="O42" s="11"/>
      <c r="P42" s="6">
        <v>16317.550000000001</v>
      </c>
      <c r="Q42" s="2"/>
      <c r="R42" s="7">
        <f t="shared" si="21"/>
        <v>0.22178747585218528</v>
      </c>
      <c r="S42" s="2"/>
      <c r="T42" s="6">
        <v>14637.42</v>
      </c>
      <c r="U42" s="2"/>
      <c r="V42" s="7">
        <f t="shared" si="22"/>
        <v>5.410118616320829E-2</v>
      </c>
      <c r="W42" s="2"/>
      <c r="X42" s="6">
        <f t="shared" si="23"/>
        <v>1680.130000000001</v>
      </c>
      <c r="Y42" s="2"/>
      <c r="Z42" s="7">
        <f t="shared" si="24"/>
        <v>0.11478320633007737</v>
      </c>
    </row>
    <row r="43" spans="1:26" s="24" customFormat="1" hidden="1" outlineLevel="2" x14ac:dyDescent="0.25">
      <c r="A43" s="25"/>
      <c r="B43" s="11" t="str">
        <f>CONCATENATE("          ", "6114", " - ", "STATE UNEMPLOYMENT INSURANCE")</f>
        <v xml:space="preserve">          6114 - STATE UNEMPLOYMENT INSURANCE</v>
      </c>
      <c r="C43" s="11"/>
      <c r="D43" s="6">
        <v>78.23</v>
      </c>
      <c r="E43" s="2"/>
      <c r="F43" s="7">
        <f t="shared" si="17"/>
        <v>4.8958007384692408E-2</v>
      </c>
      <c r="G43" s="2"/>
      <c r="H43" s="6">
        <v>45.79</v>
      </c>
      <c r="I43" s="2"/>
      <c r="J43" s="7">
        <f t="shared" si="18"/>
        <v>1.1150709917167195E-3</v>
      </c>
      <c r="K43" s="2"/>
      <c r="L43" s="6">
        <f t="shared" si="19"/>
        <v>32.440000000000005</v>
      </c>
      <c r="M43" s="2"/>
      <c r="N43" s="7">
        <f t="shared" si="20"/>
        <v>0.70845162699279329</v>
      </c>
      <c r="O43" s="11"/>
      <c r="P43" s="6">
        <v>251.18</v>
      </c>
      <c r="Q43" s="2"/>
      <c r="R43" s="7">
        <f t="shared" si="21"/>
        <v>3.4140283427690978E-3</v>
      </c>
      <c r="S43" s="2"/>
      <c r="T43" s="6">
        <v>253.12</v>
      </c>
      <c r="U43" s="2"/>
      <c r="V43" s="7">
        <f t="shared" si="22"/>
        <v>9.3555368648513761E-4</v>
      </c>
      <c r="W43" s="2"/>
      <c r="X43" s="6">
        <f t="shared" si="23"/>
        <v>-1.9399999999999977</v>
      </c>
      <c r="Y43" s="2"/>
      <c r="Z43" s="7">
        <f t="shared" si="24"/>
        <v>-7.664348925410863E-3</v>
      </c>
    </row>
    <row r="44" spans="1:26" s="24" customFormat="1" hidden="1" outlineLevel="2" x14ac:dyDescent="0.25">
      <c r="A44" s="25"/>
      <c r="B44" s="11" t="str">
        <f>CONCATENATE("          ", "6115", " - ", "P.E.R.S.")</f>
        <v xml:space="preserve">          6115 - P.E.R.S.</v>
      </c>
      <c r="C44" s="11"/>
      <c r="D44" s="6">
        <v>2180.81</v>
      </c>
      <c r="E44" s="2"/>
      <c r="F44" s="7">
        <f t="shared" si="17"/>
        <v>1.3647975467801488</v>
      </c>
      <c r="G44" s="2"/>
      <c r="H44" s="6">
        <v>1187.75</v>
      </c>
      <c r="I44" s="2"/>
      <c r="J44" s="7">
        <f t="shared" si="18"/>
        <v>2.892390413652618E-2</v>
      </c>
      <c r="K44" s="2"/>
      <c r="L44" s="6">
        <f t="shared" si="19"/>
        <v>993.06</v>
      </c>
      <c r="M44" s="2"/>
      <c r="N44" s="7">
        <f t="shared" si="20"/>
        <v>0.83608503472953055</v>
      </c>
      <c r="O44" s="11"/>
      <c r="P44" s="6">
        <v>8679.08</v>
      </c>
      <c r="Q44" s="2"/>
      <c r="R44" s="7">
        <f t="shared" si="21"/>
        <v>0.11796570232168334</v>
      </c>
      <c r="S44" s="2"/>
      <c r="T44" s="6">
        <v>6767.78</v>
      </c>
      <c r="U44" s="2"/>
      <c r="V44" s="7">
        <f t="shared" si="22"/>
        <v>2.5014307554995195E-2</v>
      </c>
      <c r="W44" s="2"/>
      <c r="X44" s="6">
        <f t="shared" si="23"/>
        <v>1911.3000000000002</v>
      </c>
      <c r="Y44" s="2"/>
      <c r="Z44" s="7">
        <f t="shared" si="24"/>
        <v>0.28241166231762854</v>
      </c>
    </row>
    <row r="45" spans="1:26" s="24" customFormat="1" hidden="1" outlineLevel="2" x14ac:dyDescent="0.25">
      <c r="A45" s="25"/>
      <c r="B45" s="11" t="str">
        <f>CONCATENATE("          ", "6118", " - ", "VACATION")</f>
        <v xml:space="preserve">          6118 - VACATION</v>
      </c>
      <c r="C45" s="11"/>
      <c r="D45" s="6">
        <v>1216.0999999999999</v>
      </c>
      <c r="E45" s="2"/>
      <c r="F45" s="7">
        <f t="shared" si="17"/>
        <v>0.76106139307841536</v>
      </c>
      <c r="G45" s="2"/>
      <c r="H45" s="6">
        <v>995.36</v>
      </c>
      <c r="I45" s="2"/>
      <c r="J45" s="7">
        <f t="shared" si="18"/>
        <v>2.4238852638461542E-2</v>
      </c>
      <c r="K45" s="2"/>
      <c r="L45" s="6">
        <f t="shared" si="19"/>
        <v>220.7399999999999</v>
      </c>
      <c r="M45" s="2"/>
      <c r="N45" s="7">
        <f t="shared" si="20"/>
        <v>0.2217690081980388</v>
      </c>
      <c r="O45" s="11"/>
      <c r="P45" s="6">
        <v>6451.33</v>
      </c>
      <c r="Q45" s="2"/>
      <c r="R45" s="7">
        <f t="shared" si="21"/>
        <v>8.7686214939710821E-2</v>
      </c>
      <c r="S45" s="2"/>
      <c r="T45" s="6">
        <v>6051.59</v>
      </c>
      <c r="U45" s="2"/>
      <c r="V45" s="7">
        <f t="shared" si="22"/>
        <v>2.2367206596067453E-2</v>
      </c>
      <c r="W45" s="2"/>
      <c r="X45" s="6">
        <f t="shared" si="23"/>
        <v>399.73999999999978</v>
      </c>
      <c r="Y45" s="2"/>
      <c r="Z45" s="7">
        <f t="shared" si="24"/>
        <v>6.6055367267114889E-2</v>
      </c>
    </row>
    <row r="46" spans="1:26" s="24" customFormat="1" hidden="1" outlineLevel="2" x14ac:dyDescent="0.25">
      <c r="A46" s="25"/>
      <c r="B46" s="11" t="str">
        <f>CONCATENATE("          ", "6119", " - ", "SICK LEAVE")</f>
        <v xml:space="preserve">          6119 - SICK LEAVE</v>
      </c>
      <c r="C46" s="11"/>
      <c r="D46" s="6">
        <v>738.5</v>
      </c>
      <c r="E46" s="2"/>
      <c r="F46" s="7">
        <f t="shared" si="17"/>
        <v>0.46216909693973335</v>
      </c>
      <c r="G46" s="2"/>
      <c r="H46" s="6">
        <v>556.54</v>
      </c>
      <c r="I46" s="2"/>
      <c r="J46" s="7">
        <f t="shared" si="18"/>
        <v>1.3552775927713978E-2</v>
      </c>
      <c r="K46" s="2"/>
      <c r="L46" s="6">
        <f t="shared" si="19"/>
        <v>181.96000000000004</v>
      </c>
      <c r="M46" s="2"/>
      <c r="N46" s="7">
        <f t="shared" si="20"/>
        <v>0.32694864699752046</v>
      </c>
      <c r="O46" s="11"/>
      <c r="P46" s="6">
        <v>3955.77</v>
      </c>
      <c r="Q46" s="2"/>
      <c r="R46" s="7">
        <f t="shared" si="21"/>
        <v>5.3766664931426525E-2</v>
      </c>
      <c r="S46" s="2"/>
      <c r="T46" s="6">
        <v>3628.32</v>
      </c>
      <c r="U46" s="2"/>
      <c r="V46" s="7">
        <f t="shared" si="22"/>
        <v>1.3410588462973114E-2</v>
      </c>
      <c r="W46" s="2"/>
      <c r="X46" s="6">
        <f t="shared" si="23"/>
        <v>327.44999999999982</v>
      </c>
      <c r="Y46" s="2"/>
      <c r="Z46" s="7">
        <f t="shared" si="24"/>
        <v>9.0248379415266519E-2</v>
      </c>
    </row>
    <row r="47" spans="1:26" s="24" customFormat="1" hidden="1" outlineLevel="2" x14ac:dyDescent="0.25">
      <c r="A47" s="25"/>
      <c r="B47" s="11" t="str">
        <f>CONCATENATE("          ", "6156", " - ", "EMPLOYEE MEALS")</f>
        <v xml:space="preserve">          6156 - EMPLOYEE MEALS</v>
      </c>
      <c r="C47" s="11"/>
      <c r="D47" s="6">
        <v>283.25</v>
      </c>
      <c r="E47" s="2"/>
      <c r="F47" s="7">
        <f t="shared" si="17"/>
        <v>0.17726390888040552</v>
      </c>
      <c r="G47" s="2"/>
      <c r="H47" s="6">
        <v>309.67</v>
      </c>
      <c r="I47" s="2"/>
      <c r="J47" s="7">
        <f t="shared" si="18"/>
        <v>7.5410359031429699E-3</v>
      </c>
      <c r="K47" s="2"/>
      <c r="L47" s="6">
        <f t="shared" si="19"/>
        <v>-26.420000000000016</v>
      </c>
      <c r="M47" s="2"/>
      <c r="N47" s="7">
        <f t="shared" si="20"/>
        <v>-8.5316627377530971E-2</v>
      </c>
      <c r="O47" s="11"/>
      <c r="P47" s="6">
        <v>1749.89</v>
      </c>
      <c r="Q47" s="2"/>
      <c r="R47" s="7">
        <f t="shared" si="21"/>
        <v>2.3784433699849578E-2</v>
      </c>
      <c r="S47" s="2"/>
      <c r="T47" s="6">
        <v>1349.28</v>
      </c>
      <c r="U47" s="2"/>
      <c r="V47" s="7">
        <f t="shared" si="22"/>
        <v>4.9870570405367671E-3</v>
      </c>
      <c r="W47" s="2"/>
      <c r="X47" s="6">
        <f t="shared" si="23"/>
        <v>400.61000000000013</v>
      </c>
      <c r="Y47" s="2"/>
      <c r="Z47" s="7">
        <f t="shared" si="24"/>
        <v>0.29690649828056453</v>
      </c>
    </row>
    <row r="48" spans="1:26" s="26" customFormat="1" outlineLevel="1" collapsed="1" x14ac:dyDescent="0.25">
      <c r="A48" s="27"/>
      <c r="B48" s="13" t="str">
        <f>CONCATENATE("     ","*Payroll                                          ")</f>
        <v xml:space="preserve">     *Payroll                                          </v>
      </c>
      <c r="C48" s="13"/>
      <c r="D48" s="1">
        <f>SUM(OSRRefD22_1x_0)</f>
        <v>12527.39</v>
      </c>
      <c r="E48" s="1"/>
      <c r="F48" s="5">
        <f t="shared" ref="F48:F52" si="25">IF(D$12=0,0,D48/D$12)</f>
        <v>7.8399086300769749</v>
      </c>
      <c r="G48" s="1"/>
      <c r="H48" s="1">
        <f>SUM(OSRRefH22_1x_0)</f>
        <v>14617.57</v>
      </c>
      <c r="I48" s="1"/>
      <c r="J48" s="5">
        <f t="shared" ref="J48:J52" si="26">IF(H$12=0,0,H48/H$12)</f>
        <v>0.35596480184294754</v>
      </c>
      <c r="K48" s="1"/>
      <c r="L48" s="1">
        <f t="shared" ref="L48:L52" si="27">+D48-H48</f>
        <v>-2090.1800000000003</v>
      </c>
      <c r="M48" s="1"/>
      <c r="N48" s="5">
        <f t="shared" ref="N48:N52" si="28">IF(H48=0,0,L48/H48)</f>
        <v>-0.14299093488178954</v>
      </c>
      <c r="O48" s="13"/>
      <c r="P48" s="1">
        <f>SUM(OSRRefP22_1x_0)</f>
        <v>72695.44</v>
      </c>
      <c r="Q48" s="1"/>
      <c r="R48" s="5">
        <f t="shared" ref="R48:R52" si="29">IF(P$12=0,0,P48/P$12)</f>
        <v>0.98807346345278446</v>
      </c>
      <c r="S48" s="1"/>
      <c r="T48" s="1">
        <f>SUM(OSRRefT22_1x_0)</f>
        <v>87785.209999999992</v>
      </c>
      <c r="U48" s="1"/>
      <c r="V48" s="5">
        <f t="shared" ref="V48:V52" si="30">IF(T$12=0,0,T48/T$12)</f>
        <v>0.32446182377675392</v>
      </c>
      <c r="W48" s="1"/>
      <c r="X48" s="1">
        <f t="shared" ref="X48:X52" si="31">+P48-T48</f>
        <v>-15089.76999999999</v>
      </c>
      <c r="Y48" s="1"/>
      <c r="Z48" s="5">
        <f t="shared" ref="Z48:Z52" si="32">IF(T48=0,0,X48/T48)</f>
        <v>-0.17189421771617328</v>
      </c>
    </row>
    <row r="49" spans="1:26" s="24" customFormat="1" hidden="1" outlineLevel="2" x14ac:dyDescent="0.25">
      <c r="A49" s="25"/>
      <c r="B49" s="11" t="str">
        <f>CONCATENATE("          ", "6002", " - ", "STAFF SALARIES")</f>
        <v xml:space="preserve">          6002 - STAFF SALARIES</v>
      </c>
      <c r="C49" s="11"/>
      <c r="D49" s="6">
        <v>12025.49</v>
      </c>
      <c r="E49" s="2"/>
      <c r="F49" s="7">
        <f t="shared" si="25"/>
        <v>7.5258088741473177</v>
      </c>
      <c r="G49" s="2"/>
      <c r="H49" s="6">
        <v>9872.81</v>
      </c>
      <c r="I49" s="2"/>
      <c r="J49" s="7">
        <f t="shared" si="26"/>
        <v>0.24042114081089203</v>
      </c>
      <c r="K49" s="2"/>
      <c r="L49" s="6">
        <f t="shared" si="27"/>
        <v>2152.6800000000003</v>
      </c>
      <c r="M49" s="2"/>
      <c r="N49" s="7">
        <f t="shared" si="28"/>
        <v>0.21804126687336234</v>
      </c>
      <c r="O49" s="11"/>
      <c r="P49" s="6">
        <v>68793.919999999998</v>
      </c>
      <c r="Q49" s="2"/>
      <c r="R49" s="7">
        <f t="shared" si="29"/>
        <v>0.9350441623146345</v>
      </c>
      <c r="S49" s="2"/>
      <c r="T49" s="6">
        <v>57718.559999999998</v>
      </c>
      <c r="U49" s="2"/>
      <c r="V49" s="7">
        <f t="shared" si="30"/>
        <v>0.21333285234913715</v>
      </c>
      <c r="W49" s="2"/>
      <c r="X49" s="6">
        <f t="shared" si="31"/>
        <v>11075.36</v>
      </c>
      <c r="Y49" s="2"/>
      <c r="Z49" s="7">
        <f t="shared" si="32"/>
        <v>0.19188559104731651</v>
      </c>
    </row>
    <row r="50" spans="1:26" s="24" customFormat="1" hidden="1" outlineLevel="2" x14ac:dyDescent="0.25">
      <c r="A50" s="25"/>
      <c r="B50" s="11" t="str">
        <f>CONCATENATE("          ", "6005", " - ", "TEMPORARY WAGES-HOURLY")</f>
        <v xml:space="preserve">          6005 - TEMPORARY WAGES-HOURLY</v>
      </c>
      <c r="C50" s="11"/>
      <c r="D50" s="6"/>
      <c r="E50" s="2"/>
      <c r="F50" s="7">
        <f t="shared" si="25"/>
        <v>0</v>
      </c>
      <c r="G50" s="2"/>
      <c r="H50" s="6">
        <v>1765.75</v>
      </c>
      <c r="I50" s="2"/>
      <c r="J50" s="7">
        <f t="shared" si="26"/>
        <v>4.2999270662236244E-2</v>
      </c>
      <c r="K50" s="2"/>
      <c r="L50" s="6">
        <f t="shared" si="27"/>
        <v>-1765.75</v>
      </c>
      <c r="M50" s="2"/>
      <c r="N50" s="7">
        <f t="shared" si="28"/>
        <v>-1</v>
      </c>
      <c r="O50" s="11"/>
      <c r="P50" s="6">
        <v>383.25</v>
      </c>
      <c r="Q50" s="2"/>
      <c r="R50" s="7">
        <f t="shared" si="29"/>
        <v>5.2091184105671502E-3</v>
      </c>
      <c r="S50" s="2"/>
      <c r="T50" s="6">
        <v>9961</v>
      </c>
      <c r="U50" s="2"/>
      <c r="V50" s="7">
        <f t="shared" si="30"/>
        <v>3.6816728314943328E-2</v>
      </c>
      <c r="W50" s="2"/>
      <c r="X50" s="6">
        <f t="shared" si="31"/>
        <v>-9577.75</v>
      </c>
      <c r="Y50" s="2"/>
      <c r="Z50" s="7">
        <f t="shared" si="32"/>
        <v>-0.96152494729444837</v>
      </c>
    </row>
    <row r="51" spans="1:26" s="24" customFormat="1" hidden="1" outlineLevel="2" x14ac:dyDescent="0.25">
      <c r="A51" s="25"/>
      <c r="B51" s="11" t="str">
        <f>CONCATENATE("          ", "6006", " - ", "TEMPORARY PART TIME")</f>
        <v xml:space="preserve">          6006 - TEMPORARY PART TIME</v>
      </c>
      <c r="C51" s="11"/>
      <c r="D51" s="6"/>
      <c r="E51" s="2"/>
      <c r="F51" s="7">
        <f t="shared" si="25"/>
        <v>0</v>
      </c>
      <c r="G51" s="2"/>
      <c r="H51" s="6"/>
      <c r="I51" s="2"/>
      <c r="J51" s="7">
        <f t="shared" si="26"/>
        <v>0</v>
      </c>
      <c r="K51" s="2"/>
      <c r="L51" s="6">
        <f t="shared" si="27"/>
        <v>0</v>
      </c>
      <c r="M51" s="2"/>
      <c r="N51" s="7">
        <f t="shared" si="28"/>
        <v>0</v>
      </c>
      <c r="O51" s="11"/>
      <c r="P51" s="6"/>
      <c r="Q51" s="2"/>
      <c r="R51" s="7">
        <f t="shared" si="29"/>
        <v>0</v>
      </c>
      <c r="S51" s="2"/>
      <c r="T51" s="6">
        <v>57.37</v>
      </c>
      <c r="U51" s="2"/>
      <c r="V51" s="7">
        <f t="shared" si="30"/>
        <v>2.1204454406468213E-4</v>
      </c>
      <c r="W51" s="2"/>
      <c r="X51" s="6">
        <f t="shared" si="31"/>
        <v>-57.37</v>
      </c>
      <c r="Y51" s="2"/>
      <c r="Z51" s="7">
        <f t="shared" si="32"/>
        <v>-1</v>
      </c>
    </row>
    <row r="52" spans="1:26" s="24" customFormat="1" hidden="1" outlineLevel="2" x14ac:dyDescent="0.25">
      <c r="A52" s="25"/>
      <c r="B52" s="11" t="str">
        <f>CONCATENATE("          ", "6007", " - ", "STUDENT HOURLY")</f>
        <v xml:space="preserve">          6007 - STUDENT HOURLY</v>
      </c>
      <c r="C52" s="11"/>
      <c r="D52" s="6">
        <v>501.9</v>
      </c>
      <c r="E52" s="2"/>
      <c r="F52" s="7">
        <f t="shared" si="25"/>
        <v>0.31409975592965766</v>
      </c>
      <c r="G52" s="2"/>
      <c r="H52" s="6">
        <v>2979.01</v>
      </c>
      <c r="I52" s="2"/>
      <c r="J52" s="7">
        <f t="shared" si="26"/>
        <v>7.2544390369819287E-2</v>
      </c>
      <c r="K52" s="2"/>
      <c r="L52" s="6">
        <f t="shared" si="27"/>
        <v>-2477.11</v>
      </c>
      <c r="M52" s="2"/>
      <c r="N52" s="7">
        <f t="shared" si="28"/>
        <v>-0.83152121006643143</v>
      </c>
      <c r="O52" s="11"/>
      <c r="P52" s="6">
        <v>3518.27</v>
      </c>
      <c r="Q52" s="2"/>
      <c r="R52" s="7">
        <f t="shared" si="29"/>
        <v>4.7820182727582747E-2</v>
      </c>
      <c r="S52" s="2"/>
      <c r="T52" s="6">
        <v>20048.28</v>
      </c>
      <c r="U52" s="2"/>
      <c r="V52" s="7">
        <f t="shared" si="30"/>
        <v>7.4100198568608777E-2</v>
      </c>
      <c r="W52" s="2"/>
      <c r="X52" s="6">
        <f t="shared" si="31"/>
        <v>-16530.009999999998</v>
      </c>
      <c r="Y52" s="2"/>
      <c r="Z52" s="7">
        <f t="shared" si="32"/>
        <v>-0.82451013254004835</v>
      </c>
    </row>
    <row r="53" spans="1:26" s="26" customFormat="1" outlineLevel="1" collapsed="1" x14ac:dyDescent="0.25">
      <c r="A53" s="27"/>
      <c r="B53" s="13" t="str">
        <f>CONCATENATE("     ","Advertising/Promo                                 ")</f>
        <v xml:space="preserve">     Advertising/Promo                                 </v>
      </c>
      <c r="C53" s="13"/>
      <c r="D53" s="1">
        <f>SUM(OSRRefD22_2x_0)</f>
        <v>0</v>
      </c>
      <c r="E53" s="1"/>
      <c r="F53" s="5">
        <f t="shared" ref="F53:F63" si="33">IF(D$12=0,0,D53/D$12)</f>
        <v>0</v>
      </c>
      <c r="G53" s="1"/>
      <c r="H53" s="1">
        <f>SUM(OSRRefH22_2x_0)</f>
        <v>0</v>
      </c>
      <c r="I53" s="1"/>
      <c r="J53" s="5">
        <f t="shared" ref="J53:J63" si="34">IF(H$12=0,0,H53/H$12)</f>
        <v>0</v>
      </c>
      <c r="K53" s="1"/>
      <c r="L53" s="1">
        <f t="shared" ref="L53:L63" si="35">+D53-H53</f>
        <v>0</v>
      </c>
      <c r="M53" s="1"/>
      <c r="N53" s="5">
        <f t="shared" ref="N53:N63" si="36">IF(H53=0,0,L53/H53)</f>
        <v>0</v>
      </c>
      <c r="O53" s="13"/>
      <c r="P53" s="1">
        <f>SUM(OSRRefP22_2x_0)</f>
        <v>0</v>
      </c>
      <c r="Q53" s="1"/>
      <c r="R53" s="5">
        <f t="shared" ref="R53:R63" si="37">IF(P$12=0,0,P53/P$12)</f>
        <v>0</v>
      </c>
      <c r="S53" s="1"/>
      <c r="T53" s="1">
        <f>SUM(OSRRefT22_2x_0)</f>
        <v>-857.46</v>
      </c>
      <c r="U53" s="1"/>
      <c r="V53" s="5">
        <f t="shared" ref="V53:V63" si="38">IF(T$12=0,0,T53/T$12)</f>
        <v>-3.1692472503695719E-3</v>
      </c>
      <c r="W53" s="1"/>
      <c r="X53" s="1">
        <f t="shared" ref="X53:X63" si="39">+P53-T53</f>
        <v>857.46</v>
      </c>
      <c r="Y53" s="1"/>
      <c r="Z53" s="5">
        <f t="shared" ref="Z53:Z63" si="40">IF(T53=0,0,X53/T53)</f>
        <v>-1</v>
      </c>
    </row>
    <row r="54" spans="1:26" s="24" customFormat="1" hidden="1" outlineLevel="2" x14ac:dyDescent="0.25">
      <c r="A54" s="25"/>
      <c r="B54" s="11" t="str">
        <f>CONCATENATE("          ", "6362", " - ", "ADVERTISING EXPENSE")</f>
        <v xml:space="preserve">          6362 - ADVERTISING EXPENSE</v>
      </c>
      <c r="C54" s="11"/>
      <c r="D54" s="6"/>
      <c r="E54" s="2"/>
      <c r="F54" s="7">
        <f t="shared" si="33"/>
        <v>0</v>
      </c>
      <c r="G54" s="2"/>
      <c r="H54" s="6"/>
      <c r="I54" s="2"/>
      <c r="J54" s="7">
        <f t="shared" si="34"/>
        <v>0</v>
      </c>
      <c r="K54" s="2"/>
      <c r="L54" s="6">
        <f t="shared" si="35"/>
        <v>0</v>
      </c>
      <c r="M54" s="2"/>
      <c r="N54" s="7">
        <f t="shared" si="36"/>
        <v>0</v>
      </c>
      <c r="O54" s="11"/>
      <c r="P54" s="6"/>
      <c r="Q54" s="2"/>
      <c r="R54" s="7">
        <f t="shared" si="37"/>
        <v>0</v>
      </c>
      <c r="S54" s="2"/>
      <c r="T54" s="6">
        <v>-857.46</v>
      </c>
      <c r="U54" s="2"/>
      <c r="V54" s="7">
        <f t="shared" si="38"/>
        <v>-3.1692472503695719E-3</v>
      </c>
      <c r="W54" s="2"/>
      <c r="X54" s="6">
        <f t="shared" si="39"/>
        <v>857.46</v>
      </c>
      <c r="Y54" s="2"/>
      <c r="Z54" s="7">
        <f t="shared" si="40"/>
        <v>-1</v>
      </c>
    </row>
    <row r="55" spans="1:26" s="26" customFormat="1" outlineLevel="1" collapsed="1" x14ac:dyDescent="0.25">
      <c r="A55" s="27"/>
      <c r="B55" s="13" t="str">
        <f>CONCATENATE("     ","Depreciation                                      ")</f>
        <v xml:space="preserve">     Depreciation                                      </v>
      </c>
      <c r="C55" s="13"/>
      <c r="D55" s="1">
        <f>SUM(OSRRefD22_3x_0)</f>
        <v>169.88</v>
      </c>
      <c r="E55" s="1"/>
      <c r="F55" s="5">
        <f t="shared" si="33"/>
        <v>0.10631453783090306</v>
      </c>
      <c r="G55" s="1"/>
      <c r="H55" s="1">
        <f>SUM(OSRRefH22_3x_0)</f>
        <v>0</v>
      </c>
      <c r="I55" s="1"/>
      <c r="J55" s="5">
        <f t="shared" si="34"/>
        <v>0</v>
      </c>
      <c r="K55" s="1"/>
      <c r="L55" s="1">
        <f t="shared" si="35"/>
        <v>169.88</v>
      </c>
      <c r="M55" s="1"/>
      <c r="N55" s="5">
        <f t="shared" si="36"/>
        <v>0</v>
      </c>
      <c r="O55" s="13"/>
      <c r="P55" s="1">
        <f>SUM(OSRRefP22_3x_0)</f>
        <v>849.4</v>
      </c>
      <c r="Q55" s="1"/>
      <c r="R55" s="5">
        <f t="shared" si="37"/>
        <v>1.1545010249016927E-2</v>
      </c>
      <c r="S55" s="1"/>
      <c r="T55" s="1">
        <f>SUM(OSRRefT22_3x_0)</f>
        <v>0</v>
      </c>
      <c r="U55" s="1"/>
      <c r="V55" s="5">
        <f t="shared" si="38"/>
        <v>0</v>
      </c>
      <c r="W55" s="1"/>
      <c r="X55" s="1">
        <f t="shared" si="39"/>
        <v>849.4</v>
      </c>
      <c r="Y55" s="1"/>
      <c r="Z55" s="5">
        <f t="shared" si="40"/>
        <v>0</v>
      </c>
    </row>
    <row r="56" spans="1:26" s="24" customFormat="1" hidden="1" outlineLevel="2" x14ac:dyDescent="0.25">
      <c r="A56" s="25"/>
      <c r="B56" s="11" t="str">
        <f>CONCATENATE("          ", "6322", " - ", "EQUIPMENT DEPRECIATION EXPENSE")</f>
        <v xml:space="preserve">          6322 - EQUIPMENT DEPRECIATION EXPENSE</v>
      </c>
      <c r="C56" s="11"/>
      <c r="D56" s="6">
        <v>169.88</v>
      </c>
      <c r="E56" s="2"/>
      <c r="F56" s="7">
        <f t="shared" si="33"/>
        <v>0.10631453783090306</v>
      </c>
      <c r="G56" s="2"/>
      <c r="H56" s="6"/>
      <c r="I56" s="2"/>
      <c r="J56" s="7">
        <f t="shared" si="34"/>
        <v>0</v>
      </c>
      <c r="K56" s="2"/>
      <c r="L56" s="6">
        <f t="shared" si="35"/>
        <v>169.88</v>
      </c>
      <c r="M56" s="2"/>
      <c r="N56" s="7">
        <f t="shared" si="36"/>
        <v>0</v>
      </c>
      <c r="O56" s="11"/>
      <c r="P56" s="6">
        <v>849.4</v>
      </c>
      <c r="Q56" s="2"/>
      <c r="R56" s="7">
        <f t="shared" si="37"/>
        <v>1.1545010249016927E-2</v>
      </c>
      <c r="S56" s="2"/>
      <c r="T56" s="6"/>
      <c r="U56" s="2"/>
      <c r="V56" s="7">
        <f t="shared" si="38"/>
        <v>0</v>
      </c>
      <c r="W56" s="2"/>
      <c r="X56" s="6">
        <f t="shared" si="39"/>
        <v>849.4</v>
      </c>
      <c r="Y56" s="2"/>
      <c r="Z56" s="7">
        <f t="shared" si="40"/>
        <v>0</v>
      </c>
    </row>
    <row r="57" spans="1:26" s="26" customFormat="1" outlineLevel="1" collapsed="1" x14ac:dyDescent="0.25">
      <c r="A57" s="27"/>
      <c r="B57" s="13" t="str">
        <f>CONCATENATE("     ","Discounts and Markdowns                           ")</f>
        <v xml:space="preserve">     Discounts and Markdowns                           </v>
      </c>
      <c r="C57" s="13"/>
      <c r="D57" s="1">
        <f>SUM(OSRRefD22_4x_0)</f>
        <v>0</v>
      </c>
      <c r="E57" s="1"/>
      <c r="F57" s="5">
        <f t="shared" si="33"/>
        <v>0</v>
      </c>
      <c r="G57" s="1"/>
      <c r="H57" s="1">
        <f>SUM(OSRRefH22_4x_0)</f>
        <v>80.040000000000006</v>
      </c>
      <c r="I57" s="1"/>
      <c r="J57" s="5">
        <f t="shared" si="34"/>
        <v>1.9491216898232418E-3</v>
      </c>
      <c r="K57" s="1"/>
      <c r="L57" s="1">
        <f t="shared" si="35"/>
        <v>-80.040000000000006</v>
      </c>
      <c r="M57" s="1"/>
      <c r="N57" s="5">
        <f t="shared" si="36"/>
        <v>-1</v>
      </c>
      <c r="O57" s="13"/>
      <c r="P57" s="1">
        <f>SUM(OSRRefP22_4x_0)</f>
        <v>0</v>
      </c>
      <c r="Q57" s="1"/>
      <c r="R57" s="5">
        <f t="shared" si="37"/>
        <v>0</v>
      </c>
      <c r="S57" s="1"/>
      <c r="T57" s="1">
        <f>SUM(OSRRefT22_4x_0)</f>
        <v>707.76</v>
      </c>
      <c r="U57" s="1"/>
      <c r="V57" s="5">
        <f t="shared" si="38"/>
        <v>2.6159429406871085E-3</v>
      </c>
      <c r="W57" s="1"/>
      <c r="X57" s="1">
        <f t="shared" si="39"/>
        <v>-707.76</v>
      </c>
      <c r="Y57" s="1"/>
      <c r="Z57" s="5">
        <f t="shared" si="40"/>
        <v>-1</v>
      </c>
    </row>
    <row r="58" spans="1:26" s="24" customFormat="1" hidden="1" outlineLevel="2" x14ac:dyDescent="0.25">
      <c r="A58" s="25"/>
      <c r="B58" s="11" t="str">
        <f>CONCATENATE("          ", "6382", " - ", "DISCOUNTS/MARK DOWNS")</f>
        <v xml:space="preserve">          6382 - DISCOUNTS/MARK DOWNS</v>
      </c>
      <c r="C58" s="11"/>
      <c r="D58" s="6"/>
      <c r="E58" s="2"/>
      <c r="F58" s="7">
        <f t="shared" si="33"/>
        <v>0</v>
      </c>
      <c r="G58" s="2"/>
      <c r="H58" s="6">
        <v>80.040000000000006</v>
      </c>
      <c r="I58" s="2"/>
      <c r="J58" s="7">
        <f t="shared" si="34"/>
        <v>1.9491216898232418E-3</v>
      </c>
      <c r="K58" s="2"/>
      <c r="L58" s="6">
        <f t="shared" si="35"/>
        <v>-80.040000000000006</v>
      </c>
      <c r="M58" s="2"/>
      <c r="N58" s="7">
        <f t="shared" si="36"/>
        <v>-1</v>
      </c>
      <c r="O58" s="11"/>
      <c r="P58" s="6"/>
      <c r="Q58" s="2"/>
      <c r="R58" s="7">
        <f t="shared" si="37"/>
        <v>0</v>
      </c>
      <c r="S58" s="2"/>
      <c r="T58" s="6">
        <v>707.76</v>
      </c>
      <c r="U58" s="2"/>
      <c r="V58" s="7">
        <f t="shared" si="38"/>
        <v>2.6159429406871085E-3</v>
      </c>
      <c r="W58" s="2"/>
      <c r="X58" s="6">
        <f t="shared" si="39"/>
        <v>-707.76</v>
      </c>
      <c r="Y58" s="2"/>
      <c r="Z58" s="7">
        <f t="shared" si="40"/>
        <v>-1</v>
      </c>
    </row>
    <row r="59" spans="1:26" s="26" customFormat="1" outlineLevel="1" collapsed="1" x14ac:dyDescent="0.25">
      <c r="A59" s="27"/>
      <c r="B59" s="13" t="str">
        <f>CONCATENATE("     ","Equipment Rental                                  ")</f>
        <v xml:space="preserve">     Equipment Rental                                  </v>
      </c>
      <c r="C59" s="13"/>
      <c r="D59" s="1">
        <f>SUM(OSRRefD22_5x_0)</f>
        <v>1205.6400000000001</v>
      </c>
      <c r="E59" s="1"/>
      <c r="F59" s="5">
        <f t="shared" si="33"/>
        <v>0.7545153013329996</v>
      </c>
      <c r="G59" s="1"/>
      <c r="H59" s="1">
        <f>SUM(OSRRefH22_5x_0)</f>
        <v>3903.96</v>
      </c>
      <c r="I59" s="1"/>
      <c r="J59" s="5">
        <f t="shared" si="34"/>
        <v>9.5068629587735418E-2</v>
      </c>
      <c r="K59" s="1"/>
      <c r="L59" s="1">
        <f t="shared" si="35"/>
        <v>-2698.3199999999997</v>
      </c>
      <c r="M59" s="1"/>
      <c r="N59" s="5">
        <f t="shared" si="36"/>
        <v>-0.69117511449912383</v>
      </c>
      <c r="O59" s="13"/>
      <c r="P59" s="1">
        <f>SUM(OSRRefP22_5x_0)</f>
        <v>6028.2</v>
      </c>
      <c r="Q59" s="1"/>
      <c r="R59" s="5">
        <f t="shared" si="37"/>
        <v>8.1935049191339579E-2</v>
      </c>
      <c r="S59" s="1"/>
      <c r="T59" s="1">
        <f>SUM(OSRRefT22_5x_0)</f>
        <v>9932.16</v>
      </c>
      <c r="U59" s="1"/>
      <c r="V59" s="5">
        <f t="shared" si="38"/>
        <v>3.6710133149337167E-2</v>
      </c>
      <c r="W59" s="1"/>
      <c r="X59" s="1">
        <f t="shared" si="39"/>
        <v>-3903.96</v>
      </c>
      <c r="Y59" s="1"/>
      <c r="Z59" s="5">
        <f t="shared" si="40"/>
        <v>-0.39306253624589216</v>
      </c>
    </row>
    <row r="60" spans="1:26" s="24" customFormat="1" hidden="1" outlineLevel="2" x14ac:dyDescent="0.25">
      <c r="A60" s="25"/>
      <c r="B60" s="11" t="str">
        <f>CONCATENATE("          ", "6351", " - ", "EQUIPMENT RENTAL")</f>
        <v xml:space="preserve">          6351 - EQUIPMENT RENTAL</v>
      </c>
      <c r="C60" s="11"/>
      <c r="D60" s="6">
        <v>1205.6400000000001</v>
      </c>
      <c r="E60" s="2"/>
      <c r="F60" s="7">
        <f t="shared" si="33"/>
        <v>0.7545153013329996</v>
      </c>
      <c r="G60" s="2"/>
      <c r="H60" s="6">
        <v>3903.96</v>
      </c>
      <c r="I60" s="2"/>
      <c r="J60" s="7">
        <f t="shared" si="34"/>
        <v>9.5068629587735418E-2</v>
      </c>
      <c r="K60" s="2"/>
      <c r="L60" s="6">
        <f t="shared" si="35"/>
        <v>-2698.3199999999997</v>
      </c>
      <c r="M60" s="2"/>
      <c r="N60" s="7">
        <f t="shared" si="36"/>
        <v>-0.69117511449912383</v>
      </c>
      <c r="O60" s="11"/>
      <c r="P60" s="6">
        <v>6028.2</v>
      </c>
      <c r="Q60" s="2"/>
      <c r="R60" s="7">
        <f t="shared" si="37"/>
        <v>8.1935049191339579E-2</v>
      </c>
      <c r="S60" s="2"/>
      <c r="T60" s="6">
        <v>9932.16</v>
      </c>
      <c r="U60" s="2"/>
      <c r="V60" s="7">
        <f t="shared" si="38"/>
        <v>3.6710133149337167E-2</v>
      </c>
      <c r="W60" s="2"/>
      <c r="X60" s="6">
        <f t="shared" si="39"/>
        <v>-3903.96</v>
      </c>
      <c r="Y60" s="2"/>
      <c r="Z60" s="7">
        <f t="shared" si="40"/>
        <v>-0.39306253624589216</v>
      </c>
    </row>
    <row r="61" spans="1:26" s="26" customFormat="1" outlineLevel="1" collapsed="1" x14ac:dyDescent="0.25">
      <c r="A61" s="27"/>
      <c r="B61" s="13" t="str">
        <f>CONCATENATE("     ","Freight out/Postage                               ")</f>
        <v xml:space="preserve">     Freight out/Postage                               </v>
      </c>
      <c r="C61" s="13"/>
      <c r="D61" s="1">
        <f>SUM(OSRRefD22_6x_0)</f>
        <v>8307.7900000000009</v>
      </c>
      <c r="E61" s="1"/>
      <c r="F61" s="5">
        <f t="shared" si="33"/>
        <v>5.1991926904061581</v>
      </c>
      <c r="G61" s="1"/>
      <c r="H61" s="1">
        <f>SUM(OSRRefH22_6x_0)</f>
        <v>3081.3</v>
      </c>
      <c r="I61" s="1"/>
      <c r="J61" s="5">
        <f t="shared" si="34"/>
        <v>7.5035340615346766E-2</v>
      </c>
      <c r="K61" s="1"/>
      <c r="L61" s="1">
        <f t="shared" si="35"/>
        <v>5226.4900000000007</v>
      </c>
      <c r="M61" s="1"/>
      <c r="N61" s="5">
        <f t="shared" si="36"/>
        <v>1.6961964106059133</v>
      </c>
      <c r="O61" s="13"/>
      <c r="P61" s="1">
        <f>SUM(OSRRefP22_6x_0)</f>
        <v>-24841.370000000024</v>
      </c>
      <c r="Q61" s="1"/>
      <c r="R61" s="5">
        <f t="shared" si="37"/>
        <v>-0.33764289056936886</v>
      </c>
      <c r="S61" s="1"/>
      <c r="T61" s="1">
        <f>SUM(OSRRefT22_6x_0)</f>
        <v>-5197.1700000000019</v>
      </c>
      <c r="U61" s="1"/>
      <c r="V61" s="5">
        <f t="shared" si="38"/>
        <v>-1.9209195451919896E-2</v>
      </c>
      <c r="W61" s="1"/>
      <c r="X61" s="1">
        <f t="shared" si="39"/>
        <v>-19644.200000000023</v>
      </c>
      <c r="Y61" s="1"/>
      <c r="Z61" s="5">
        <f t="shared" si="40"/>
        <v>3.7797878460777721</v>
      </c>
    </row>
    <row r="62" spans="1:26" s="24" customFormat="1" hidden="1" outlineLevel="2" x14ac:dyDescent="0.25">
      <c r="A62" s="25"/>
      <c r="B62" s="11" t="str">
        <f>CONCATENATE("          ", "6305", " - ", "FREIGHT OUT")</f>
        <v xml:space="preserve">          6305 - FREIGHT OUT</v>
      </c>
      <c r="C62" s="11"/>
      <c r="D62" s="6">
        <v>12643.45</v>
      </c>
      <c r="E62" s="2"/>
      <c r="F62" s="7">
        <f t="shared" si="33"/>
        <v>7.9125414606671258</v>
      </c>
      <c r="G62" s="2"/>
      <c r="H62" s="6">
        <v>3940.67</v>
      </c>
      <c r="I62" s="2"/>
      <c r="J62" s="7">
        <f t="shared" si="34"/>
        <v>9.5962585825034405E-2</v>
      </c>
      <c r="K62" s="2"/>
      <c r="L62" s="6">
        <f t="shared" si="35"/>
        <v>8702.7800000000007</v>
      </c>
      <c r="M62" s="2"/>
      <c r="N62" s="7">
        <f t="shared" si="36"/>
        <v>2.2084518622467755</v>
      </c>
      <c r="O62" s="11"/>
      <c r="P62" s="6">
        <v>98238.23</v>
      </c>
      <c r="Q62" s="2"/>
      <c r="R62" s="7">
        <f t="shared" si="37"/>
        <v>1.3352500261305418</v>
      </c>
      <c r="S62" s="2"/>
      <c r="T62" s="6">
        <v>19265.82</v>
      </c>
      <c r="U62" s="2"/>
      <c r="V62" s="7">
        <f t="shared" si="38"/>
        <v>7.1208157886216386E-2</v>
      </c>
      <c r="W62" s="2"/>
      <c r="X62" s="6">
        <f t="shared" si="39"/>
        <v>78972.41</v>
      </c>
      <c r="Y62" s="2"/>
      <c r="Z62" s="7">
        <f t="shared" si="40"/>
        <v>4.0990941470438322</v>
      </c>
    </row>
    <row r="63" spans="1:26" s="24" customFormat="1" hidden="1" outlineLevel="2" x14ac:dyDescent="0.25">
      <c r="A63" s="25"/>
      <c r="B63" s="11" t="str">
        <f>CONCATENATE("          ", "6307", " - ", "POSTAGE")</f>
        <v xml:space="preserve">          6307 - POSTAGE</v>
      </c>
      <c r="C63" s="11"/>
      <c r="D63" s="6">
        <v>-4335.66</v>
      </c>
      <c r="E63" s="2"/>
      <c r="F63" s="7">
        <f t="shared" si="33"/>
        <v>-2.7133487702609673</v>
      </c>
      <c r="G63" s="2"/>
      <c r="H63" s="6">
        <v>-859.37</v>
      </c>
      <c r="I63" s="2"/>
      <c r="J63" s="7">
        <f t="shared" si="34"/>
        <v>-2.0927245209687646E-2</v>
      </c>
      <c r="K63" s="2"/>
      <c r="L63" s="6">
        <f t="shared" si="35"/>
        <v>-3476.29</v>
      </c>
      <c r="M63" s="2"/>
      <c r="N63" s="7">
        <f t="shared" si="36"/>
        <v>4.0451609900275782</v>
      </c>
      <c r="O63" s="11"/>
      <c r="P63" s="6">
        <v>-123079.60000000002</v>
      </c>
      <c r="Q63" s="2"/>
      <c r="R63" s="7">
        <f t="shared" si="37"/>
        <v>-1.6728929166999105</v>
      </c>
      <c r="S63" s="2"/>
      <c r="T63" s="6">
        <v>-24462.99</v>
      </c>
      <c r="U63" s="2"/>
      <c r="V63" s="7">
        <f t="shared" si="38"/>
        <v>-9.0417353338136289E-2</v>
      </c>
      <c r="W63" s="2"/>
      <c r="X63" s="6">
        <f t="shared" si="39"/>
        <v>-98616.610000000015</v>
      </c>
      <c r="Y63" s="2"/>
      <c r="Z63" s="7">
        <f t="shared" si="40"/>
        <v>4.0312574219259378</v>
      </c>
    </row>
    <row r="64" spans="1:26" s="26" customFormat="1" outlineLevel="1" collapsed="1" x14ac:dyDescent="0.25">
      <c r="A64" s="27"/>
      <c r="B64" s="13" t="str">
        <f>CONCATENATE("     ","General                                           ")</f>
        <v xml:space="preserve">     General                                           </v>
      </c>
      <c r="C64" s="13"/>
      <c r="D64" s="1">
        <f>SUM(OSRRefD22_7x_0)</f>
        <v>0</v>
      </c>
      <c r="E64" s="1"/>
      <c r="F64" s="5">
        <f t="shared" ref="F64:F70" si="41">IF(D$12=0,0,D64/D$12)</f>
        <v>0</v>
      </c>
      <c r="G64" s="1"/>
      <c r="H64" s="1">
        <f>SUM(OSRRefH22_7x_0)</f>
        <v>0</v>
      </c>
      <c r="I64" s="1"/>
      <c r="J64" s="5">
        <f t="shared" ref="J64:J70" si="42">IF(H$12=0,0,H64/H$12)</f>
        <v>0</v>
      </c>
      <c r="K64" s="1"/>
      <c r="L64" s="1">
        <f t="shared" ref="L64:L70" si="43">+D64-H64</f>
        <v>0</v>
      </c>
      <c r="M64" s="1"/>
      <c r="N64" s="5">
        <f t="shared" ref="N64:N70" si="44">IF(H64=0,0,L64/H64)</f>
        <v>0</v>
      </c>
      <c r="O64" s="13"/>
      <c r="P64" s="1">
        <f>SUM(OSRRefP22_7x_0)</f>
        <v>0</v>
      </c>
      <c r="Q64" s="1"/>
      <c r="R64" s="5">
        <f t="shared" ref="R64:R70" si="45">IF(P$12=0,0,P64/P$12)</f>
        <v>0</v>
      </c>
      <c r="S64" s="1"/>
      <c r="T64" s="1">
        <f>SUM(OSRRefT22_7x_0)</f>
        <v>80.17</v>
      </c>
      <c r="U64" s="1"/>
      <c r="V64" s="5">
        <f t="shared" ref="V64:V70" si="46">IF(T$12=0,0,T64/T$12)</f>
        <v>2.9631534072974667E-4</v>
      </c>
      <c r="W64" s="1"/>
      <c r="X64" s="1">
        <f t="shared" ref="X64:X70" si="47">+P64-T64</f>
        <v>-80.17</v>
      </c>
      <c r="Y64" s="1"/>
      <c r="Z64" s="5">
        <f t="shared" ref="Z64:Z70" si="48">IF(T64=0,0,X64/T64)</f>
        <v>-1</v>
      </c>
    </row>
    <row r="65" spans="1:26" s="24" customFormat="1" hidden="1" outlineLevel="2" x14ac:dyDescent="0.25">
      <c r="A65" s="25"/>
      <c r="B65" s="11" t="str">
        <f>CONCATENATE("          ", "6279", " - ", "GENERAL EXPENSE")</f>
        <v xml:space="preserve">          6279 - GENERAL EXPENSE</v>
      </c>
      <c r="C65" s="11"/>
      <c r="D65" s="6"/>
      <c r="E65" s="2"/>
      <c r="F65" s="7">
        <f t="shared" si="41"/>
        <v>0</v>
      </c>
      <c r="G65" s="2"/>
      <c r="H65" s="6"/>
      <c r="I65" s="2"/>
      <c r="J65" s="7">
        <f t="shared" si="42"/>
        <v>0</v>
      </c>
      <c r="K65" s="2"/>
      <c r="L65" s="6">
        <f t="shared" si="43"/>
        <v>0</v>
      </c>
      <c r="M65" s="2"/>
      <c r="N65" s="7">
        <f t="shared" si="44"/>
        <v>0</v>
      </c>
      <c r="O65" s="11"/>
      <c r="P65" s="6"/>
      <c r="Q65" s="2"/>
      <c r="R65" s="7">
        <f t="shared" si="45"/>
        <v>0</v>
      </c>
      <c r="S65" s="2"/>
      <c r="T65" s="6">
        <v>80.17</v>
      </c>
      <c r="U65" s="2"/>
      <c r="V65" s="7">
        <f t="shared" si="46"/>
        <v>2.9631534072974667E-4</v>
      </c>
      <c r="W65" s="2"/>
      <c r="X65" s="6">
        <f t="shared" si="47"/>
        <v>-80.17</v>
      </c>
      <c r="Y65" s="2"/>
      <c r="Z65" s="7">
        <f t="shared" si="48"/>
        <v>-1</v>
      </c>
    </row>
    <row r="66" spans="1:26" s="26" customFormat="1" outlineLevel="1" collapsed="1" x14ac:dyDescent="0.25">
      <c r="A66" s="27"/>
      <c r="B66" s="13" t="str">
        <f>CONCATENATE("     ","Inventory Adjustment                              ")</f>
        <v xml:space="preserve">     Inventory Adjustment                              </v>
      </c>
      <c r="C66" s="13"/>
      <c r="D66" s="1">
        <f>SUM(OSRRefD22_8x_0)</f>
        <v>0</v>
      </c>
      <c r="E66" s="1"/>
      <c r="F66" s="5">
        <f t="shared" si="41"/>
        <v>0</v>
      </c>
      <c r="G66" s="1"/>
      <c r="H66" s="1">
        <f>SUM(OSRRefH22_8x_0)</f>
        <v>100</v>
      </c>
      <c r="I66" s="1"/>
      <c r="J66" s="5">
        <f t="shared" si="42"/>
        <v>2.4351845200190425E-3</v>
      </c>
      <c r="K66" s="1"/>
      <c r="L66" s="1">
        <f t="shared" si="43"/>
        <v>-100</v>
      </c>
      <c r="M66" s="1"/>
      <c r="N66" s="5">
        <f t="shared" si="44"/>
        <v>-1</v>
      </c>
      <c r="O66" s="13"/>
      <c r="P66" s="1">
        <f>SUM(OSRRefP22_8x_0)</f>
        <v>0</v>
      </c>
      <c r="Q66" s="1"/>
      <c r="R66" s="5">
        <f t="shared" si="45"/>
        <v>0</v>
      </c>
      <c r="S66" s="1"/>
      <c r="T66" s="1">
        <f>SUM(OSRRefT22_8x_0)</f>
        <v>400</v>
      </c>
      <c r="U66" s="1"/>
      <c r="V66" s="5">
        <f t="shared" si="46"/>
        <v>1.4784350292116586E-3</v>
      </c>
      <c r="W66" s="1"/>
      <c r="X66" s="1">
        <f t="shared" si="47"/>
        <v>-400</v>
      </c>
      <c r="Y66" s="1"/>
      <c r="Z66" s="5">
        <f t="shared" si="48"/>
        <v>-1</v>
      </c>
    </row>
    <row r="67" spans="1:26" s="24" customFormat="1" hidden="1" outlineLevel="2" x14ac:dyDescent="0.25">
      <c r="A67" s="25"/>
      <c r="B67" s="11" t="str">
        <f>CONCATENATE("          ", "6408", " - ", "INVENTORY ADJUSTMENT")</f>
        <v xml:space="preserve">          6408 - INVENTORY ADJUSTMENT</v>
      </c>
      <c r="C67" s="11"/>
      <c r="D67" s="6"/>
      <c r="E67" s="2"/>
      <c r="F67" s="7">
        <f t="shared" si="41"/>
        <v>0</v>
      </c>
      <c r="G67" s="2"/>
      <c r="H67" s="6">
        <v>100</v>
      </c>
      <c r="I67" s="2"/>
      <c r="J67" s="7">
        <f t="shared" si="42"/>
        <v>2.4351845200190425E-3</v>
      </c>
      <c r="K67" s="2"/>
      <c r="L67" s="6">
        <f t="shared" si="43"/>
        <v>-100</v>
      </c>
      <c r="M67" s="2"/>
      <c r="N67" s="7">
        <f t="shared" si="44"/>
        <v>-1</v>
      </c>
      <c r="O67" s="11"/>
      <c r="P67" s="6"/>
      <c r="Q67" s="2"/>
      <c r="R67" s="7">
        <f t="shared" si="45"/>
        <v>0</v>
      </c>
      <c r="S67" s="2"/>
      <c r="T67" s="6">
        <v>400</v>
      </c>
      <c r="U67" s="2"/>
      <c r="V67" s="7">
        <f t="shared" si="46"/>
        <v>1.4784350292116586E-3</v>
      </c>
      <c r="W67" s="2"/>
      <c r="X67" s="6">
        <f t="shared" si="47"/>
        <v>-400</v>
      </c>
      <c r="Y67" s="2"/>
      <c r="Z67" s="7">
        <f t="shared" si="48"/>
        <v>-1</v>
      </c>
    </row>
    <row r="68" spans="1:26" s="26" customFormat="1" outlineLevel="1" collapsed="1" x14ac:dyDescent="0.25">
      <c r="A68" s="27"/>
      <c r="B68" s="13" t="str">
        <f>CONCATENATE("     ","Repair and Maintenance                            ")</f>
        <v xml:space="preserve">     Repair and Maintenance                            </v>
      </c>
      <c r="C68" s="13"/>
      <c r="D68" s="1">
        <f>SUM(OSRRefD22_9x_0)</f>
        <v>400.12</v>
      </c>
      <c r="E68" s="1"/>
      <c r="F68" s="5">
        <f t="shared" si="41"/>
        <v>0.25040365479692095</v>
      </c>
      <c r="G68" s="1"/>
      <c r="H68" s="1">
        <f>SUM(OSRRefH22_9x_0)</f>
        <v>1404.99</v>
      </c>
      <c r="I68" s="1"/>
      <c r="J68" s="5">
        <f t="shared" si="42"/>
        <v>3.421409898781555E-2</v>
      </c>
      <c r="K68" s="1"/>
      <c r="L68" s="1">
        <f t="shared" si="43"/>
        <v>-1004.87</v>
      </c>
      <c r="M68" s="1"/>
      <c r="N68" s="5">
        <f t="shared" si="44"/>
        <v>-0.7152150549114229</v>
      </c>
      <c r="O68" s="13"/>
      <c r="P68" s="1">
        <f>SUM(OSRRefP22_9x_0)</f>
        <v>24520.880000000001</v>
      </c>
      <c r="Q68" s="1"/>
      <c r="R68" s="5">
        <f t="shared" si="45"/>
        <v>0.33328680352591733</v>
      </c>
      <c r="S68" s="1"/>
      <c r="T68" s="1">
        <f>SUM(OSRRefT22_9x_0)</f>
        <v>29449.96</v>
      </c>
      <c r="U68" s="1"/>
      <c r="V68" s="5">
        <f t="shared" si="46"/>
        <v>0.10884963118220543</v>
      </c>
      <c r="W68" s="1"/>
      <c r="X68" s="1">
        <f t="shared" si="47"/>
        <v>-4929.0799999999981</v>
      </c>
      <c r="Y68" s="1"/>
      <c r="Z68" s="5">
        <f t="shared" si="48"/>
        <v>-0.16737136485075016</v>
      </c>
    </row>
    <row r="69" spans="1:26" s="24" customFormat="1" hidden="1" outlineLevel="2" x14ac:dyDescent="0.25">
      <c r="A69" s="25"/>
      <c r="B69" s="11" t="str">
        <f>CONCATENATE("          ", "6371", " - ", "COMPUTER SOFTWARE MAINTENANCE")</f>
        <v xml:space="preserve">          6371 - COMPUTER SOFTWARE MAINTENANCE</v>
      </c>
      <c r="C69" s="11"/>
      <c r="D69" s="6"/>
      <c r="E69" s="2"/>
      <c r="F69" s="7">
        <f t="shared" si="41"/>
        <v>0</v>
      </c>
      <c r="G69" s="2"/>
      <c r="H69" s="6"/>
      <c r="I69" s="2"/>
      <c r="J69" s="7">
        <f t="shared" si="42"/>
        <v>0</v>
      </c>
      <c r="K69" s="2"/>
      <c r="L69" s="6">
        <f t="shared" si="43"/>
        <v>0</v>
      </c>
      <c r="M69" s="2"/>
      <c r="N69" s="7">
        <f t="shared" si="44"/>
        <v>0</v>
      </c>
      <c r="O69" s="11"/>
      <c r="P69" s="6">
        <v>7.69</v>
      </c>
      <c r="Q69" s="2"/>
      <c r="R69" s="7">
        <f t="shared" si="45"/>
        <v>1.0452216719441979E-4</v>
      </c>
      <c r="S69" s="2"/>
      <c r="T69" s="6"/>
      <c r="U69" s="2"/>
      <c r="V69" s="7">
        <f t="shared" si="46"/>
        <v>0</v>
      </c>
      <c r="W69" s="2"/>
      <c r="X69" s="6">
        <f t="shared" si="47"/>
        <v>7.69</v>
      </c>
      <c r="Y69" s="2"/>
      <c r="Z69" s="7">
        <f t="shared" si="48"/>
        <v>0</v>
      </c>
    </row>
    <row r="70" spans="1:26" s="24" customFormat="1" hidden="1" outlineLevel="2" x14ac:dyDescent="0.25">
      <c r="A70" s="25"/>
      <c r="B70" s="11" t="str">
        <f>CONCATENATE("          ", "6373", " - ", "MAINTENANCE CONTRACTS")</f>
        <v xml:space="preserve">          6373 - MAINTENANCE CONTRACTS</v>
      </c>
      <c r="C70" s="11"/>
      <c r="D70" s="6">
        <v>400.12</v>
      </c>
      <c r="E70" s="2"/>
      <c r="F70" s="7">
        <f t="shared" si="41"/>
        <v>0.25040365479692095</v>
      </c>
      <c r="G70" s="2"/>
      <c r="H70" s="6">
        <v>1404.99</v>
      </c>
      <c r="I70" s="2"/>
      <c r="J70" s="7">
        <f t="shared" si="42"/>
        <v>3.421409898781555E-2</v>
      </c>
      <c r="K70" s="2"/>
      <c r="L70" s="6">
        <f t="shared" si="43"/>
        <v>-1004.87</v>
      </c>
      <c r="M70" s="2"/>
      <c r="N70" s="7">
        <f t="shared" si="44"/>
        <v>-0.7152150549114229</v>
      </c>
      <c r="O70" s="11"/>
      <c r="P70" s="6">
        <v>24513.190000000002</v>
      </c>
      <c r="Q70" s="2"/>
      <c r="R70" s="7">
        <f t="shared" si="45"/>
        <v>0.33318228135872296</v>
      </c>
      <c r="S70" s="2"/>
      <c r="T70" s="6">
        <v>29449.96</v>
      </c>
      <c r="U70" s="2"/>
      <c r="V70" s="7">
        <f t="shared" si="46"/>
        <v>0.10884963118220543</v>
      </c>
      <c r="W70" s="2"/>
      <c r="X70" s="6">
        <f t="shared" si="47"/>
        <v>-4936.7699999999968</v>
      </c>
      <c r="Y70" s="2"/>
      <c r="Z70" s="7">
        <f t="shared" si="48"/>
        <v>-0.16763248574870721</v>
      </c>
    </row>
    <row r="71" spans="1:26" s="26" customFormat="1" outlineLevel="1" collapsed="1" x14ac:dyDescent="0.25">
      <c r="A71" s="27"/>
      <c r="B71" s="13" t="str">
        <f>CONCATENATE("     ","Royalty &amp; Commissions                             ")</f>
        <v xml:space="preserve">     Royalty &amp; Commissions                             </v>
      </c>
      <c r="C71" s="13"/>
      <c r="D71" s="1">
        <f>SUM(OSRRefD22_10x_0)</f>
        <v>4453.09</v>
      </c>
      <c r="E71" s="1"/>
      <c r="F71" s="5">
        <f t="shared" ref="F71:F79" si="49">IF(D$12=0,0,D71/D$12)</f>
        <v>2.7868389761562051</v>
      </c>
      <c r="G71" s="1"/>
      <c r="H71" s="1">
        <f>SUM(OSRRefH22_10x_0)</f>
        <v>17653.419999999998</v>
      </c>
      <c r="I71" s="1"/>
      <c r="J71" s="5">
        <f t="shared" ref="J71:J79" si="50">IF(H$12=0,0,H71/H$12)</f>
        <v>0.42989335109394561</v>
      </c>
      <c r="K71" s="1"/>
      <c r="L71" s="1">
        <f t="shared" ref="L71:L79" si="51">+D71-H71</f>
        <v>-13200.329999999998</v>
      </c>
      <c r="M71" s="1"/>
      <c r="N71" s="5">
        <f t="shared" ref="N71:N79" si="52">IF(H71=0,0,L71/H71)</f>
        <v>-0.74774916135230451</v>
      </c>
      <c r="O71" s="13"/>
      <c r="P71" s="1">
        <f>SUM(OSRRefP22_10x_0)</f>
        <v>10158.290000000001</v>
      </c>
      <c r="Q71" s="1"/>
      <c r="R71" s="5">
        <f t="shared" ref="R71:R79" si="53">IF(P$12=0,0,P71/P$12)</f>
        <v>0.13807106447196393</v>
      </c>
      <c r="S71" s="1"/>
      <c r="T71" s="1">
        <f>SUM(OSRRefT22_10x_0)</f>
        <v>43867.68</v>
      </c>
      <c r="U71" s="1"/>
      <c r="V71" s="5">
        <f t="shared" ref="V71:V79" si="54">IF(T$12=0,0,T71/T$12)</f>
        <v>0.16213878690561923</v>
      </c>
      <c r="W71" s="1"/>
      <c r="X71" s="1">
        <f t="shared" ref="X71:X79" si="55">+P71-T71</f>
        <v>-33709.39</v>
      </c>
      <c r="Y71" s="1"/>
      <c r="Z71" s="5">
        <f t="shared" ref="Z71:Z79" si="56">IF(T71=0,0,X71/T71)</f>
        <v>-0.76843338877278211</v>
      </c>
    </row>
    <row r="72" spans="1:26" s="24" customFormat="1" hidden="1" outlineLevel="2" x14ac:dyDescent="0.25">
      <c r="A72" s="25"/>
      <c r="B72" s="11" t="str">
        <f>CONCATENATE("          ", "6259", " - ", "ROYALTY &amp; COMMISSIONS")</f>
        <v xml:space="preserve">          6259 - ROYALTY &amp; COMMISSIONS</v>
      </c>
      <c r="C72" s="11"/>
      <c r="D72" s="6">
        <v>4453.09</v>
      </c>
      <c r="E72" s="2"/>
      <c r="F72" s="7">
        <f t="shared" si="49"/>
        <v>2.7868389761562051</v>
      </c>
      <c r="G72" s="2"/>
      <c r="H72" s="6">
        <v>17653.419999999998</v>
      </c>
      <c r="I72" s="2"/>
      <c r="J72" s="7">
        <f t="shared" si="50"/>
        <v>0.42989335109394561</v>
      </c>
      <c r="K72" s="2"/>
      <c r="L72" s="6">
        <f t="shared" si="51"/>
        <v>-13200.329999999998</v>
      </c>
      <c r="M72" s="2"/>
      <c r="N72" s="7">
        <f t="shared" si="52"/>
        <v>-0.74774916135230451</v>
      </c>
      <c r="O72" s="11"/>
      <c r="P72" s="6">
        <v>10158.290000000001</v>
      </c>
      <c r="Q72" s="2"/>
      <c r="R72" s="7">
        <f t="shared" si="53"/>
        <v>0.13807106447196393</v>
      </c>
      <c r="S72" s="2"/>
      <c r="T72" s="6">
        <v>43867.68</v>
      </c>
      <c r="U72" s="2"/>
      <c r="V72" s="7">
        <f t="shared" si="54"/>
        <v>0.16213878690561923</v>
      </c>
      <c r="W72" s="2"/>
      <c r="X72" s="6">
        <f t="shared" si="55"/>
        <v>-33709.39</v>
      </c>
      <c r="Y72" s="2"/>
      <c r="Z72" s="7">
        <f t="shared" si="56"/>
        <v>-0.76843338877278211</v>
      </c>
    </row>
    <row r="73" spans="1:26" s="26" customFormat="1" outlineLevel="1" collapsed="1" x14ac:dyDescent="0.25">
      <c r="A73" s="27"/>
      <c r="B73" s="13" t="str">
        <f>CONCATENATE("     ","Supplies                                          ")</f>
        <v xml:space="preserve">     Supplies                                          </v>
      </c>
      <c r="C73" s="13"/>
      <c r="D73" s="1">
        <f>SUM(OSRRefD22_11x_0)</f>
        <v>2362.06</v>
      </c>
      <c r="E73" s="1"/>
      <c r="F73" s="5">
        <f t="shared" si="49"/>
        <v>1.4782276738218911</v>
      </c>
      <c r="G73" s="1"/>
      <c r="H73" s="1">
        <f>SUM(OSRRefH22_11x_0)</f>
        <v>1828.3600000000001</v>
      </c>
      <c r="I73" s="1"/>
      <c r="J73" s="5">
        <f t="shared" si="50"/>
        <v>4.4523939690220171E-2</v>
      </c>
      <c r="K73" s="1"/>
      <c r="L73" s="1">
        <f t="shared" si="51"/>
        <v>533.69999999999982</v>
      </c>
      <c r="M73" s="1"/>
      <c r="N73" s="5">
        <f t="shared" si="52"/>
        <v>0.29190093854601928</v>
      </c>
      <c r="O73" s="13"/>
      <c r="P73" s="1">
        <f>SUM(OSRRefP22_11x_0)</f>
        <v>23873.61</v>
      </c>
      <c r="Q73" s="1"/>
      <c r="R73" s="5">
        <f t="shared" si="53"/>
        <v>0.32448913601487284</v>
      </c>
      <c r="S73" s="1"/>
      <c r="T73" s="1">
        <f>SUM(OSRRefT22_11x_0)</f>
        <v>19158.36</v>
      </c>
      <c r="U73" s="1"/>
      <c r="V73" s="5">
        <f t="shared" si="54"/>
        <v>7.0810976315618682E-2</v>
      </c>
      <c r="W73" s="1"/>
      <c r="X73" s="1">
        <f t="shared" si="55"/>
        <v>4715.25</v>
      </c>
      <c r="Y73" s="1"/>
      <c r="Z73" s="5">
        <f t="shared" si="56"/>
        <v>0.24611970962023888</v>
      </c>
    </row>
    <row r="74" spans="1:26" s="24" customFormat="1" hidden="1" outlineLevel="2" x14ac:dyDescent="0.25">
      <c r="A74" s="25"/>
      <c r="B74" s="11" t="str">
        <f>CONCATENATE("          ", "6234", " - ", "EXPENDABLE SUPPLIES &amp; EQUIPMEN")</f>
        <v xml:space="preserve">          6234 - EXPENDABLE SUPPLIES &amp; EQUIPMEN</v>
      </c>
      <c r="C74" s="11"/>
      <c r="D74" s="6"/>
      <c r="E74" s="2"/>
      <c r="F74" s="7">
        <f t="shared" si="49"/>
        <v>0</v>
      </c>
      <c r="G74" s="2"/>
      <c r="H74" s="6"/>
      <c r="I74" s="2"/>
      <c r="J74" s="7">
        <f t="shared" si="50"/>
        <v>0</v>
      </c>
      <c r="K74" s="2"/>
      <c r="L74" s="6">
        <f t="shared" si="51"/>
        <v>0</v>
      </c>
      <c r="M74" s="2"/>
      <c r="N74" s="7">
        <f t="shared" si="52"/>
        <v>0</v>
      </c>
      <c r="O74" s="11"/>
      <c r="P74" s="6"/>
      <c r="Q74" s="2"/>
      <c r="R74" s="7">
        <f t="shared" si="53"/>
        <v>0</v>
      </c>
      <c r="S74" s="2"/>
      <c r="T74" s="6">
        <v>1017.27</v>
      </c>
      <c r="U74" s="2"/>
      <c r="V74" s="7">
        <f t="shared" si="54"/>
        <v>3.7599190054153596E-3</v>
      </c>
      <c r="W74" s="2"/>
      <c r="X74" s="6">
        <f t="shared" si="55"/>
        <v>-1017.27</v>
      </c>
      <c r="Y74" s="2"/>
      <c r="Z74" s="7">
        <f t="shared" si="56"/>
        <v>-1</v>
      </c>
    </row>
    <row r="75" spans="1:26" s="24" customFormat="1" hidden="1" outlineLevel="2" x14ac:dyDescent="0.25">
      <c r="A75" s="25"/>
      <c r="B75" s="11" t="str">
        <f>CONCATENATE("          ", "6235", " - ", "COVID-19 EXPENSES")</f>
        <v xml:space="preserve">          6235 - COVID-19 EXPENSES</v>
      </c>
      <c r="C75" s="11"/>
      <c r="D75" s="6"/>
      <c r="E75" s="2"/>
      <c r="F75" s="7">
        <f t="shared" si="49"/>
        <v>0</v>
      </c>
      <c r="G75" s="2"/>
      <c r="H75" s="6"/>
      <c r="I75" s="2"/>
      <c r="J75" s="7">
        <f t="shared" si="50"/>
        <v>0</v>
      </c>
      <c r="K75" s="2"/>
      <c r="L75" s="6">
        <f t="shared" si="51"/>
        <v>0</v>
      </c>
      <c r="M75" s="2"/>
      <c r="N75" s="7">
        <f t="shared" si="52"/>
        <v>0</v>
      </c>
      <c r="O75" s="11"/>
      <c r="P75" s="6">
        <v>310.91000000000003</v>
      </c>
      <c r="Q75" s="2"/>
      <c r="R75" s="7">
        <f t="shared" si="53"/>
        <v>4.2258760731361585E-3</v>
      </c>
      <c r="S75" s="2"/>
      <c r="T75" s="6"/>
      <c r="U75" s="2"/>
      <c r="V75" s="7">
        <f t="shared" si="54"/>
        <v>0</v>
      </c>
      <c r="W75" s="2"/>
      <c r="X75" s="6">
        <f t="shared" si="55"/>
        <v>310.91000000000003</v>
      </c>
      <c r="Y75" s="2"/>
      <c r="Z75" s="7">
        <f t="shared" si="56"/>
        <v>0</v>
      </c>
    </row>
    <row r="76" spans="1:26" s="24" customFormat="1" hidden="1" outlineLevel="2" x14ac:dyDescent="0.25">
      <c r="A76" s="25"/>
      <c r="B76" s="11" t="str">
        <f>CONCATENATE("          ", "6241", " - ", "OFFICE EXPENSE")</f>
        <v xml:space="preserve">          6241 - OFFICE EXPENSE</v>
      </c>
      <c r="C76" s="11"/>
      <c r="D76" s="6"/>
      <c r="E76" s="2"/>
      <c r="F76" s="7">
        <f t="shared" si="49"/>
        <v>0</v>
      </c>
      <c r="G76" s="2"/>
      <c r="H76" s="6"/>
      <c r="I76" s="2"/>
      <c r="J76" s="7">
        <f t="shared" si="50"/>
        <v>0</v>
      </c>
      <c r="K76" s="2"/>
      <c r="L76" s="6">
        <f t="shared" si="51"/>
        <v>0</v>
      </c>
      <c r="M76" s="2"/>
      <c r="N76" s="7">
        <f t="shared" si="52"/>
        <v>0</v>
      </c>
      <c r="O76" s="11"/>
      <c r="P76" s="6">
        <v>4596.8599999999997</v>
      </c>
      <c r="Q76" s="2"/>
      <c r="R76" s="7">
        <f t="shared" si="53"/>
        <v>6.2480334133854426E-2</v>
      </c>
      <c r="S76" s="2"/>
      <c r="T76" s="6">
        <v>115.02</v>
      </c>
      <c r="U76" s="2"/>
      <c r="V76" s="7">
        <f t="shared" si="54"/>
        <v>4.2512399264981241E-4</v>
      </c>
      <c r="W76" s="2"/>
      <c r="X76" s="6">
        <f t="shared" si="55"/>
        <v>4481.8399999999992</v>
      </c>
      <c r="Y76" s="2"/>
      <c r="Z76" s="7">
        <f t="shared" si="56"/>
        <v>38.965745087810809</v>
      </c>
    </row>
    <row r="77" spans="1:26" s="24" customFormat="1" hidden="1" outlineLevel="2" x14ac:dyDescent="0.25">
      <c r="A77" s="25"/>
      <c r="B77" s="11" t="str">
        <f>CONCATENATE("          ", "6243", " - ", "PAPER SUPPLIES")</f>
        <v xml:space="preserve">          6243 - PAPER SUPPLIES</v>
      </c>
      <c r="C77" s="11"/>
      <c r="D77" s="6">
        <v>1108.5999999999999</v>
      </c>
      <c r="E77" s="2"/>
      <c r="F77" s="7">
        <f t="shared" si="49"/>
        <v>0.69378559359158887</v>
      </c>
      <c r="G77" s="2"/>
      <c r="H77" s="6">
        <v>1423.15</v>
      </c>
      <c r="I77" s="2"/>
      <c r="J77" s="7">
        <f t="shared" si="50"/>
        <v>3.4656328496651005E-2</v>
      </c>
      <c r="K77" s="2"/>
      <c r="L77" s="6">
        <f t="shared" si="51"/>
        <v>-314.55000000000018</v>
      </c>
      <c r="M77" s="2"/>
      <c r="N77" s="7">
        <f t="shared" si="52"/>
        <v>-0.2210237852650811</v>
      </c>
      <c r="O77" s="11"/>
      <c r="P77" s="6">
        <v>4682.3</v>
      </c>
      <c r="Q77" s="2"/>
      <c r="R77" s="7">
        <f t="shared" si="53"/>
        <v>6.3641631138417656E-2</v>
      </c>
      <c r="S77" s="2"/>
      <c r="T77" s="6">
        <v>6329.48</v>
      </c>
      <c r="U77" s="2"/>
      <c r="V77" s="7">
        <f t="shared" si="54"/>
        <v>2.339431237173652E-2</v>
      </c>
      <c r="W77" s="2"/>
      <c r="X77" s="6">
        <f t="shared" si="55"/>
        <v>-1647.1799999999994</v>
      </c>
      <c r="Y77" s="2"/>
      <c r="Z77" s="7">
        <f t="shared" si="56"/>
        <v>-0.26023938775381222</v>
      </c>
    </row>
    <row r="78" spans="1:26" s="24" customFormat="1" hidden="1" outlineLevel="2" x14ac:dyDescent="0.25">
      <c r="A78" s="25"/>
      <c r="B78" s="11" t="str">
        <f>CONCATENATE("          ", "6245", " - ", "PRINTING")</f>
        <v xml:space="preserve">          6245 - PRINTING</v>
      </c>
      <c r="C78" s="11"/>
      <c r="D78" s="6">
        <v>93.72</v>
      </c>
      <c r="E78" s="2"/>
      <c r="F78" s="7">
        <f t="shared" si="49"/>
        <v>5.8651980724701167E-2</v>
      </c>
      <c r="G78" s="2"/>
      <c r="H78" s="6">
        <v>214.98</v>
      </c>
      <c r="I78" s="2"/>
      <c r="J78" s="7">
        <f t="shared" si="50"/>
        <v>5.2351596811369373E-3</v>
      </c>
      <c r="K78" s="2"/>
      <c r="L78" s="6">
        <f t="shared" si="51"/>
        <v>-121.25999999999999</v>
      </c>
      <c r="M78" s="2"/>
      <c r="N78" s="7">
        <f t="shared" si="52"/>
        <v>-0.56405246999720904</v>
      </c>
      <c r="O78" s="11"/>
      <c r="P78" s="6">
        <v>439.61</v>
      </c>
      <c r="Q78" s="2"/>
      <c r="R78" s="7">
        <f t="shared" si="53"/>
        <v>5.9751612380154594E-3</v>
      </c>
      <c r="S78" s="2"/>
      <c r="T78" s="6">
        <v>464.42</v>
      </c>
      <c r="U78" s="2"/>
      <c r="V78" s="7">
        <f t="shared" si="54"/>
        <v>1.7165369906661963E-3</v>
      </c>
      <c r="W78" s="2"/>
      <c r="X78" s="6">
        <f t="shared" si="55"/>
        <v>-24.810000000000002</v>
      </c>
      <c r="Y78" s="2"/>
      <c r="Z78" s="7">
        <f t="shared" si="56"/>
        <v>-5.3421471943499423E-2</v>
      </c>
    </row>
    <row r="79" spans="1:26" s="24" customFormat="1" hidden="1" outlineLevel="2" x14ac:dyDescent="0.25">
      <c r="A79" s="25"/>
      <c r="B79" s="11" t="str">
        <f>CONCATENATE("          ", "6247", " - ", "STORE SUPPLIES")</f>
        <v xml:space="preserve">          6247 - STORE SUPPLIES</v>
      </c>
      <c r="C79" s="11"/>
      <c r="D79" s="6">
        <v>1159.74</v>
      </c>
      <c r="E79" s="2"/>
      <c r="F79" s="7">
        <f t="shared" si="49"/>
        <v>0.72579009950560103</v>
      </c>
      <c r="G79" s="2"/>
      <c r="H79" s="6">
        <v>190.23</v>
      </c>
      <c r="I79" s="2"/>
      <c r="J79" s="7">
        <f t="shared" si="50"/>
        <v>4.6324515124322244E-3</v>
      </c>
      <c r="K79" s="2"/>
      <c r="L79" s="6">
        <f t="shared" si="51"/>
        <v>969.51</v>
      </c>
      <c r="M79" s="2"/>
      <c r="N79" s="7">
        <f t="shared" si="52"/>
        <v>5.0965147453083111</v>
      </c>
      <c r="O79" s="11"/>
      <c r="P79" s="6">
        <v>13843.93</v>
      </c>
      <c r="Q79" s="2"/>
      <c r="R79" s="7">
        <f t="shared" si="53"/>
        <v>0.18816613343144914</v>
      </c>
      <c r="S79" s="2"/>
      <c r="T79" s="6">
        <v>11232.17</v>
      </c>
      <c r="U79" s="2"/>
      <c r="V79" s="7">
        <f t="shared" si="54"/>
        <v>4.1515083955150786E-2</v>
      </c>
      <c r="W79" s="2"/>
      <c r="X79" s="6">
        <f t="shared" si="55"/>
        <v>2611.7600000000002</v>
      </c>
      <c r="Y79" s="2"/>
      <c r="Z79" s="7">
        <f t="shared" si="56"/>
        <v>0.2325249706868753</v>
      </c>
    </row>
    <row r="80" spans="1:26" s="26" customFormat="1" outlineLevel="1" collapsed="1" x14ac:dyDescent="0.25">
      <c r="A80" s="27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SUM(OSRRefD22_12x_0)</f>
        <v>214.55</v>
      </c>
      <c r="E80" s="1"/>
      <c r="F80" s="5">
        <f t="shared" ref="F80:F85" si="57">IF(D$12=0,0,D80/D$12)</f>
        <v>0.13426997934789411</v>
      </c>
      <c r="G80" s="1"/>
      <c r="H80" s="1">
        <f>SUM(OSRRefH22_12x_0)</f>
        <v>194.7</v>
      </c>
      <c r="I80" s="1"/>
      <c r="J80" s="5">
        <f t="shared" ref="J80:J85" si="58">IF(H$12=0,0,H80/H$12)</f>
        <v>4.7413042604770757E-3</v>
      </c>
      <c r="K80" s="1"/>
      <c r="L80" s="1">
        <f t="shared" ref="L80:L85" si="59">+D80-H80</f>
        <v>19.850000000000023</v>
      </c>
      <c r="M80" s="1"/>
      <c r="N80" s="5">
        <f t="shared" ref="N80:N85" si="60">IF(H80=0,0,L80/H80)</f>
        <v>0.10195172059578851</v>
      </c>
      <c r="O80" s="13"/>
      <c r="P80" s="1">
        <f>SUM(OSRRefP22_12x_0)</f>
        <v>1073.7</v>
      </c>
      <c r="Q80" s="1"/>
      <c r="R80" s="5">
        <f t="shared" ref="R80:R85" si="61">IF(P$12=0,0,P80/P$12)</f>
        <v>1.4593686725181864E-2</v>
      </c>
      <c r="S80" s="1"/>
      <c r="T80" s="1">
        <f>SUM(OSRRefT22_12x_0)</f>
        <v>1029.6500000000001</v>
      </c>
      <c r="U80" s="1"/>
      <c r="V80" s="5">
        <f t="shared" ref="V80:V85" si="62">IF(T$12=0,0,T80/T$12)</f>
        <v>3.8056765695694611E-3</v>
      </c>
      <c r="W80" s="1"/>
      <c r="X80" s="1">
        <f t="shared" ref="X80:X85" si="63">+P80-T80</f>
        <v>44.049999999999955</v>
      </c>
      <c r="Y80" s="1"/>
      <c r="Z80" s="5">
        <f t="shared" ref="Z80:Z85" si="64">IF(T80=0,0,X80/T80)</f>
        <v>4.2781527703588548E-2</v>
      </c>
    </row>
    <row r="81" spans="1:26" s="24" customFormat="1" hidden="1" outlineLevel="2" x14ac:dyDescent="0.25">
      <c r="A81" s="25"/>
      <c r="B81" s="11" t="str">
        <f>CONCATENATE("          ", "6309", " - ", "TELEPHONE")</f>
        <v xml:space="preserve">          6309 - TELEPHONE</v>
      </c>
      <c r="C81" s="11"/>
      <c r="D81" s="6">
        <v>214.55</v>
      </c>
      <c r="E81" s="2"/>
      <c r="F81" s="7">
        <f t="shared" si="57"/>
        <v>0.13426997934789411</v>
      </c>
      <c r="G81" s="2"/>
      <c r="H81" s="6">
        <v>194.7</v>
      </c>
      <c r="I81" s="2"/>
      <c r="J81" s="7">
        <f t="shared" si="58"/>
        <v>4.7413042604770757E-3</v>
      </c>
      <c r="K81" s="2"/>
      <c r="L81" s="6">
        <f t="shared" si="59"/>
        <v>19.850000000000023</v>
      </c>
      <c r="M81" s="2"/>
      <c r="N81" s="7">
        <f t="shared" si="60"/>
        <v>0.10195172059578851</v>
      </c>
      <c r="O81" s="11"/>
      <c r="P81" s="6">
        <v>1073.7</v>
      </c>
      <c r="Q81" s="2"/>
      <c r="R81" s="7">
        <f t="shared" si="61"/>
        <v>1.4593686725181864E-2</v>
      </c>
      <c r="S81" s="2"/>
      <c r="T81" s="6">
        <v>1029.6500000000001</v>
      </c>
      <c r="U81" s="2"/>
      <c r="V81" s="7">
        <f t="shared" si="62"/>
        <v>3.8056765695694611E-3</v>
      </c>
      <c r="W81" s="2"/>
      <c r="X81" s="6">
        <f t="shared" si="63"/>
        <v>44.049999999999955</v>
      </c>
      <c r="Y81" s="2"/>
      <c r="Z81" s="7">
        <f t="shared" si="64"/>
        <v>4.2781527703588548E-2</v>
      </c>
    </row>
    <row r="82" spans="1:26" s="26" customFormat="1" outlineLevel="1" collapsed="1" x14ac:dyDescent="0.25">
      <c r="A82" s="27"/>
      <c r="B82" s="13" t="str">
        <f>CONCATENATE("     ","Training                                          ")</f>
        <v xml:space="preserve">     Training                                          </v>
      </c>
      <c r="C82" s="13"/>
      <c r="D82" s="1">
        <f>SUM(OSRRefD22_13x_0)</f>
        <v>0</v>
      </c>
      <c r="E82" s="1"/>
      <c r="F82" s="5">
        <f t="shared" si="57"/>
        <v>0</v>
      </c>
      <c r="G82" s="1"/>
      <c r="H82" s="1">
        <f>SUM(OSRRefH22_13x_0)</f>
        <v>0</v>
      </c>
      <c r="I82" s="1"/>
      <c r="J82" s="5">
        <f t="shared" si="58"/>
        <v>0</v>
      </c>
      <c r="K82" s="1"/>
      <c r="L82" s="1">
        <f t="shared" si="59"/>
        <v>0</v>
      </c>
      <c r="M82" s="1"/>
      <c r="N82" s="5">
        <f t="shared" si="60"/>
        <v>0</v>
      </c>
      <c r="O82" s="13"/>
      <c r="P82" s="1">
        <f>SUM(OSRRefP22_13x_0)</f>
        <v>0</v>
      </c>
      <c r="Q82" s="1"/>
      <c r="R82" s="5">
        <f t="shared" si="61"/>
        <v>0</v>
      </c>
      <c r="S82" s="1"/>
      <c r="T82" s="1">
        <f>SUM(OSRRefT22_13x_0)</f>
        <v>97.71</v>
      </c>
      <c r="U82" s="1"/>
      <c r="V82" s="5">
        <f t="shared" si="62"/>
        <v>3.6114471676067787E-4</v>
      </c>
      <c r="W82" s="1"/>
      <c r="X82" s="1">
        <f t="shared" si="63"/>
        <v>-97.71</v>
      </c>
      <c r="Y82" s="1"/>
      <c r="Z82" s="5">
        <f t="shared" si="64"/>
        <v>-1</v>
      </c>
    </row>
    <row r="83" spans="1:26" s="24" customFormat="1" hidden="1" outlineLevel="2" x14ac:dyDescent="0.25">
      <c r="A83" s="25"/>
      <c r="B83" s="11" t="str">
        <f>CONCATENATE("          ", "6376", " - ", "TRAINING")</f>
        <v xml:space="preserve">          6376 - TRAINING</v>
      </c>
      <c r="C83" s="11"/>
      <c r="D83" s="6"/>
      <c r="E83" s="2"/>
      <c r="F83" s="7">
        <f t="shared" si="57"/>
        <v>0</v>
      </c>
      <c r="G83" s="2"/>
      <c r="H83" s="6"/>
      <c r="I83" s="2"/>
      <c r="J83" s="7">
        <f t="shared" si="58"/>
        <v>0</v>
      </c>
      <c r="K83" s="2"/>
      <c r="L83" s="6">
        <f t="shared" si="59"/>
        <v>0</v>
      </c>
      <c r="M83" s="2"/>
      <c r="N83" s="7">
        <f t="shared" si="60"/>
        <v>0</v>
      </c>
      <c r="O83" s="11"/>
      <c r="P83" s="6"/>
      <c r="Q83" s="2"/>
      <c r="R83" s="7">
        <f t="shared" si="61"/>
        <v>0</v>
      </c>
      <c r="S83" s="2"/>
      <c r="T83" s="6">
        <v>97.71</v>
      </c>
      <c r="U83" s="2"/>
      <c r="V83" s="7">
        <f t="shared" si="62"/>
        <v>3.6114471676067787E-4</v>
      </c>
      <c r="W83" s="2"/>
      <c r="X83" s="6">
        <f t="shared" si="63"/>
        <v>-97.71</v>
      </c>
      <c r="Y83" s="2"/>
      <c r="Z83" s="7">
        <f t="shared" si="64"/>
        <v>-1</v>
      </c>
    </row>
    <row r="84" spans="1:26" s="26" customFormat="1" outlineLevel="1" collapsed="1" x14ac:dyDescent="0.25">
      <c r="A84" s="27"/>
      <c r="B84" s="13" t="str">
        <f>CONCATENATE("     ","Utilities                                         ")</f>
        <v xml:space="preserve">     Utilities                                         </v>
      </c>
      <c r="C84" s="13"/>
      <c r="D84" s="1">
        <f>SUM(OSRRefD22_14x_0)</f>
        <v>0</v>
      </c>
      <c r="E84" s="1"/>
      <c r="F84" s="5">
        <f t="shared" si="57"/>
        <v>0</v>
      </c>
      <c r="G84" s="1"/>
      <c r="H84" s="1">
        <f>SUM(OSRRefH22_14x_0)</f>
        <v>0</v>
      </c>
      <c r="I84" s="1"/>
      <c r="J84" s="5">
        <f t="shared" si="58"/>
        <v>0</v>
      </c>
      <c r="K84" s="1"/>
      <c r="L84" s="1">
        <f t="shared" si="59"/>
        <v>0</v>
      </c>
      <c r="M84" s="1"/>
      <c r="N84" s="5">
        <f t="shared" si="60"/>
        <v>0</v>
      </c>
      <c r="O84" s="13"/>
      <c r="P84" s="1">
        <f>SUM(OSRRefP22_14x_0)</f>
        <v>15.02</v>
      </c>
      <c r="Q84" s="1"/>
      <c r="R84" s="5">
        <f t="shared" si="61"/>
        <v>2.0415122903253384E-4</v>
      </c>
      <c r="S84" s="1"/>
      <c r="T84" s="1">
        <f>SUM(OSRRefT22_14x_0)</f>
        <v>0</v>
      </c>
      <c r="U84" s="1"/>
      <c r="V84" s="5">
        <f t="shared" si="62"/>
        <v>0</v>
      </c>
      <c r="W84" s="1"/>
      <c r="X84" s="1">
        <f t="shared" si="63"/>
        <v>15.02</v>
      </c>
      <c r="Y84" s="1"/>
      <c r="Z84" s="5">
        <f t="shared" si="64"/>
        <v>0</v>
      </c>
    </row>
    <row r="85" spans="1:26" s="24" customFormat="1" hidden="1" outlineLevel="2" x14ac:dyDescent="0.25">
      <c r="A85" s="25"/>
      <c r="B85" s="11" t="str">
        <f>CONCATENATE("          ", "6274", " - ", "UTILITIES")</f>
        <v xml:space="preserve">          6274 - UTILITIES</v>
      </c>
      <c r="C85" s="11"/>
      <c r="D85" s="6"/>
      <c r="E85" s="2"/>
      <c r="F85" s="7">
        <f t="shared" si="57"/>
        <v>0</v>
      </c>
      <c r="G85" s="2"/>
      <c r="H85" s="6"/>
      <c r="I85" s="2"/>
      <c r="J85" s="7">
        <f t="shared" si="58"/>
        <v>0</v>
      </c>
      <c r="K85" s="2"/>
      <c r="L85" s="6">
        <f t="shared" si="59"/>
        <v>0</v>
      </c>
      <c r="M85" s="2"/>
      <c r="N85" s="7">
        <f t="shared" si="60"/>
        <v>0</v>
      </c>
      <c r="O85" s="11"/>
      <c r="P85" s="6">
        <v>15.02</v>
      </c>
      <c r="Q85" s="2"/>
      <c r="R85" s="7">
        <f t="shared" si="61"/>
        <v>2.0415122903253384E-4</v>
      </c>
      <c r="S85" s="2"/>
      <c r="T85" s="6"/>
      <c r="U85" s="2"/>
      <c r="V85" s="7">
        <f t="shared" si="62"/>
        <v>0</v>
      </c>
      <c r="W85" s="2"/>
      <c r="X85" s="6">
        <f t="shared" si="63"/>
        <v>15.02</v>
      </c>
      <c r="Y85" s="2"/>
      <c r="Z85" s="7">
        <f t="shared" si="64"/>
        <v>0</v>
      </c>
    </row>
    <row r="86" spans="1:26" s="53" customFormat="1" x14ac:dyDescent="0.25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collapsed="1" x14ac:dyDescent="0.25">
      <c r="A87" s="10"/>
      <c r="B87" s="29" t="s">
        <v>0</v>
      </c>
      <c r="C87" s="10"/>
      <c r="D87" s="4">
        <f>SUM(OSRRefD25x_0)</f>
        <v>6782</v>
      </c>
      <c r="E87" s="4"/>
      <c r="F87" s="12">
        <f t="shared" ref="F87:F93" si="65">IF(D$12=0,0,D87/D$12)</f>
        <v>4.2443206708805308</v>
      </c>
      <c r="G87" s="4"/>
      <c r="H87" s="4">
        <f>SUM(OSRRefH25x_0)</f>
        <v>14574</v>
      </c>
      <c r="I87" s="4"/>
      <c r="J87" s="12">
        <f t="shared" ref="J87:J93" si="66">IF(H$12=0,0,H87/H$12)</f>
        <v>0.35490379194757526</v>
      </c>
      <c r="K87" s="4"/>
      <c r="L87" s="4">
        <f t="shared" ref="L87:L93" si="67">+D87-H87</f>
        <v>-7792</v>
      </c>
      <c r="M87" s="4"/>
      <c r="N87" s="12">
        <f t="shared" ref="N87:N93" si="68">IF(H87=0,0,L87/H87)</f>
        <v>-0.5346507479072321</v>
      </c>
      <c r="O87" s="10"/>
      <c r="P87" s="4">
        <f>SUM(OSRRefP25x_0)</f>
        <v>33910</v>
      </c>
      <c r="Q87" s="4"/>
      <c r="R87" s="12">
        <f t="shared" ref="R87:R93" si="69">IF(P$12=0,0,P87/P$12)</f>
        <v>0.46090334064535438</v>
      </c>
      <c r="S87" s="4"/>
      <c r="T87" s="4">
        <f>SUM(OSRRefT25x_0)</f>
        <v>152078.40000000002</v>
      </c>
      <c r="U87" s="4"/>
      <c r="V87" s="12">
        <f t="shared" ref="V87:V93" si="70">IF(T$12=0,0,T87/T$12)</f>
        <v>0.56209508436615585</v>
      </c>
      <c r="W87" s="4"/>
      <c r="X87" s="4">
        <f t="shared" ref="X87:X93" si="71">+P87-T87</f>
        <v>-118168.40000000002</v>
      </c>
      <c r="Y87" s="4"/>
      <c r="Z87" s="12">
        <f t="shared" ref="Z87:Z93" si="72">IF(T87=0,0,X87/T87)</f>
        <v>-0.77702290397584406</v>
      </c>
    </row>
    <row r="88" spans="1:26" s="24" customFormat="1" hidden="1" outlineLevel="1" x14ac:dyDescent="0.25">
      <c r="A88" s="44"/>
      <c r="B88" s="11" t="str">
        <f>CONCATENATE("          ", "4098", " - ", "TAXABLE SALES-GRAD RENTALS")</f>
        <v xml:space="preserve">          4098 - TAXABLE SALES-GRAD RENTALS</v>
      </c>
      <c r="C88" s="11"/>
      <c r="D88" s="2">
        <f t="shared" ref="D88:D90" si="73">0</f>
        <v>0</v>
      </c>
      <c r="E88" s="2"/>
      <c r="F88" s="19">
        <f t="shared" si="65"/>
        <v>0</v>
      </c>
      <c r="G88" s="2"/>
      <c r="H88" s="2">
        <f t="shared" ref="H88:H90" si="74">0</f>
        <v>0</v>
      </c>
      <c r="I88" s="2"/>
      <c r="J88" s="19">
        <f t="shared" si="66"/>
        <v>0</v>
      </c>
      <c r="K88" s="2"/>
      <c r="L88" s="2">
        <f t="shared" si="67"/>
        <v>0</v>
      </c>
      <c r="M88" s="2"/>
      <c r="N88" s="19">
        <f t="shared" si="68"/>
        <v>0</v>
      </c>
      <c r="O88" s="11"/>
      <c r="P88" s="2">
        <f t="shared" ref="P88:P90" si="75">0</f>
        <v>0</v>
      </c>
      <c r="Q88" s="2"/>
      <c r="R88" s="19">
        <f t="shared" si="69"/>
        <v>0</v>
      </c>
      <c r="S88" s="2"/>
      <c r="T88" s="2">
        <f>--1626.85</f>
        <v>1626.85</v>
      </c>
      <c r="U88" s="2"/>
      <c r="V88" s="19">
        <f t="shared" si="70"/>
        <v>6.0129800681824669E-3</v>
      </c>
      <c r="W88" s="2"/>
      <c r="X88" s="2">
        <f t="shared" si="71"/>
        <v>-1626.85</v>
      </c>
      <c r="Y88" s="2"/>
      <c r="Z88" s="19">
        <f t="shared" si="72"/>
        <v>-1</v>
      </c>
    </row>
    <row r="89" spans="1:26" s="24" customFormat="1" hidden="1" outlineLevel="1" x14ac:dyDescent="0.25">
      <c r="A89" s="44"/>
      <c r="B89" s="11" t="str">
        <f>CONCATENATE("          ", "4197", " - ", "NON-TAXABLE SALES-RETURNED CHE")</f>
        <v xml:space="preserve">          4197 - NON-TAXABLE SALES-RETURNED CHE</v>
      </c>
      <c r="C89" s="11"/>
      <c r="D89" s="2">
        <f t="shared" si="73"/>
        <v>0</v>
      </c>
      <c r="E89" s="2"/>
      <c r="F89" s="19">
        <f t="shared" si="65"/>
        <v>0</v>
      </c>
      <c r="G89" s="2"/>
      <c r="H89" s="2">
        <f t="shared" si="74"/>
        <v>0</v>
      </c>
      <c r="I89" s="2"/>
      <c r="J89" s="19">
        <f t="shared" si="66"/>
        <v>0</v>
      </c>
      <c r="K89" s="2"/>
      <c r="L89" s="2">
        <f t="shared" si="67"/>
        <v>0</v>
      </c>
      <c r="M89" s="2"/>
      <c r="N89" s="19">
        <f t="shared" si="68"/>
        <v>0</v>
      </c>
      <c r="O89" s="11"/>
      <c r="P89" s="2">
        <f t="shared" si="75"/>
        <v>0</v>
      </c>
      <c r="Q89" s="2"/>
      <c r="R89" s="19">
        <f t="shared" si="69"/>
        <v>0</v>
      </c>
      <c r="S89" s="2"/>
      <c r="T89" s="2">
        <f>--30</f>
        <v>30</v>
      </c>
      <c r="U89" s="2"/>
      <c r="V89" s="19">
        <f t="shared" si="70"/>
        <v>1.1088262719087439E-4</v>
      </c>
      <c r="W89" s="2"/>
      <c r="X89" s="2">
        <f t="shared" si="71"/>
        <v>-30</v>
      </c>
      <c r="Y89" s="2"/>
      <c r="Z89" s="19">
        <f t="shared" si="72"/>
        <v>-1</v>
      </c>
    </row>
    <row r="90" spans="1:26" s="24" customFormat="1" hidden="1" outlineLevel="1" x14ac:dyDescent="0.25">
      <c r="A90" s="44"/>
      <c r="B90" s="11" t="str">
        <f>CONCATENATE("          ", "4198", " - ", "NON-TAXABLE SALES-GRAD RENTALS")</f>
        <v xml:space="preserve">          4198 - NON-TAXABLE SALES-GRAD RENTALS</v>
      </c>
      <c r="C90" s="11"/>
      <c r="D90" s="2">
        <f t="shared" si="73"/>
        <v>0</v>
      </c>
      <c r="E90" s="2"/>
      <c r="F90" s="19">
        <f t="shared" si="65"/>
        <v>0</v>
      </c>
      <c r="G90" s="2"/>
      <c r="H90" s="2">
        <f t="shared" si="74"/>
        <v>0</v>
      </c>
      <c r="I90" s="2"/>
      <c r="J90" s="19">
        <f t="shared" si="66"/>
        <v>0</v>
      </c>
      <c r="K90" s="2"/>
      <c r="L90" s="2">
        <f t="shared" si="67"/>
        <v>0</v>
      </c>
      <c r="M90" s="2"/>
      <c r="N90" s="19">
        <f t="shared" si="68"/>
        <v>0</v>
      </c>
      <c r="O90" s="11"/>
      <c r="P90" s="2">
        <f t="shared" si="75"/>
        <v>0</v>
      </c>
      <c r="Q90" s="2"/>
      <c r="R90" s="19">
        <f t="shared" si="69"/>
        <v>0</v>
      </c>
      <c r="S90" s="2"/>
      <c r="T90" s="2">
        <f>--495</f>
        <v>495</v>
      </c>
      <c r="U90" s="2"/>
      <c r="V90" s="19">
        <f t="shared" si="70"/>
        <v>1.8295633486494275E-3</v>
      </c>
      <c r="W90" s="2"/>
      <c r="X90" s="2">
        <f t="shared" si="71"/>
        <v>-495</v>
      </c>
      <c r="Y90" s="2"/>
      <c r="Z90" s="19">
        <f t="shared" si="72"/>
        <v>-1</v>
      </c>
    </row>
    <row r="91" spans="1:26" s="24" customFormat="1" hidden="1" outlineLevel="1" x14ac:dyDescent="0.25">
      <c r="A91" s="44"/>
      <c r="B91" s="11" t="str">
        <f>CONCATENATE("          ", "9150", " - ", "MISC. INCOME")</f>
        <v xml:space="preserve">          9150 - MISC. INCOME</v>
      </c>
      <c r="C91" s="11"/>
      <c r="D91" s="2">
        <f>--6782</f>
        <v>6782</v>
      </c>
      <c r="E91" s="2"/>
      <c r="F91" s="19">
        <f t="shared" si="65"/>
        <v>4.2443206708805308</v>
      </c>
      <c r="G91" s="2"/>
      <c r="H91" s="2">
        <f>--13269</f>
        <v>13269</v>
      </c>
      <c r="I91" s="2"/>
      <c r="J91" s="19">
        <f t="shared" si="66"/>
        <v>0.32312463396132679</v>
      </c>
      <c r="K91" s="2"/>
      <c r="L91" s="2">
        <f t="shared" si="67"/>
        <v>-6487</v>
      </c>
      <c r="M91" s="2"/>
      <c r="N91" s="19">
        <f t="shared" si="68"/>
        <v>-0.48888386464692141</v>
      </c>
      <c r="O91" s="11"/>
      <c r="P91" s="2">
        <f>--33910</f>
        <v>33910</v>
      </c>
      <c r="Q91" s="2"/>
      <c r="R91" s="19">
        <f t="shared" si="69"/>
        <v>0.46090334064535438</v>
      </c>
      <c r="S91" s="2"/>
      <c r="T91" s="2">
        <f>--66345</f>
        <v>66345</v>
      </c>
      <c r="U91" s="2"/>
      <c r="V91" s="19">
        <f t="shared" si="70"/>
        <v>0.24521693003261871</v>
      </c>
      <c r="W91" s="2"/>
      <c r="X91" s="2">
        <f t="shared" si="71"/>
        <v>-32435</v>
      </c>
      <c r="Y91" s="2"/>
      <c r="Z91" s="19">
        <f t="shared" si="72"/>
        <v>-0.48888386464692141</v>
      </c>
    </row>
    <row r="92" spans="1:26" s="24" customFormat="1" hidden="1" outlineLevel="1" x14ac:dyDescent="0.25">
      <c r="A92" s="44"/>
      <c r="B92" s="11" t="str">
        <f>CONCATENATE("          ", "9160", " - ", "MISC. INCOME")</f>
        <v xml:space="preserve">          9160 - MISC. INCOME</v>
      </c>
      <c r="C92" s="11"/>
      <c r="D92" s="2">
        <f t="shared" ref="D92:D93" si="76">0</f>
        <v>0</v>
      </c>
      <c r="E92" s="2"/>
      <c r="F92" s="19">
        <f t="shared" si="65"/>
        <v>0</v>
      </c>
      <c r="G92" s="2"/>
      <c r="H92" s="2">
        <f>--1305</f>
        <v>1305</v>
      </c>
      <c r="I92" s="2"/>
      <c r="J92" s="19">
        <f t="shared" si="66"/>
        <v>3.1779157986248509E-2</v>
      </c>
      <c r="K92" s="2"/>
      <c r="L92" s="2">
        <f t="shared" si="67"/>
        <v>-1305</v>
      </c>
      <c r="M92" s="2"/>
      <c r="N92" s="19">
        <f t="shared" si="68"/>
        <v>-1</v>
      </c>
      <c r="O92" s="11"/>
      <c r="P92" s="2">
        <f t="shared" ref="P92:P93" si="77">0</f>
        <v>0</v>
      </c>
      <c r="Q92" s="2"/>
      <c r="R92" s="19">
        <f t="shared" si="69"/>
        <v>0</v>
      </c>
      <c r="S92" s="2"/>
      <c r="T92" s="2">
        <f>--22475</f>
        <v>22475</v>
      </c>
      <c r="U92" s="2"/>
      <c r="V92" s="19">
        <f t="shared" si="70"/>
        <v>8.3069568203830074E-2</v>
      </c>
      <c r="W92" s="2"/>
      <c r="X92" s="2">
        <f t="shared" si="71"/>
        <v>-22475</v>
      </c>
      <c r="Y92" s="2"/>
      <c r="Z92" s="19">
        <f t="shared" si="72"/>
        <v>-1</v>
      </c>
    </row>
    <row r="93" spans="1:26" s="24" customFormat="1" hidden="1" outlineLevel="1" x14ac:dyDescent="0.25">
      <c r="A93" s="44"/>
      <c r="B93" s="11" t="str">
        <f>CONCATENATE("          ", "9163", " - ", "MISC. INCOME")</f>
        <v xml:space="preserve">          9163 - MISC. INCOME</v>
      </c>
      <c r="C93" s="11"/>
      <c r="D93" s="2">
        <f t="shared" si="76"/>
        <v>0</v>
      </c>
      <c r="E93" s="2"/>
      <c r="F93" s="19">
        <f t="shared" si="65"/>
        <v>0</v>
      </c>
      <c r="G93" s="2"/>
      <c r="H93" s="2">
        <f>0</f>
        <v>0</v>
      </c>
      <c r="I93" s="2"/>
      <c r="J93" s="19">
        <f t="shared" si="66"/>
        <v>0</v>
      </c>
      <c r="K93" s="2"/>
      <c r="L93" s="2">
        <f t="shared" si="67"/>
        <v>0</v>
      </c>
      <c r="M93" s="2"/>
      <c r="N93" s="19">
        <f t="shared" si="68"/>
        <v>0</v>
      </c>
      <c r="O93" s="11"/>
      <c r="P93" s="2">
        <f t="shared" si="77"/>
        <v>0</v>
      </c>
      <c r="Q93" s="2"/>
      <c r="R93" s="19">
        <f t="shared" si="69"/>
        <v>0</v>
      </c>
      <c r="S93" s="2"/>
      <c r="T93" s="2">
        <f>--61106.55</f>
        <v>61106.55</v>
      </c>
      <c r="U93" s="2"/>
      <c r="V93" s="19">
        <f t="shared" si="70"/>
        <v>0.22585516008568421</v>
      </c>
      <c r="W93" s="2"/>
      <c r="X93" s="2">
        <f t="shared" si="71"/>
        <v>-61106.55</v>
      </c>
      <c r="Y93" s="2"/>
      <c r="Z93" s="19">
        <f t="shared" si="72"/>
        <v>-1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8" t="s">
        <v>3</v>
      </c>
      <c r="C95" s="28"/>
      <c r="D95" s="20">
        <f>+D36-D38+D87</f>
        <v>-30800.15</v>
      </c>
      <c r="E95" s="14"/>
      <c r="F95" s="22">
        <f>IF(D$12=0,0,D95/D$12)</f>
        <v>-19.275392702922584</v>
      </c>
      <c r="G95" s="14"/>
      <c r="H95" s="20">
        <f>+H36-H38+H87</f>
        <v>4106.760000000002</v>
      </c>
      <c r="I95" s="14"/>
      <c r="J95" s="22">
        <f>IF(H$12=0,0,H95/H$12)</f>
        <v>0.10000718379433408</v>
      </c>
      <c r="K95" s="15"/>
      <c r="L95" s="20">
        <f>+D95-H95</f>
        <v>-34906.910000000003</v>
      </c>
      <c r="M95" s="15"/>
      <c r="N95" s="22">
        <f>IF(H95=0,0,L95/H95)</f>
        <v>-8.4998660744723296</v>
      </c>
      <c r="O95" s="29"/>
      <c r="P95" s="20">
        <f>+P36-P38+P87</f>
        <v>-52702.8299999999</v>
      </c>
      <c r="Q95" s="14"/>
      <c r="R95" s="22">
        <f>IF(P$12=0,0,P95/P$12)</f>
        <v>-0.71633472157075062</v>
      </c>
      <c r="S95" s="14"/>
      <c r="T95" s="20">
        <f>+T36-T38+T87</f>
        <v>191928.71000000002</v>
      </c>
      <c r="U95" s="14"/>
      <c r="V95" s="22">
        <f>IF(T$12=0,0,T95/T$12)</f>
        <v>0.70938531993851495</v>
      </c>
      <c r="W95" s="15"/>
      <c r="X95" s="20">
        <f>+P95-T95</f>
        <v>-244631.53999999992</v>
      </c>
      <c r="Y95" s="15"/>
      <c r="Z95" s="22">
        <f>IF(T95=0,0,X95/T95)</f>
        <v>-1.2745958642664763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1"/>
      <c r="B97" s="10" t="s">
        <v>13</v>
      </c>
      <c r="C97" s="10"/>
      <c r="D97" s="4">
        <v>-3900.6</v>
      </c>
      <c r="E97" s="4"/>
      <c r="F97" s="12">
        <f>IF(D$12=0,0,D97/D$12)</f>
        <v>-2.4410789160773514</v>
      </c>
      <c r="G97" s="4"/>
      <c r="H97" s="4">
        <v>5548.86</v>
      </c>
      <c r="I97" s="4"/>
      <c r="J97" s="12">
        <f>IF(H$12=0,0,H97/H$12)</f>
        <v>0.13512497975752863</v>
      </c>
      <c r="K97" s="4"/>
      <c r="L97" s="4">
        <f>+D97-H97</f>
        <v>-9449.4599999999991</v>
      </c>
      <c r="M97" s="4"/>
      <c r="N97" s="12">
        <f>IF(H97=0,0,L97/H97)</f>
        <v>-1.7029552016089791</v>
      </c>
      <c r="O97" s="10"/>
      <c r="P97" s="4">
        <v>11690.74</v>
      </c>
      <c r="Q97" s="4"/>
      <c r="R97" s="12">
        <f>IF(P$12=0,0,P97/P$12)</f>
        <v>0.15890006253660482</v>
      </c>
      <c r="S97" s="4"/>
      <c r="T97" s="4">
        <v>28650.080000000002</v>
      </c>
      <c r="U97" s="4"/>
      <c r="V97" s="12">
        <f>IF(T$12=0,0,T97/T$12)</f>
        <v>0.10589320465429089</v>
      </c>
      <c r="W97" s="4"/>
      <c r="X97" s="4">
        <f>+P97-T97</f>
        <v>-16959.340000000004</v>
      </c>
      <c r="Y97" s="4"/>
      <c r="Z97" s="12">
        <f>IF(T97=0,0,X97/T97)</f>
        <v>-0.59194738723242668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8" t="s">
        <v>4</v>
      </c>
      <c r="C99" s="28"/>
      <c r="D99" s="31">
        <f>+D95-D97</f>
        <v>-26899.550000000003</v>
      </c>
      <c r="E99" s="14"/>
      <c r="F99" s="34">
        <f>IF(D$12=0,0,D99/D$12)</f>
        <v>-16.834313786845236</v>
      </c>
      <c r="G99" s="14"/>
      <c r="H99" s="31">
        <f>+H95-H97</f>
        <v>-1442.0999999999976</v>
      </c>
      <c r="I99" s="14"/>
      <c r="J99" s="34">
        <f>IF(H$12=0,0,H99/H$12)</f>
        <v>-3.5117795963194559E-2</v>
      </c>
      <c r="K99" s="15"/>
      <c r="L99" s="31">
        <f>D99-H99</f>
        <v>-25457.450000000004</v>
      </c>
      <c r="M99" s="15"/>
      <c r="N99" s="34">
        <f>IF(H99=0,0,L99/H99)</f>
        <v>17.653040704528152</v>
      </c>
      <c r="O99" s="29"/>
      <c r="P99" s="31">
        <f>+P95-P97</f>
        <v>-64393.569999999898</v>
      </c>
      <c r="Q99" s="14"/>
      <c r="R99" s="34">
        <f>IF(P$12=0,0,P99/P$12)</f>
        <v>-0.87523478410735545</v>
      </c>
      <c r="S99" s="14"/>
      <c r="T99" s="31">
        <f>+T95-T97</f>
        <v>163278.63</v>
      </c>
      <c r="U99" s="14"/>
      <c r="V99" s="34">
        <f>IF(T$12=0,0,T99/T$12)</f>
        <v>0.60349211528422397</v>
      </c>
      <c r="W99" s="15"/>
      <c r="X99" s="31">
        <f>P99-T99</f>
        <v>-227672.1999999999</v>
      </c>
      <c r="Y99" s="15"/>
      <c r="Z99" s="34">
        <f>IF(T99=0,0,X99/T99)</f>
        <v>-1.3943784315191761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8" t="s">
        <v>5</v>
      </c>
      <c r="C102" s="28"/>
      <c r="D102" s="32">
        <f>SUM(D99:D101)</f>
        <v>-26899.550000000003</v>
      </c>
      <c r="E102" s="14"/>
      <c r="F102" s="30">
        <f>IF(D$12=0,0,D102/D$12)</f>
        <v>-16.834313786845236</v>
      </c>
      <c r="G102" s="14"/>
      <c r="H102" s="32">
        <f>SUM(H99:H101)</f>
        <v>-1442.0999999999976</v>
      </c>
      <c r="I102" s="14"/>
      <c r="J102" s="30">
        <f>IF(H$12=0,0,H102/H$12)</f>
        <v>-3.5117795963194559E-2</v>
      </c>
      <c r="K102" s="15"/>
      <c r="L102" s="32">
        <f>+D102-H102</f>
        <v>-25457.450000000004</v>
      </c>
      <c r="M102" s="15"/>
      <c r="N102" s="30">
        <f>IF(H102=0,0,L102/H102)</f>
        <v>17.653040704528152</v>
      </c>
      <c r="O102" s="29"/>
      <c r="P102" s="32">
        <f>SUM(P99:P101)</f>
        <v>-64393.569999999898</v>
      </c>
      <c r="Q102" s="14"/>
      <c r="R102" s="30">
        <f>IF(P$12=0,0,P102/P$12)</f>
        <v>-0.87523478410735545</v>
      </c>
      <c r="S102" s="14"/>
      <c r="T102" s="32">
        <f>SUM(T99:T101)</f>
        <v>163278.63</v>
      </c>
      <c r="U102" s="14"/>
      <c r="V102" s="30">
        <f>IF(T$12=0,0,T102/T$12)</f>
        <v>0.60349211528422397</v>
      </c>
      <c r="W102" s="15"/>
      <c r="X102" s="32">
        <f>+P102-T102</f>
        <v>-227672.1999999999</v>
      </c>
      <c r="Y102" s="15"/>
      <c r="Z102" s="30">
        <f>IF(T102=0,0,X102/T102)</f>
        <v>-1.3943784315191761</v>
      </c>
    </row>
    <row r="103" spans="1:26" ht="15.75" thickTop="1" x14ac:dyDescent="0.25">
      <c r="A103" s="9"/>
      <c r="C103" s="9"/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54">
        <v>44174.685175543978</v>
      </c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A105" s="9"/>
      <c r="B105" s="56" t="s">
        <v>313</v>
      </c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25">
      <c r="A106" s="9"/>
      <c r="B106" s="61"/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25"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","316", " - ", "Campus Copy Center")</f>
        <v>Department 316 - Campus Copy Center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1597.9</v>
      </c>
      <c r="E12" s="4"/>
      <c r="F12" s="12"/>
      <c r="G12" s="4"/>
      <c r="H12" s="4">
        <f>SUM(OSRRefH13x_0)</f>
        <v>38654.22</v>
      </c>
      <c r="I12" s="4"/>
      <c r="J12" s="12"/>
      <c r="K12" s="4"/>
      <c r="L12" s="4">
        <f t="shared" ref="L12:L24" si="0">+D12-H12</f>
        <v>-37056.32</v>
      </c>
      <c r="M12" s="4"/>
      <c r="N12" s="12">
        <f t="shared" ref="N12:N24" si="1">IF(H12=0,0,L12/H12)</f>
        <v>-0.95866169334163254</v>
      </c>
      <c r="O12" s="10"/>
      <c r="P12" s="4">
        <f>SUM(OSRRefP13x_0)</f>
        <v>73572.91</v>
      </c>
      <c r="Q12" s="4"/>
      <c r="R12" s="12"/>
      <c r="S12" s="4"/>
      <c r="T12" s="4">
        <f>SUM(OSRRefT13x_0)</f>
        <v>263246.12</v>
      </c>
      <c r="U12" s="4"/>
      <c r="V12" s="12"/>
      <c r="W12" s="4"/>
      <c r="X12" s="4">
        <f t="shared" ref="X12:X24" si="2">+P12-T12</f>
        <v>-189673.21</v>
      </c>
      <c r="Y12" s="4"/>
      <c r="Z12" s="12">
        <f t="shared" ref="Z12:Z24" si="3">IF(T12=0,0,X12/T12)</f>
        <v>-0.72051664047318154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-8.65</f>
        <v>-8.65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-8.65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--323.05</f>
        <v>323.05</v>
      </c>
      <c r="E14" s="2"/>
      <c r="F14" s="19"/>
      <c r="G14" s="2"/>
      <c r="H14" s="2">
        <f>--194.1</f>
        <v>194.1</v>
      </c>
      <c r="I14" s="2"/>
      <c r="J14" s="19"/>
      <c r="K14" s="2"/>
      <c r="L14" s="2">
        <f t="shared" si="0"/>
        <v>128.95000000000002</v>
      </c>
      <c r="M14" s="2"/>
      <c r="N14" s="19">
        <f t="shared" si="1"/>
        <v>0.66434827408552299</v>
      </c>
      <c r="O14" s="11"/>
      <c r="P14" s="2">
        <f>--60692.37</f>
        <v>60692.37</v>
      </c>
      <c r="Q14" s="2"/>
      <c r="R14" s="19"/>
      <c r="S14" s="2"/>
      <c r="T14" s="2">
        <f>--96968.35</f>
        <v>96968.35</v>
      </c>
      <c r="U14" s="2"/>
      <c r="V14" s="19"/>
      <c r="W14" s="2"/>
      <c r="X14" s="2">
        <f t="shared" si="2"/>
        <v>-36275.980000000003</v>
      </c>
      <c r="Y14" s="2"/>
      <c r="Z14" s="19">
        <f t="shared" si="3"/>
        <v>-0.37410124025004038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--402.24</f>
        <v>402.24</v>
      </c>
      <c r="E15" s="2"/>
      <c r="F15" s="19"/>
      <c r="G15" s="2"/>
      <c r="H15" s="2">
        <f>--7977.42</f>
        <v>7977.42</v>
      </c>
      <c r="I15" s="2"/>
      <c r="J15" s="19"/>
      <c r="K15" s="2"/>
      <c r="L15" s="2">
        <f t="shared" si="0"/>
        <v>-7575.18</v>
      </c>
      <c r="M15" s="2"/>
      <c r="N15" s="19">
        <f t="shared" si="1"/>
        <v>-0.94957768301029655</v>
      </c>
      <c r="O15" s="11"/>
      <c r="P15" s="2">
        <f>--11889.82</f>
        <v>11889.82</v>
      </c>
      <c r="Q15" s="2"/>
      <c r="R15" s="19"/>
      <c r="S15" s="2"/>
      <c r="T15" s="2">
        <f>--39895.64</f>
        <v>39895.64</v>
      </c>
      <c r="U15" s="2"/>
      <c r="V15" s="19"/>
      <c r="W15" s="2"/>
      <c r="X15" s="2">
        <f t="shared" si="2"/>
        <v>-28005.82</v>
      </c>
      <c r="Y15" s="2"/>
      <c r="Z15" s="19">
        <f t="shared" si="3"/>
        <v>-0.70197695788311709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 t="shared" ref="D16:D18" si="4">0</f>
        <v>0</v>
      </c>
      <c r="E16" s="2"/>
      <c r="F16" s="19"/>
      <c r="G16" s="2"/>
      <c r="H16" s="2">
        <f>--3.7</f>
        <v>3.7</v>
      </c>
      <c r="I16" s="2"/>
      <c r="J16" s="19"/>
      <c r="K16" s="2"/>
      <c r="L16" s="2">
        <f t="shared" si="0"/>
        <v>-3.7</v>
      </c>
      <c r="M16" s="2"/>
      <c r="N16" s="19">
        <f t="shared" si="1"/>
        <v>-1</v>
      </c>
      <c r="O16" s="11"/>
      <c r="P16" s="2">
        <f>--7.98</f>
        <v>7.98</v>
      </c>
      <c r="Q16" s="2"/>
      <c r="R16" s="19"/>
      <c r="S16" s="2"/>
      <c r="T16" s="2">
        <f>--101.98</f>
        <v>101.98</v>
      </c>
      <c r="U16" s="2"/>
      <c r="V16" s="19"/>
      <c r="W16" s="2"/>
      <c r="X16" s="2">
        <f t="shared" si="2"/>
        <v>-94</v>
      </c>
      <c r="Y16" s="2"/>
      <c r="Z16" s="19">
        <f t="shared" si="3"/>
        <v>-0.92174936262012153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 t="shared" si="4"/>
        <v>0</v>
      </c>
      <c r="E17" s="2"/>
      <c r="F17" s="19"/>
      <c r="G17" s="2"/>
      <c r="H17" s="2">
        <f>--304.55</f>
        <v>304.55</v>
      </c>
      <c r="I17" s="2"/>
      <c r="J17" s="19"/>
      <c r="K17" s="2"/>
      <c r="L17" s="2">
        <f t="shared" si="0"/>
        <v>-304.55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f>--1678.55</f>
        <v>1678.55</v>
      </c>
      <c r="U17" s="2"/>
      <c r="V17" s="19"/>
      <c r="W17" s="2"/>
      <c r="X17" s="2">
        <f t="shared" si="2"/>
        <v>-1678.55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--511.5</f>
        <v>511.5</v>
      </c>
      <c r="Q18" s="2"/>
      <c r="R18" s="19"/>
      <c r="S18" s="2"/>
      <c r="T18" s="2">
        <f>--152.75</f>
        <v>152.75</v>
      </c>
      <c r="U18" s="2"/>
      <c r="V18" s="19"/>
      <c r="W18" s="2"/>
      <c r="X18" s="2">
        <f t="shared" si="2"/>
        <v>358.75</v>
      </c>
      <c r="Y18" s="2"/>
      <c r="Z18" s="19">
        <f t="shared" si="3"/>
        <v>2.3486088379705401</v>
      </c>
    </row>
    <row r="19" spans="1:26" s="24" customFormat="1" hidden="1" outlineLevel="1" x14ac:dyDescent="0.25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--859.61</f>
        <v>859.61</v>
      </c>
      <c r="E19" s="2"/>
      <c r="F19" s="19"/>
      <c r="G19" s="2"/>
      <c r="H19" s="2">
        <f>--1168.7</f>
        <v>1168.7</v>
      </c>
      <c r="I19" s="2"/>
      <c r="J19" s="19"/>
      <c r="K19" s="2"/>
      <c r="L19" s="2">
        <f t="shared" si="0"/>
        <v>-309.09000000000003</v>
      </c>
      <c r="M19" s="2"/>
      <c r="N19" s="19">
        <f t="shared" si="1"/>
        <v>-0.26447334645332421</v>
      </c>
      <c r="O19" s="11"/>
      <c r="P19" s="2">
        <f>--1110.59</f>
        <v>1110.5899999999999</v>
      </c>
      <c r="Q19" s="2"/>
      <c r="R19" s="19"/>
      <c r="S19" s="2"/>
      <c r="T19" s="2">
        <f>--5517</f>
        <v>5517</v>
      </c>
      <c r="U19" s="2"/>
      <c r="V19" s="19"/>
      <c r="W19" s="2"/>
      <c r="X19" s="2">
        <f t="shared" si="2"/>
        <v>-4406.41</v>
      </c>
      <c r="Y19" s="2"/>
      <c r="Z19" s="19">
        <f t="shared" si="3"/>
        <v>-0.79869675548305241</v>
      </c>
    </row>
    <row r="20" spans="1:26" s="24" customFormat="1" hidden="1" outlineLevel="1" x14ac:dyDescent="0.25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--21.5</f>
        <v>21.5</v>
      </c>
      <c r="E20" s="2"/>
      <c r="F20" s="19"/>
      <c r="G20" s="2"/>
      <c r="H20" s="2">
        <f>--28930.75</f>
        <v>28930.75</v>
      </c>
      <c r="I20" s="2"/>
      <c r="J20" s="19"/>
      <c r="K20" s="2"/>
      <c r="L20" s="2">
        <f t="shared" si="0"/>
        <v>-28909.25</v>
      </c>
      <c r="M20" s="2"/>
      <c r="N20" s="19">
        <f t="shared" si="1"/>
        <v>-0.9992568460893686</v>
      </c>
      <c r="O20" s="11"/>
      <c r="P20" s="2">
        <f>--108</f>
        <v>108</v>
      </c>
      <c r="Q20" s="2"/>
      <c r="R20" s="19"/>
      <c r="S20" s="2"/>
      <c r="T20" s="2">
        <f>--119341.05</f>
        <v>119341.05</v>
      </c>
      <c r="U20" s="2"/>
      <c r="V20" s="19"/>
      <c r="W20" s="2"/>
      <c r="X20" s="2">
        <f t="shared" si="2"/>
        <v>-119233.05</v>
      </c>
      <c r="Y20" s="2"/>
      <c r="Z20" s="19">
        <f t="shared" si="3"/>
        <v>-0.99909503058670923</v>
      </c>
    </row>
    <row r="21" spans="1:26" s="24" customFormat="1" hidden="1" outlineLevel="1" x14ac:dyDescent="0.25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>--5</f>
        <v>5</v>
      </c>
      <c r="E21" s="2"/>
      <c r="F21" s="19"/>
      <c r="G21" s="2"/>
      <c r="H21" s="2">
        <f>--75</f>
        <v>75</v>
      </c>
      <c r="I21" s="2"/>
      <c r="J21" s="19"/>
      <c r="K21" s="2"/>
      <c r="L21" s="2">
        <f t="shared" si="0"/>
        <v>-70</v>
      </c>
      <c r="M21" s="2"/>
      <c r="N21" s="19">
        <f t="shared" si="1"/>
        <v>-0.93333333333333335</v>
      </c>
      <c r="O21" s="11"/>
      <c r="P21" s="2">
        <f>--91.5</f>
        <v>91.5</v>
      </c>
      <c r="Q21" s="2"/>
      <c r="R21" s="19"/>
      <c r="S21" s="2"/>
      <c r="T21" s="2">
        <f>--249.9</f>
        <v>249.9</v>
      </c>
      <c r="U21" s="2"/>
      <c r="V21" s="19"/>
      <c r="W21" s="2"/>
      <c r="X21" s="2">
        <f t="shared" si="2"/>
        <v>-158.4</v>
      </c>
      <c r="Y21" s="2"/>
      <c r="Z21" s="19">
        <f t="shared" si="3"/>
        <v>-0.63385354141656669</v>
      </c>
    </row>
    <row r="22" spans="1:26" s="24" customFormat="1" hidden="1" outlineLevel="1" x14ac:dyDescent="0.25">
      <c r="A22" s="44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>-13.5</f>
        <v>-13.5</v>
      </c>
      <c r="E22" s="2"/>
      <c r="F22" s="19"/>
      <c r="G22" s="2"/>
      <c r="H22" s="2">
        <f t="shared" ref="H22:H24" si="5">0</f>
        <v>0</v>
      </c>
      <c r="I22" s="2"/>
      <c r="J22" s="19"/>
      <c r="K22" s="2"/>
      <c r="L22" s="2">
        <f t="shared" si="0"/>
        <v>-13.5</v>
      </c>
      <c r="M22" s="2"/>
      <c r="N22" s="19">
        <f t="shared" si="1"/>
        <v>0</v>
      </c>
      <c r="O22" s="11"/>
      <c r="P22" s="2">
        <f>-830.2</f>
        <v>-830.2</v>
      </c>
      <c r="Q22" s="2"/>
      <c r="R22" s="19"/>
      <c r="S22" s="2"/>
      <c r="T22" s="2">
        <f>-634.75</f>
        <v>-634.75</v>
      </c>
      <c r="U22" s="2"/>
      <c r="V22" s="19"/>
      <c r="W22" s="2"/>
      <c r="X22" s="2">
        <f t="shared" si="2"/>
        <v>-195.45000000000005</v>
      </c>
      <c r="Y22" s="2"/>
      <c r="Z22" s="19">
        <f t="shared" si="3"/>
        <v>0.30791650256006309</v>
      </c>
    </row>
    <row r="23" spans="1:26" s="24" customFormat="1" hidden="1" outlineLevel="1" x14ac:dyDescent="0.25">
      <c r="A23" s="44"/>
      <c r="B23" s="11" t="str">
        <f>CONCATENATE("          ", "4242", " - ", "SALES RETURN TAXABLE-EVERYDAY")</f>
        <v xml:space="preserve">          4242 - SALES RETURN TAXABLE-EVERYDAY</v>
      </c>
      <c r="C23" s="11"/>
      <c r="D23" s="2">
        <f t="shared" ref="D23:D24" si="6">0</f>
        <v>0</v>
      </c>
      <c r="E23" s="2"/>
      <c r="F23" s="19"/>
      <c r="G23" s="2"/>
      <c r="H23" s="2">
        <f t="shared" si="5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7">0</f>
        <v>0</v>
      </c>
      <c r="Q23" s="2"/>
      <c r="R23" s="19"/>
      <c r="S23" s="2"/>
      <c r="T23" s="2">
        <f>-16.2</f>
        <v>-16.2</v>
      </c>
      <c r="U23" s="2"/>
      <c r="V23" s="19"/>
      <c r="W23" s="2"/>
      <c r="X23" s="2">
        <f t="shared" si="2"/>
        <v>16.2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"4346", " - ", "SALES RETURN NON TAXABLE-COIN-")</f>
        <v xml:space="preserve">          4346 - SALES RETURN NON TAXABLE-COIN-</v>
      </c>
      <c r="C24" s="11"/>
      <c r="D24" s="2">
        <f t="shared" si="6"/>
        <v>0</v>
      </c>
      <c r="E24" s="2"/>
      <c r="F24" s="19"/>
      <c r="G24" s="2"/>
      <c r="H24" s="2">
        <f t="shared" si="5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si="7"/>
        <v>0</v>
      </c>
      <c r="Q24" s="2"/>
      <c r="R24" s="19"/>
      <c r="S24" s="2"/>
      <c r="T24" s="2">
        <f>-8.15</f>
        <v>-8.15</v>
      </c>
      <c r="U24" s="2"/>
      <c r="V24" s="19"/>
      <c r="W24" s="2"/>
      <c r="X24" s="2">
        <f t="shared" si="2"/>
        <v>8.15</v>
      </c>
      <c r="Y24" s="2"/>
      <c r="Z24" s="19">
        <f t="shared" si="3"/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9" t="s">
        <v>8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8" t="s">
        <v>6</v>
      </c>
      <c r="C28" s="28"/>
      <c r="D28" s="20">
        <f>D12-D26</f>
        <v>1597.9</v>
      </c>
      <c r="E28" s="14"/>
      <c r="F28" s="22">
        <f>IF(D$12=0,0,D28/D$12)</f>
        <v>1</v>
      </c>
      <c r="G28" s="14"/>
      <c r="H28" s="20">
        <f>H12-H26</f>
        <v>38654.22</v>
      </c>
      <c r="I28" s="14"/>
      <c r="J28" s="22">
        <f>IF(H$12=0,0,H28/H$12)</f>
        <v>1</v>
      </c>
      <c r="K28" s="15"/>
      <c r="L28" s="20">
        <f>+D28-H28</f>
        <v>-37056.32</v>
      </c>
      <c r="M28" s="15"/>
      <c r="N28" s="22">
        <f>IF(H28=0,0,L28/H28)</f>
        <v>-0.95866169334163254</v>
      </c>
      <c r="O28" s="29"/>
      <c r="P28" s="20">
        <f>P12-P26</f>
        <v>73572.91</v>
      </c>
      <c r="Q28" s="14"/>
      <c r="R28" s="22">
        <f>IF(P$12=0,0,P28/P$12)</f>
        <v>1</v>
      </c>
      <c r="S28" s="14"/>
      <c r="T28" s="20">
        <f>T12-T26</f>
        <v>263246.12</v>
      </c>
      <c r="U28" s="14"/>
      <c r="V28" s="22">
        <f>IF(T$12=0,0,T28/T$12)</f>
        <v>1</v>
      </c>
      <c r="W28" s="15"/>
      <c r="X28" s="20">
        <f>+P28-T28</f>
        <v>-189673.21</v>
      </c>
      <c r="Y28" s="15"/>
      <c r="Z28" s="22">
        <f>IF(T28=0,0,X28/T28)</f>
        <v>-0.72051664047318154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9" t="s">
        <v>9</v>
      </c>
      <c r="C30" s="10"/>
      <c r="D30" s="21">
        <f>SUM(OSRRefD22x_0)</f>
        <v>39180.050000000003</v>
      </c>
      <c r="E30" s="21"/>
      <c r="F30" s="35">
        <f t="shared" ref="F30:F39" si="8">IF(D$12=0,0,D30/D$12)</f>
        <v>24.519713373803118</v>
      </c>
      <c r="G30" s="21"/>
      <c r="H30" s="21">
        <f>SUM(OSRRefH22x_0)</f>
        <v>46998.730000000018</v>
      </c>
      <c r="I30" s="21"/>
      <c r="J30" s="35">
        <f t="shared" ref="J30:J39" si="9">IF(H$12=0,0,H30/H$12)</f>
        <v>1.2158757827735243</v>
      </c>
      <c r="K30" s="4"/>
      <c r="L30" s="21">
        <f t="shared" ref="L30:L39" si="10">+D30-H30</f>
        <v>-7818.6800000000148</v>
      </c>
      <c r="M30" s="4"/>
      <c r="N30" s="35">
        <f t="shared" ref="N30:N39" si="11">IF(H30=0,0,L30/H30)</f>
        <v>-0.16635938886008222</v>
      </c>
      <c r="O30" s="10"/>
      <c r="P30" s="21">
        <f>SUM(OSRRefP22x_0)</f>
        <v>160185.7399999999</v>
      </c>
      <c r="Q30" s="21"/>
      <c r="R30" s="35">
        <f t="shared" ref="R30:R39" si="12">IF(P$12=0,0,P30/P$12)</f>
        <v>2.1772380622161052</v>
      </c>
      <c r="S30" s="21"/>
      <c r="T30" s="21">
        <f>SUM(OSRRefT22x_0)</f>
        <v>224012.31999999998</v>
      </c>
      <c r="U30" s="21"/>
      <c r="V30" s="35">
        <f t="shared" ref="V30:V39" si="13">IF(T$12=0,0,T30/T$12)</f>
        <v>0.85096152604262498</v>
      </c>
      <c r="W30" s="4"/>
      <c r="X30" s="21">
        <f t="shared" ref="X30:X39" si="14">+P30-T30</f>
        <v>-63826.580000000075</v>
      </c>
      <c r="Y30" s="4"/>
      <c r="Z30" s="35">
        <f t="shared" ref="Z30:Z39" si="15">IF(T30=0,0,X30/T30)</f>
        <v>-0.28492441844270028</v>
      </c>
    </row>
    <row r="31" spans="1:26" s="26" customFormat="1" outlineLevel="1" collapsed="1" x14ac:dyDescent="0.25">
      <c r="A31" s="27"/>
      <c r="B31" s="13" t="str">
        <f>CONCATENATE("     ","*Benefits                                         ")</f>
        <v xml:space="preserve">     *Benefits                                         </v>
      </c>
      <c r="C31" s="13"/>
      <c r="D31" s="1">
        <f>SUM(OSRRefD22_0x_0)</f>
        <v>9539.5300000000007</v>
      </c>
      <c r="E31" s="1"/>
      <c r="F31" s="5">
        <f t="shared" si="8"/>
        <v>5.9700419300331689</v>
      </c>
      <c r="G31" s="1"/>
      <c r="H31" s="1">
        <f>SUM(OSRRefH22_0x_0)</f>
        <v>7441.55</v>
      </c>
      <c r="I31" s="1"/>
      <c r="J31" s="5">
        <f t="shared" si="9"/>
        <v>0.19251584949845063</v>
      </c>
      <c r="K31" s="1"/>
      <c r="L31" s="1">
        <f t="shared" si="10"/>
        <v>2097.9800000000005</v>
      </c>
      <c r="M31" s="1"/>
      <c r="N31" s="5">
        <f t="shared" si="11"/>
        <v>0.28192782417641493</v>
      </c>
      <c r="O31" s="13"/>
      <c r="P31" s="1">
        <f>SUM(OSRRefP22_0x_0)</f>
        <v>45812.57</v>
      </c>
      <c r="Q31" s="1"/>
      <c r="R31" s="5">
        <f t="shared" si="12"/>
        <v>0.62268258792536546</v>
      </c>
      <c r="S31" s="1"/>
      <c r="T31" s="1">
        <f>SUM(OSRRefT22_0x_0)</f>
        <v>39742.61</v>
      </c>
      <c r="U31" s="1"/>
      <c r="V31" s="5">
        <f t="shared" si="13"/>
        <v>0.15097130396451808</v>
      </c>
      <c r="W31" s="1"/>
      <c r="X31" s="1">
        <f t="shared" si="14"/>
        <v>6069.9599999999991</v>
      </c>
      <c r="Y31" s="1"/>
      <c r="Z31" s="5">
        <f t="shared" si="15"/>
        <v>0.15273179089143865</v>
      </c>
    </row>
    <row r="32" spans="1:26" s="24" customFormat="1" hidden="1" outlineLevel="2" x14ac:dyDescent="0.25">
      <c r="A32" s="25"/>
      <c r="B32" s="11" t="str">
        <f>CONCATENATE("          ", "6111", " - ", "F.I.C.A.")</f>
        <v xml:space="preserve">          6111 - F.I.C.A.</v>
      </c>
      <c r="C32" s="11"/>
      <c r="D32" s="6">
        <v>1062.21</v>
      </c>
      <c r="E32" s="2"/>
      <c r="F32" s="7">
        <f t="shared" si="8"/>
        <v>0.66475373928280868</v>
      </c>
      <c r="G32" s="2"/>
      <c r="H32" s="6">
        <v>1059.4000000000001</v>
      </c>
      <c r="I32" s="2"/>
      <c r="J32" s="7">
        <f t="shared" si="9"/>
        <v>2.7407098112444128E-2</v>
      </c>
      <c r="K32" s="2"/>
      <c r="L32" s="6">
        <f t="shared" si="10"/>
        <v>2.8099999999999454</v>
      </c>
      <c r="M32" s="2"/>
      <c r="N32" s="7">
        <f t="shared" si="11"/>
        <v>2.6524447800641356E-3</v>
      </c>
      <c r="O32" s="11"/>
      <c r="P32" s="6">
        <v>6620.47</v>
      </c>
      <c r="Q32" s="2"/>
      <c r="R32" s="7">
        <f t="shared" si="12"/>
        <v>8.9985158939615131E-2</v>
      </c>
      <c r="S32" s="2"/>
      <c r="T32" s="6">
        <v>6806.77</v>
      </c>
      <c r="U32" s="2"/>
      <c r="V32" s="7">
        <f t="shared" si="13"/>
        <v>2.5857057266409095E-2</v>
      </c>
      <c r="W32" s="2"/>
      <c r="X32" s="6">
        <f t="shared" si="14"/>
        <v>-186.30000000000018</v>
      </c>
      <c r="Y32" s="2"/>
      <c r="Z32" s="7">
        <f t="shared" si="15"/>
        <v>-2.7369809762927227E-2</v>
      </c>
    </row>
    <row r="33" spans="1:26" s="24" customFormat="1" hidden="1" outlineLevel="2" x14ac:dyDescent="0.25">
      <c r="A33" s="25"/>
      <c r="B33" s="11" t="str">
        <f>CONCATENATE("          ", "6112", " - ", "COMPENSATION INSURANCE")</f>
        <v xml:space="preserve">          6112 - COMPENSATION INSURANCE</v>
      </c>
      <c r="C33" s="11"/>
      <c r="D33" s="6">
        <v>556.65</v>
      </c>
      <c r="E33" s="2"/>
      <c r="F33" s="7">
        <f t="shared" si="8"/>
        <v>0.34836347706364601</v>
      </c>
      <c r="G33" s="2"/>
      <c r="H33" s="6">
        <v>235.76</v>
      </c>
      <c r="I33" s="2"/>
      <c r="J33" s="7">
        <f t="shared" si="9"/>
        <v>6.0992046922690455E-3</v>
      </c>
      <c r="K33" s="2"/>
      <c r="L33" s="6">
        <f t="shared" si="10"/>
        <v>320.89</v>
      </c>
      <c r="M33" s="2"/>
      <c r="N33" s="7">
        <f t="shared" si="11"/>
        <v>1.361087546657618</v>
      </c>
      <c r="O33" s="11"/>
      <c r="P33" s="6">
        <v>1787.3</v>
      </c>
      <c r="Q33" s="2"/>
      <c r="R33" s="7">
        <f t="shared" si="12"/>
        <v>2.429290889812568E-2</v>
      </c>
      <c r="S33" s="2"/>
      <c r="T33" s="6">
        <v>891.91</v>
      </c>
      <c r="U33" s="2"/>
      <c r="V33" s="7">
        <f t="shared" si="13"/>
        <v>3.3881221117333087E-3</v>
      </c>
      <c r="W33" s="2"/>
      <c r="X33" s="6">
        <f t="shared" si="14"/>
        <v>895.39</v>
      </c>
      <c r="Y33" s="2"/>
      <c r="Z33" s="7">
        <f t="shared" si="15"/>
        <v>1.0039017389646938</v>
      </c>
    </row>
    <row r="34" spans="1:26" s="24" customFormat="1" hidden="1" outlineLevel="2" x14ac:dyDescent="0.25">
      <c r="A34" s="25"/>
      <c r="B34" s="11" t="str">
        <f>CONCATENATE("          ", "6113", " - ", "GROUP INSURANCE")</f>
        <v xml:space="preserve">          6113 - GROUP INSURANCE</v>
      </c>
      <c r="C34" s="11"/>
      <c r="D34" s="6">
        <v>3423.78</v>
      </c>
      <c r="E34" s="2"/>
      <c r="F34" s="7">
        <f t="shared" si="8"/>
        <v>2.1426747606233181</v>
      </c>
      <c r="G34" s="2"/>
      <c r="H34" s="6">
        <v>3051.28</v>
      </c>
      <c r="I34" s="2"/>
      <c r="J34" s="7">
        <f t="shared" si="9"/>
        <v>7.893782360632294E-2</v>
      </c>
      <c r="K34" s="2"/>
      <c r="L34" s="6">
        <f t="shared" si="10"/>
        <v>372.5</v>
      </c>
      <c r="M34" s="2"/>
      <c r="N34" s="7">
        <f t="shared" si="11"/>
        <v>0.12207991400330352</v>
      </c>
      <c r="O34" s="11"/>
      <c r="P34" s="6">
        <v>16317.550000000001</v>
      </c>
      <c r="Q34" s="2"/>
      <c r="R34" s="7">
        <f t="shared" si="12"/>
        <v>0.22178747585218528</v>
      </c>
      <c r="S34" s="2"/>
      <c r="T34" s="6">
        <v>14332.16</v>
      </c>
      <c r="U34" s="2"/>
      <c r="V34" s="7">
        <f t="shared" si="13"/>
        <v>5.4443955337309433E-2</v>
      </c>
      <c r="W34" s="2"/>
      <c r="X34" s="6">
        <f t="shared" si="14"/>
        <v>1985.3900000000012</v>
      </c>
      <c r="Y34" s="2"/>
      <c r="Z34" s="7">
        <f t="shared" si="15"/>
        <v>0.13852692127355551</v>
      </c>
    </row>
    <row r="35" spans="1:26" s="24" customFormat="1" hidden="1" outlineLevel="2" x14ac:dyDescent="0.25">
      <c r="A35" s="25"/>
      <c r="B35" s="11" t="str">
        <f>CONCATENATE("          ", "6114", " - ", "STATE UNEMPLOYMENT INSURANCE")</f>
        <v xml:space="preserve">          6114 - STATE UNEMPLOYMENT INSURANCE</v>
      </c>
      <c r="C35" s="11"/>
      <c r="D35" s="6">
        <v>78.23</v>
      </c>
      <c r="E35" s="2"/>
      <c r="F35" s="7">
        <f t="shared" si="8"/>
        <v>4.8958007384692408E-2</v>
      </c>
      <c r="G35" s="2"/>
      <c r="H35" s="6">
        <v>45.79</v>
      </c>
      <c r="I35" s="2"/>
      <c r="J35" s="7">
        <f t="shared" si="9"/>
        <v>1.1846054583432286E-3</v>
      </c>
      <c r="K35" s="2"/>
      <c r="L35" s="6">
        <f t="shared" si="10"/>
        <v>32.440000000000005</v>
      </c>
      <c r="M35" s="2"/>
      <c r="N35" s="7">
        <f t="shared" si="11"/>
        <v>0.70845162699279329</v>
      </c>
      <c r="O35" s="11"/>
      <c r="P35" s="6">
        <v>251.18</v>
      </c>
      <c r="Q35" s="2"/>
      <c r="R35" s="7">
        <f t="shared" si="12"/>
        <v>3.4140283427690978E-3</v>
      </c>
      <c r="S35" s="2"/>
      <c r="T35" s="6">
        <v>248.12</v>
      </c>
      <c r="U35" s="2"/>
      <c r="V35" s="7">
        <f t="shared" si="13"/>
        <v>9.4254000780714269E-4</v>
      </c>
      <c r="W35" s="2"/>
      <c r="X35" s="6">
        <f t="shared" si="14"/>
        <v>3.0600000000000023</v>
      </c>
      <c r="Y35" s="2"/>
      <c r="Z35" s="7">
        <f t="shared" si="15"/>
        <v>1.2332742221505731E-2</v>
      </c>
    </row>
    <row r="36" spans="1:26" s="24" customFormat="1" hidden="1" outlineLevel="2" x14ac:dyDescent="0.25">
      <c r="A36" s="25"/>
      <c r="B36" s="11" t="str">
        <f>CONCATENATE("          ", "6115", " - ", "P.E.R.S.")</f>
        <v xml:space="preserve">          6115 - P.E.R.S.</v>
      </c>
      <c r="C36" s="11"/>
      <c r="D36" s="6">
        <v>2180.81</v>
      </c>
      <c r="E36" s="2"/>
      <c r="F36" s="7">
        <f t="shared" si="8"/>
        <v>1.3647975467801488</v>
      </c>
      <c r="G36" s="2"/>
      <c r="H36" s="6">
        <v>1187.75</v>
      </c>
      <c r="I36" s="2"/>
      <c r="J36" s="7">
        <f t="shared" si="9"/>
        <v>3.0727563510530027E-2</v>
      </c>
      <c r="K36" s="2"/>
      <c r="L36" s="6">
        <f t="shared" si="10"/>
        <v>993.06</v>
      </c>
      <c r="M36" s="2"/>
      <c r="N36" s="7">
        <f t="shared" si="11"/>
        <v>0.83608503472953055</v>
      </c>
      <c r="O36" s="11"/>
      <c r="P36" s="6">
        <v>8679.08</v>
      </c>
      <c r="Q36" s="2"/>
      <c r="R36" s="7">
        <f t="shared" si="12"/>
        <v>0.11796570232168334</v>
      </c>
      <c r="S36" s="2"/>
      <c r="T36" s="6">
        <v>6633.66</v>
      </c>
      <c r="U36" s="2"/>
      <c r="V36" s="7">
        <f t="shared" si="13"/>
        <v>2.5199459729928785E-2</v>
      </c>
      <c r="W36" s="2"/>
      <c r="X36" s="6">
        <f t="shared" si="14"/>
        <v>2045.42</v>
      </c>
      <c r="Y36" s="2"/>
      <c r="Z36" s="7">
        <f t="shared" si="15"/>
        <v>0.30833958930665728</v>
      </c>
    </row>
    <row r="37" spans="1:26" s="24" customFormat="1" hidden="1" outlineLevel="2" x14ac:dyDescent="0.25">
      <c r="A37" s="25"/>
      <c r="B37" s="11" t="str">
        <f>CONCATENATE("          ", "6118", " - ", "VACATION")</f>
        <v xml:space="preserve">          6118 - VACATION</v>
      </c>
      <c r="C37" s="11"/>
      <c r="D37" s="6">
        <v>1216.0999999999999</v>
      </c>
      <c r="E37" s="2"/>
      <c r="F37" s="7">
        <f t="shared" si="8"/>
        <v>0.76106139307841536</v>
      </c>
      <c r="G37" s="2"/>
      <c r="H37" s="6">
        <v>995.36</v>
      </c>
      <c r="I37" s="2"/>
      <c r="J37" s="7">
        <f t="shared" si="9"/>
        <v>2.5750357916936365E-2</v>
      </c>
      <c r="K37" s="2"/>
      <c r="L37" s="6">
        <f t="shared" si="10"/>
        <v>220.7399999999999</v>
      </c>
      <c r="M37" s="2"/>
      <c r="N37" s="7">
        <f t="shared" si="11"/>
        <v>0.2217690081980388</v>
      </c>
      <c r="O37" s="11"/>
      <c r="P37" s="6">
        <v>6451.33</v>
      </c>
      <c r="Q37" s="2"/>
      <c r="R37" s="7">
        <f t="shared" si="12"/>
        <v>8.7686214939710821E-2</v>
      </c>
      <c r="S37" s="2"/>
      <c r="T37" s="6">
        <v>5940.95</v>
      </c>
      <c r="U37" s="2"/>
      <c r="V37" s="7">
        <f t="shared" si="13"/>
        <v>2.256804392786492E-2</v>
      </c>
      <c r="W37" s="2"/>
      <c r="X37" s="6">
        <f t="shared" si="14"/>
        <v>510.38000000000011</v>
      </c>
      <c r="Y37" s="2"/>
      <c r="Z37" s="7">
        <f t="shared" si="15"/>
        <v>8.5908819296577163E-2</v>
      </c>
    </row>
    <row r="38" spans="1:26" s="24" customFormat="1" hidden="1" outlineLevel="2" x14ac:dyDescent="0.25">
      <c r="A38" s="25"/>
      <c r="B38" s="11" t="str">
        <f>CONCATENATE("          ", "6119", " - ", "SICK LEAVE")</f>
        <v xml:space="preserve">          6119 - SICK LEAVE</v>
      </c>
      <c r="C38" s="11"/>
      <c r="D38" s="6">
        <v>738.5</v>
      </c>
      <c r="E38" s="2"/>
      <c r="F38" s="7">
        <f t="shared" si="8"/>
        <v>0.46216909693973335</v>
      </c>
      <c r="G38" s="2"/>
      <c r="H38" s="6">
        <v>556.54</v>
      </c>
      <c r="I38" s="2"/>
      <c r="J38" s="7">
        <f t="shared" si="9"/>
        <v>1.4397910499810885E-2</v>
      </c>
      <c r="K38" s="2"/>
      <c r="L38" s="6">
        <f t="shared" si="10"/>
        <v>181.96000000000004</v>
      </c>
      <c r="M38" s="2"/>
      <c r="N38" s="7">
        <f t="shared" si="11"/>
        <v>0.32694864699752046</v>
      </c>
      <c r="O38" s="11"/>
      <c r="P38" s="6">
        <v>3955.77</v>
      </c>
      <c r="Q38" s="2"/>
      <c r="R38" s="7">
        <f t="shared" si="12"/>
        <v>5.3766664931426525E-2</v>
      </c>
      <c r="S38" s="2"/>
      <c r="T38" s="6">
        <v>3539.76</v>
      </c>
      <c r="U38" s="2"/>
      <c r="V38" s="7">
        <f t="shared" si="13"/>
        <v>1.3446579953391147E-2</v>
      </c>
      <c r="W38" s="2"/>
      <c r="X38" s="6">
        <f t="shared" si="14"/>
        <v>416.00999999999976</v>
      </c>
      <c r="Y38" s="2"/>
      <c r="Z38" s="7">
        <f t="shared" si="15"/>
        <v>0.11752491694352152</v>
      </c>
    </row>
    <row r="39" spans="1:26" s="24" customFormat="1" hidden="1" outlineLevel="2" x14ac:dyDescent="0.25">
      <c r="A39" s="25"/>
      <c r="B39" s="11" t="str">
        <f>CONCATENATE("          ", "6156", " - ", "EMPLOYEE MEALS")</f>
        <v xml:space="preserve">          6156 - EMPLOYEE MEALS</v>
      </c>
      <c r="C39" s="11"/>
      <c r="D39" s="6">
        <v>283.25</v>
      </c>
      <c r="E39" s="2"/>
      <c r="F39" s="7">
        <f t="shared" si="8"/>
        <v>0.17726390888040552</v>
      </c>
      <c r="G39" s="2"/>
      <c r="H39" s="6">
        <v>309.67</v>
      </c>
      <c r="I39" s="2"/>
      <c r="J39" s="7">
        <f t="shared" si="9"/>
        <v>8.0112857017940083E-3</v>
      </c>
      <c r="K39" s="2"/>
      <c r="L39" s="6">
        <f t="shared" si="10"/>
        <v>-26.420000000000016</v>
      </c>
      <c r="M39" s="2"/>
      <c r="N39" s="7">
        <f t="shared" si="11"/>
        <v>-8.5316627377530971E-2</v>
      </c>
      <c r="O39" s="11"/>
      <c r="P39" s="6">
        <v>1749.89</v>
      </c>
      <c r="Q39" s="2"/>
      <c r="R39" s="7">
        <f t="shared" si="12"/>
        <v>2.3784433699849578E-2</v>
      </c>
      <c r="S39" s="2"/>
      <c r="T39" s="6">
        <v>1349.28</v>
      </c>
      <c r="U39" s="2"/>
      <c r="V39" s="7">
        <f t="shared" si="13"/>
        <v>5.1255456300742441E-3</v>
      </c>
      <c r="W39" s="2"/>
      <c r="X39" s="6">
        <f t="shared" si="14"/>
        <v>400.61000000000013</v>
      </c>
      <c r="Y39" s="2"/>
      <c r="Z39" s="7">
        <f t="shared" si="15"/>
        <v>0.29690649828056453</v>
      </c>
    </row>
    <row r="40" spans="1:26" s="26" customFormat="1" outlineLevel="1" collapsed="1" x14ac:dyDescent="0.25">
      <c r="A40" s="27"/>
      <c r="B40" s="13" t="str">
        <f>CONCATENATE("     ","*Payroll                                          ")</f>
        <v xml:space="preserve">     *Payroll                                          </v>
      </c>
      <c r="C40" s="13"/>
      <c r="D40" s="1">
        <f>SUM(OSRRefD22_1x_0)</f>
        <v>12527.39</v>
      </c>
      <c r="E40" s="1"/>
      <c r="F40" s="5">
        <f t="shared" ref="F40:F43" si="16">IF(D$12=0,0,D40/D$12)</f>
        <v>7.8399086300769749</v>
      </c>
      <c r="G40" s="1"/>
      <c r="H40" s="1">
        <f>SUM(OSRRefH22_1x_0)</f>
        <v>14617.57</v>
      </c>
      <c r="I40" s="1"/>
      <c r="J40" s="5">
        <f t="shared" ref="J40:J43" si="17">IF(H$12=0,0,H40/H$12)</f>
        <v>0.37816233259913146</v>
      </c>
      <c r="K40" s="1"/>
      <c r="L40" s="1">
        <f t="shared" ref="L40:L43" si="18">+D40-H40</f>
        <v>-2090.1800000000003</v>
      </c>
      <c r="M40" s="1"/>
      <c r="N40" s="5">
        <f t="shared" ref="N40:N43" si="19">IF(H40=0,0,L40/H40)</f>
        <v>-0.14299093488178954</v>
      </c>
      <c r="O40" s="13"/>
      <c r="P40" s="1">
        <f>SUM(OSRRefP22_1x_0)</f>
        <v>72695.44</v>
      </c>
      <c r="Q40" s="1"/>
      <c r="R40" s="5">
        <f t="shared" ref="R40:R43" si="20">IF(P$12=0,0,P40/P$12)</f>
        <v>0.98807346345278446</v>
      </c>
      <c r="S40" s="1"/>
      <c r="T40" s="1">
        <f>SUM(OSRRefT22_1x_0)</f>
        <v>85798.47</v>
      </c>
      <c r="U40" s="1"/>
      <c r="V40" s="5">
        <f t="shared" ref="V40:V43" si="21">IF(T$12=0,0,T40/T$12)</f>
        <v>0.3259249177157863</v>
      </c>
      <c r="W40" s="1"/>
      <c r="X40" s="1">
        <f t="shared" ref="X40:X43" si="22">+P40-T40</f>
        <v>-13103.029999999999</v>
      </c>
      <c r="Y40" s="1"/>
      <c r="Z40" s="5">
        <f t="shared" ref="Z40:Z43" si="23">IF(T40=0,0,X40/T40)</f>
        <v>-0.15271869067129051</v>
      </c>
    </row>
    <row r="41" spans="1:26" s="24" customFormat="1" hidden="1" outlineLevel="2" x14ac:dyDescent="0.25">
      <c r="A41" s="25"/>
      <c r="B41" s="11" t="str">
        <f>CONCATENATE("          ", "6002", " - ", "STAFF SALARIES")</f>
        <v xml:space="preserve">          6002 - STAFF SALARIES</v>
      </c>
      <c r="C41" s="11"/>
      <c r="D41" s="6">
        <v>12025.49</v>
      </c>
      <c r="E41" s="2"/>
      <c r="F41" s="7">
        <f t="shared" si="16"/>
        <v>7.5258088741473177</v>
      </c>
      <c r="G41" s="2"/>
      <c r="H41" s="6">
        <v>9872.81</v>
      </c>
      <c r="I41" s="2"/>
      <c r="J41" s="7">
        <f t="shared" si="17"/>
        <v>0.25541350983152677</v>
      </c>
      <c r="K41" s="2"/>
      <c r="L41" s="6">
        <f t="shared" si="18"/>
        <v>2152.6800000000003</v>
      </c>
      <c r="M41" s="2"/>
      <c r="N41" s="7">
        <f t="shared" si="19"/>
        <v>0.21804126687336234</v>
      </c>
      <c r="O41" s="11"/>
      <c r="P41" s="6">
        <v>68793.919999999998</v>
      </c>
      <c r="Q41" s="2"/>
      <c r="R41" s="7">
        <f t="shared" si="20"/>
        <v>0.9350441623146345</v>
      </c>
      <c r="S41" s="2"/>
      <c r="T41" s="6">
        <v>55846.559999999998</v>
      </c>
      <c r="U41" s="2"/>
      <c r="V41" s="7">
        <f t="shared" si="21"/>
        <v>0.21214580484605053</v>
      </c>
      <c r="W41" s="2"/>
      <c r="X41" s="6">
        <f t="shared" si="22"/>
        <v>12947.36</v>
      </c>
      <c r="Y41" s="2"/>
      <c r="Z41" s="7">
        <f t="shared" si="23"/>
        <v>0.23183809351909951</v>
      </c>
    </row>
    <row r="42" spans="1:26" s="24" customFormat="1" hidden="1" outlineLevel="2" x14ac:dyDescent="0.25">
      <c r="A42" s="25"/>
      <c r="B42" s="11" t="str">
        <f>CONCATENATE("          ", "6005", " - ", "TEMPORARY WAGES-HOURLY")</f>
        <v xml:space="preserve">          6005 - TEMPORARY WAGES-HOURLY</v>
      </c>
      <c r="C42" s="11"/>
      <c r="D42" s="6"/>
      <c r="E42" s="2"/>
      <c r="F42" s="7">
        <f t="shared" si="16"/>
        <v>0</v>
      </c>
      <c r="G42" s="2"/>
      <c r="H42" s="6">
        <v>1765.75</v>
      </c>
      <c r="I42" s="2"/>
      <c r="J42" s="7">
        <f t="shared" si="17"/>
        <v>4.5680652720453289E-2</v>
      </c>
      <c r="K42" s="2"/>
      <c r="L42" s="6">
        <f t="shared" si="18"/>
        <v>-1765.75</v>
      </c>
      <c r="M42" s="2"/>
      <c r="N42" s="7">
        <f t="shared" si="19"/>
        <v>-1</v>
      </c>
      <c r="O42" s="11"/>
      <c r="P42" s="6">
        <v>383.25</v>
      </c>
      <c r="Q42" s="2"/>
      <c r="R42" s="7">
        <f t="shared" si="20"/>
        <v>5.2091184105671502E-3</v>
      </c>
      <c r="S42" s="2"/>
      <c r="T42" s="6">
        <v>9961</v>
      </c>
      <c r="U42" s="2"/>
      <c r="V42" s="7">
        <f t="shared" si="21"/>
        <v>3.7839114209926437E-2</v>
      </c>
      <c r="W42" s="2"/>
      <c r="X42" s="6">
        <f t="shared" si="22"/>
        <v>-9577.75</v>
      </c>
      <c r="Y42" s="2"/>
      <c r="Z42" s="7">
        <f t="shared" si="23"/>
        <v>-0.96152494729444837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6">
        <v>501.9</v>
      </c>
      <c r="E43" s="2"/>
      <c r="F43" s="7">
        <f t="shared" si="16"/>
        <v>0.31409975592965766</v>
      </c>
      <c r="G43" s="2"/>
      <c r="H43" s="6">
        <v>2979.01</v>
      </c>
      <c r="I43" s="2"/>
      <c r="J43" s="7">
        <f t="shared" si="17"/>
        <v>7.7068170047151385E-2</v>
      </c>
      <c r="K43" s="2"/>
      <c r="L43" s="6">
        <f t="shared" si="18"/>
        <v>-2477.11</v>
      </c>
      <c r="M43" s="2"/>
      <c r="N43" s="7">
        <f t="shared" si="19"/>
        <v>-0.83152121006643143</v>
      </c>
      <c r="O43" s="11"/>
      <c r="P43" s="6">
        <v>3518.27</v>
      </c>
      <c r="Q43" s="2"/>
      <c r="R43" s="7">
        <f t="shared" si="20"/>
        <v>4.7820182727582747E-2</v>
      </c>
      <c r="S43" s="2"/>
      <c r="T43" s="6">
        <v>19990.91</v>
      </c>
      <c r="U43" s="2"/>
      <c r="V43" s="7">
        <f t="shared" si="21"/>
        <v>7.5939998659809313E-2</v>
      </c>
      <c r="W43" s="2"/>
      <c r="X43" s="6">
        <f t="shared" si="22"/>
        <v>-16472.64</v>
      </c>
      <c r="Y43" s="2"/>
      <c r="Z43" s="7">
        <f t="shared" si="23"/>
        <v>-0.82400651095923094</v>
      </c>
    </row>
    <row r="44" spans="1:26" s="26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SUM(OSRRefD22_2x_0)</f>
        <v>169.88</v>
      </c>
      <c r="E44" s="1"/>
      <c r="F44" s="5">
        <f t="shared" ref="F44:F52" si="24">IF(D$12=0,0,D44/D$12)</f>
        <v>0.10631453783090306</v>
      </c>
      <c r="G44" s="1"/>
      <c r="H44" s="1">
        <f>SUM(OSRRefH22_2x_0)</f>
        <v>0</v>
      </c>
      <c r="I44" s="1"/>
      <c r="J44" s="5">
        <f t="shared" ref="J44:J52" si="25">IF(H$12=0,0,H44/H$12)</f>
        <v>0</v>
      </c>
      <c r="K44" s="1"/>
      <c r="L44" s="1">
        <f t="shared" ref="L44:L52" si="26">+D44-H44</f>
        <v>169.88</v>
      </c>
      <c r="M44" s="1"/>
      <c r="N44" s="5">
        <f t="shared" ref="N44:N52" si="27">IF(H44=0,0,L44/H44)</f>
        <v>0</v>
      </c>
      <c r="O44" s="13"/>
      <c r="P44" s="1">
        <f>SUM(OSRRefP22_2x_0)</f>
        <v>849.4</v>
      </c>
      <c r="Q44" s="1"/>
      <c r="R44" s="5">
        <f t="shared" ref="R44:R52" si="28">IF(P$12=0,0,P44/P$12)</f>
        <v>1.1545010249016927E-2</v>
      </c>
      <c r="S44" s="1"/>
      <c r="T44" s="1">
        <f>SUM(OSRRefT22_2x_0)</f>
        <v>0</v>
      </c>
      <c r="U44" s="1"/>
      <c r="V44" s="5">
        <f t="shared" ref="V44:V52" si="29">IF(T$12=0,0,T44/T$12)</f>
        <v>0</v>
      </c>
      <c r="W44" s="1"/>
      <c r="X44" s="1">
        <f t="shared" ref="X44:X52" si="30">+P44-T44</f>
        <v>849.4</v>
      </c>
      <c r="Y44" s="1"/>
      <c r="Z44" s="5">
        <f t="shared" ref="Z44:Z52" si="31">IF(T44=0,0,X44/T44)</f>
        <v>0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169.88</v>
      </c>
      <c r="E45" s="2"/>
      <c r="F45" s="7">
        <f t="shared" si="24"/>
        <v>0.10631453783090306</v>
      </c>
      <c r="G45" s="2"/>
      <c r="H45" s="6"/>
      <c r="I45" s="2"/>
      <c r="J45" s="7">
        <f t="shared" si="25"/>
        <v>0</v>
      </c>
      <c r="K45" s="2"/>
      <c r="L45" s="6">
        <f t="shared" si="26"/>
        <v>169.88</v>
      </c>
      <c r="M45" s="2"/>
      <c r="N45" s="7">
        <f t="shared" si="27"/>
        <v>0</v>
      </c>
      <c r="O45" s="11"/>
      <c r="P45" s="6">
        <v>849.4</v>
      </c>
      <c r="Q45" s="2"/>
      <c r="R45" s="7">
        <f t="shared" si="28"/>
        <v>1.1545010249016927E-2</v>
      </c>
      <c r="S45" s="2"/>
      <c r="T45" s="6"/>
      <c r="U45" s="2"/>
      <c r="V45" s="7">
        <f t="shared" si="29"/>
        <v>0</v>
      </c>
      <c r="W45" s="2"/>
      <c r="X45" s="6">
        <f t="shared" si="30"/>
        <v>849.4</v>
      </c>
      <c r="Y45" s="2"/>
      <c r="Z45" s="7">
        <f t="shared" si="31"/>
        <v>0</v>
      </c>
    </row>
    <row r="46" spans="1:26" s="26" customFormat="1" outlineLevel="1" collapsed="1" x14ac:dyDescent="0.25">
      <c r="A46" s="27"/>
      <c r="B46" s="13" t="str">
        <f>CONCATENATE("     ","Discounts and Markdowns                           ")</f>
        <v xml:space="preserve">     Discounts and Markdowns                           </v>
      </c>
      <c r="C46" s="13"/>
      <c r="D46" s="1">
        <f>SUM(OSRRefD22_3x_0)</f>
        <v>0</v>
      </c>
      <c r="E46" s="1"/>
      <c r="F46" s="5">
        <f t="shared" si="24"/>
        <v>0</v>
      </c>
      <c r="G46" s="1"/>
      <c r="H46" s="1">
        <f>SUM(OSRRefH22_3x_0)</f>
        <v>31.7</v>
      </c>
      <c r="I46" s="1"/>
      <c r="J46" s="5">
        <f t="shared" si="25"/>
        <v>8.2009157085565301E-4</v>
      </c>
      <c r="K46" s="1"/>
      <c r="L46" s="1">
        <f t="shared" si="26"/>
        <v>-31.7</v>
      </c>
      <c r="M46" s="1"/>
      <c r="N46" s="5">
        <f t="shared" si="27"/>
        <v>-1</v>
      </c>
      <c r="O46" s="13"/>
      <c r="P46" s="1">
        <f>SUM(OSRRefP22_3x_0)</f>
        <v>0</v>
      </c>
      <c r="Q46" s="1"/>
      <c r="R46" s="5">
        <f t="shared" si="28"/>
        <v>0</v>
      </c>
      <c r="S46" s="1"/>
      <c r="T46" s="1">
        <f>SUM(OSRRefT22_3x_0)</f>
        <v>420.47</v>
      </c>
      <c r="U46" s="1"/>
      <c r="V46" s="5">
        <f t="shared" si="29"/>
        <v>1.597250512182288E-3</v>
      </c>
      <c r="W46" s="1"/>
      <c r="X46" s="1">
        <f t="shared" si="30"/>
        <v>-420.47</v>
      </c>
      <c r="Y46" s="1"/>
      <c r="Z46" s="5">
        <f t="shared" si="31"/>
        <v>-1</v>
      </c>
    </row>
    <row r="47" spans="1:26" s="24" customFormat="1" hidden="1" outlineLevel="2" x14ac:dyDescent="0.25">
      <c r="A47" s="25"/>
      <c r="B47" s="11" t="str">
        <f>CONCATENATE("          ", "6382", " - ", "DISCOUNTS/MARK DOWNS")</f>
        <v xml:space="preserve">          6382 - DISCOUNTS/MARK DOWNS</v>
      </c>
      <c r="C47" s="11"/>
      <c r="D47" s="6"/>
      <c r="E47" s="2"/>
      <c r="F47" s="7">
        <f t="shared" si="24"/>
        <v>0</v>
      </c>
      <c r="G47" s="2"/>
      <c r="H47" s="6">
        <v>31.7</v>
      </c>
      <c r="I47" s="2"/>
      <c r="J47" s="7">
        <f t="shared" si="25"/>
        <v>8.2009157085565301E-4</v>
      </c>
      <c r="K47" s="2"/>
      <c r="L47" s="6">
        <f t="shared" si="26"/>
        <v>-31.7</v>
      </c>
      <c r="M47" s="2"/>
      <c r="N47" s="7">
        <f t="shared" si="27"/>
        <v>-1</v>
      </c>
      <c r="O47" s="11"/>
      <c r="P47" s="6"/>
      <c r="Q47" s="2"/>
      <c r="R47" s="7">
        <f t="shared" si="28"/>
        <v>0</v>
      </c>
      <c r="S47" s="2"/>
      <c r="T47" s="6">
        <v>420.47</v>
      </c>
      <c r="U47" s="2"/>
      <c r="V47" s="7">
        <f t="shared" si="29"/>
        <v>1.597250512182288E-3</v>
      </c>
      <c r="W47" s="2"/>
      <c r="X47" s="6">
        <f t="shared" si="30"/>
        <v>-420.47</v>
      </c>
      <c r="Y47" s="2"/>
      <c r="Z47" s="7">
        <f t="shared" si="31"/>
        <v>-1</v>
      </c>
    </row>
    <row r="48" spans="1:26" s="26" customFormat="1" outlineLevel="1" collapsed="1" x14ac:dyDescent="0.25">
      <c r="A48" s="27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SUM(OSRRefD22_4x_0)</f>
        <v>1205.6400000000001</v>
      </c>
      <c r="E48" s="1"/>
      <c r="F48" s="5">
        <f t="shared" si="24"/>
        <v>0.7545153013329996</v>
      </c>
      <c r="G48" s="1"/>
      <c r="H48" s="1">
        <f>SUM(OSRRefH22_4x_0)</f>
        <v>3903.96</v>
      </c>
      <c r="I48" s="1"/>
      <c r="J48" s="5">
        <f t="shared" si="25"/>
        <v>0.10099699334251215</v>
      </c>
      <c r="K48" s="1"/>
      <c r="L48" s="1">
        <f t="shared" si="26"/>
        <v>-2698.3199999999997</v>
      </c>
      <c r="M48" s="1"/>
      <c r="N48" s="5">
        <f t="shared" si="27"/>
        <v>-0.69117511449912383</v>
      </c>
      <c r="O48" s="13"/>
      <c r="P48" s="1">
        <f>SUM(OSRRefP22_4x_0)</f>
        <v>6028.2</v>
      </c>
      <c r="Q48" s="1"/>
      <c r="R48" s="5">
        <f t="shared" si="28"/>
        <v>8.1935049191339579E-2</v>
      </c>
      <c r="S48" s="1"/>
      <c r="T48" s="1">
        <f>SUM(OSRRefT22_4x_0)</f>
        <v>9932.16</v>
      </c>
      <c r="U48" s="1"/>
      <c r="V48" s="5">
        <f t="shared" si="29"/>
        <v>3.7729558938988349E-2</v>
      </c>
      <c r="W48" s="1"/>
      <c r="X48" s="1">
        <f t="shared" si="30"/>
        <v>-3903.96</v>
      </c>
      <c r="Y48" s="1"/>
      <c r="Z48" s="5">
        <f t="shared" si="31"/>
        <v>-0.39306253624589216</v>
      </c>
    </row>
    <row r="49" spans="1:26" s="24" customFormat="1" hidden="1" outlineLevel="2" x14ac:dyDescent="0.25">
      <c r="A49" s="25"/>
      <c r="B49" s="11" t="str">
        <f>CONCATENATE("          ", "6351", " - ", "EQUIPMENT RENTAL")</f>
        <v xml:space="preserve">          6351 - EQUIPMENT RENTAL</v>
      </c>
      <c r="C49" s="11"/>
      <c r="D49" s="6">
        <v>1205.6400000000001</v>
      </c>
      <c r="E49" s="2"/>
      <c r="F49" s="7">
        <f t="shared" si="24"/>
        <v>0.7545153013329996</v>
      </c>
      <c r="G49" s="2"/>
      <c r="H49" s="6">
        <v>3903.96</v>
      </c>
      <c r="I49" s="2"/>
      <c r="J49" s="7">
        <f t="shared" si="25"/>
        <v>0.10099699334251215</v>
      </c>
      <c r="K49" s="2"/>
      <c r="L49" s="6">
        <f t="shared" si="26"/>
        <v>-2698.3199999999997</v>
      </c>
      <c r="M49" s="2"/>
      <c r="N49" s="7">
        <f t="shared" si="27"/>
        <v>-0.69117511449912383</v>
      </c>
      <c r="O49" s="11"/>
      <c r="P49" s="6">
        <v>6028.2</v>
      </c>
      <c r="Q49" s="2"/>
      <c r="R49" s="7">
        <f t="shared" si="28"/>
        <v>8.1935049191339579E-2</v>
      </c>
      <c r="S49" s="2"/>
      <c r="T49" s="6">
        <v>9932.16</v>
      </c>
      <c r="U49" s="2"/>
      <c r="V49" s="7">
        <f t="shared" si="29"/>
        <v>3.7729558938988349E-2</v>
      </c>
      <c r="W49" s="2"/>
      <c r="X49" s="6">
        <f t="shared" si="30"/>
        <v>-3903.96</v>
      </c>
      <c r="Y49" s="2"/>
      <c r="Z49" s="7">
        <f t="shared" si="31"/>
        <v>-0.39306253624589216</v>
      </c>
    </row>
    <row r="50" spans="1:26" s="26" customFormat="1" outlineLevel="1" collapsed="1" x14ac:dyDescent="0.25">
      <c r="A50" s="27"/>
      <c r="B50" s="13" t="str">
        <f>CONCATENATE("     ","Freight out/Postage                               ")</f>
        <v xml:space="preserve">     Freight out/Postage                               </v>
      </c>
      <c r="C50" s="13"/>
      <c r="D50" s="1">
        <f>SUM(OSRRefD22_5x_0)</f>
        <v>8307.7900000000009</v>
      </c>
      <c r="E50" s="1"/>
      <c r="F50" s="5">
        <f t="shared" si="24"/>
        <v>5.1991926904061581</v>
      </c>
      <c r="G50" s="1"/>
      <c r="H50" s="1">
        <f>SUM(OSRRefH22_5x_0)</f>
        <v>9.1300000000000008</v>
      </c>
      <c r="I50" s="1"/>
      <c r="J50" s="5">
        <f t="shared" si="25"/>
        <v>2.3619672056505086E-4</v>
      </c>
      <c r="K50" s="1"/>
      <c r="L50" s="1">
        <f t="shared" si="26"/>
        <v>8298.6600000000017</v>
      </c>
      <c r="M50" s="1"/>
      <c r="N50" s="5">
        <f t="shared" si="27"/>
        <v>908.94414019715236</v>
      </c>
      <c r="O50" s="13"/>
      <c r="P50" s="1">
        <f>SUM(OSRRefP22_5x_0)</f>
        <v>-24841.370000000024</v>
      </c>
      <c r="Q50" s="1"/>
      <c r="R50" s="5">
        <f t="shared" si="28"/>
        <v>-0.33764289056936886</v>
      </c>
      <c r="S50" s="1"/>
      <c r="T50" s="1">
        <f>SUM(OSRRefT22_5x_0)</f>
        <v>9.1300000000000008</v>
      </c>
      <c r="U50" s="1"/>
      <c r="V50" s="5">
        <f t="shared" si="29"/>
        <v>3.4682372526516251E-5</v>
      </c>
      <c r="W50" s="1"/>
      <c r="X50" s="1">
        <f t="shared" si="30"/>
        <v>-24850.500000000025</v>
      </c>
      <c r="Y50" s="1"/>
      <c r="Z50" s="5">
        <f t="shared" si="31"/>
        <v>-2721.8510405257421</v>
      </c>
    </row>
    <row r="51" spans="1:26" s="24" customFormat="1" hidden="1" outlineLevel="2" x14ac:dyDescent="0.25">
      <c r="A51" s="25"/>
      <c r="B51" s="11" t="str">
        <f>CONCATENATE("          ", "6305", " - ", "FREIGHT OUT")</f>
        <v xml:space="preserve">          6305 - FREIGHT OUT</v>
      </c>
      <c r="C51" s="11"/>
      <c r="D51" s="6">
        <v>12643.45</v>
      </c>
      <c r="E51" s="2"/>
      <c r="F51" s="7">
        <f t="shared" si="24"/>
        <v>7.9125414606671258</v>
      </c>
      <c r="G51" s="2"/>
      <c r="H51" s="6">
        <v>9.1300000000000008</v>
      </c>
      <c r="I51" s="2"/>
      <c r="J51" s="7">
        <f t="shared" si="25"/>
        <v>2.3619672056505086E-4</v>
      </c>
      <c r="K51" s="2"/>
      <c r="L51" s="6">
        <f t="shared" si="26"/>
        <v>12634.320000000002</v>
      </c>
      <c r="M51" s="2"/>
      <c r="N51" s="7">
        <f t="shared" si="27"/>
        <v>1383.8247535596934</v>
      </c>
      <c r="O51" s="11"/>
      <c r="P51" s="6">
        <v>98238.23</v>
      </c>
      <c r="Q51" s="2"/>
      <c r="R51" s="7">
        <f t="shared" si="28"/>
        <v>1.3352500261305418</v>
      </c>
      <c r="S51" s="2"/>
      <c r="T51" s="6">
        <v>9.1300000000000008</v>
      </c>
      <c r="U51" s="2"/>
      <c r="V51" s="7">
        <f t="shared" si="29"/>
        <v>3.4682372526516251E-5</v>
      </c>
      <c r="W51" s="2"/>
      <c r="X51" s="6">
        <f t="shared" si="30"/>
        <v>98229.099999999991</v>
      </c>
      <c r="Y51" s="2"/>
      <c r="Z51" s="7">
        <f t="shared" si="31"/>
        <v>10758.937568455638</v>
      </c>
    </row>
    <row r="52" spans="1:26" s="24" customFormat="1" hidden="1" outlineLevel="2" x14ac:dyDescent="0.25">
      <c r="A52" s="25"/>
      <c r="B52" s="11" t="str">
        <f>CONCATENATE("          ", "6307", " - ", "POSTAGE")</f>
        <v xml:space="preserve">          6307 - POSTAGE</v>
      </c>
      <c r="C52" s="11"/>
      <c r="D52" s="6">
        <v>-4335.66</v>
      </c>
      <c r="E52" s="2"/>
      <c r="F52" s="7">
        <f t="shared" si="24"/>
        <v>-2.7133487702609673</v>
      </c>
      <c r="G52" s="2"/>
      <c r="H52" s="6"/>
      <c r="I52" s="2"/>
      <c r="J52" s="7">
        <f t="shared" si="25"/>
        <v>0</v>
      </c>
      <c r="K52" s="2"/>
      <c r="L52" s="6">
        <f t="shared" si="26"/>
        <v>-4335.66</v>
      </c>
      <c r="M52" s="2"/>
      <c r="N52" s="7">
        <f t="shared" si="27"/>
        <v>0</v>
      </c>
      <c r="O52" s="11"/>
      <c r="P52" s="6">
        <v>-123079.60000000002</v>
      </c>
      <c r="Q52" s="2"/>
      <c r="R52" s="7">
        <f t="shared" si="28"/>
        <v>-1.6728929166999105</v>
      </c>
      <c r="S52" s="2"/>
      <c r="T52" s="6"/>
      <c r="U52" s="2"/>
      <c r="V52" s="7">
        <f t="shared" si="29"/>
        <v>0</v>
      </c>
      <c r="W52" s="2"/>
      <c r="X52" s="6">
        <f t="shared" si="30"/>
        <v>-123079.60000000002</v>
      </c>
      <c r="Y52" s="2"/>
      <c r="Z52" s="7">
        <f t="shared" si="31"/>
        <v>0</v>
      </c>
    </row>
    <row r="53" spans="1:26" s="26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SUM(OSRRefD22_6x_0)</f>
        <v>400.12</v>
      </c>
      <c r="E53" s="1"/>
      <c r="F53" s="5">
        <f t="shared" ref="F53:F55" si="32">IF(D$12=0,0,D53/D$12)</f>
        <v>0.25040365479692095</v>
      </c>
      <c r="G53" s="1"/>
      <c r="H53" s="1">
        <f>SUM(OSRRefH22_6x_0)</f>
        <v>1404.99</v>
      </c>
      <c r="I53" s="1"/>
      <c r="J53" s="5">
        <f t="shared" ref="J53:J55" si="33">IF(H$12=0,0,H53/H$12)</f>
        <v>3.6347648458564162E-2</v>
      </c>
      <c r="K53" s="1"/>
      <c r="L53" s="1">
        <f t="shared" ref="L53:L55" si="34">+D53-H53</f>
        <v>-1004.87</v>
      </c>
      <c r="M53" s="1"/>
      <c r="N53" s="5">
        <f t="shared" ref="N53:N55" si="35">IF(H53=0,0,L53/H53)</f>
        <v>-0.7152150549114229</v>
      </c>
      <c r="O53" s="13"/>
      <c r="P53" s="1">
        <f>SUM(OSRRefP22_6x_0)</f>
        <v>24520.880000000001</v>
      </c>
      <c r="Q53" s="1"/>
      <c r="R53" s="5">
        <f t="shared" ref="R53:R55" si="36">IF(P$12=0,0,P53/P$12)</f>
        <v>0.33328680352591733</v>
      </c>
      <c r="S53" s="1"/>
      <c r="T53" s="1">
        <f>SUM(OSRRefT22_6x_0)</f>
        <v>29449.96</v>
      </c>
      <c r="U53" s="1"/>
      <c r="V53" s="5">
        <f t="shared" ref="V53:V55" si="37">IF(T$12=0,0,T53/T$12)</f>
        <v>0.11187234212606818</v>
      </c>
      <c r="W53" s="1"/>
      <c r="X53" s="1">
        <f t="shared" ref="X53:X55" si="38">+P53-T53</f>
        <v>-4929.0799999999981</v>
      </c>
      <c r="Y53" s="1"/>
      <c r="Z53" s="5">
        <f t="shared" ref="Z53:Z55" si="39">IF(T53=0,0,X53/T53)</f>
        <v>-0.16737136485075016</v>
      </c>
    </row>
    <row r="54" spans="1:26" s="24" customFormat="1" hidden="1" outlineLevel="2" x14ac:dyDescent="0.25">
      <c r="A54" s="25"/>
      <c r="B54" s="11" t="str">
        <f>CONCATENATE("          ", "6371", " - ", "COMPUTER SOFTWARE MAINTENANCE")</f>
        <v xml:space="preserve">          6371 - COMPUTER SOFTWARE MAINTENANCE</v>
      </c>
      <c r="C54" s="11"/>
      <c r="D54" s="6"/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0</v>
      </c>
      <c r="M54" s="2"/>
      <c r="N54" s="7">
        <f t="shared" si="35"/>
        <v>0</v>
      </c>
      <c r="O54" s="11"/>
      <c r="P54" s="6">
        <v>7.69</v>
      </c>
      <c r="Q54" s="2"/>
      <c r="R54" s="7">
        <f t="shared" si="36"/>
        <v>1.0452216719441979E-4</v>
      </c>
      <c r="S54" s="2"/>
      <c r="T54" s="6"/>
      <c r="U54" s="2"/>
      <c r="V54" s="7">
        <f t="shared" si="37"/>
        <v>0</v>
      </c>
      <c r="W54" s="2"/>
      <c r="X54" s="6">
        <f t="shared" si="38"/>
        <v>7.69</v>
      </c>
      <c r="Y54" s="2"/>
      <c r="Z54" s="7">
        <f t="shared" si="39"/>
        <v>0</v>
      </c>
    </row>
    <row r="55" spans="1:26" s="24" customFormat="1" hidden="1" outlineLevel="2" x14ac:dyDescent="0.25">
      <c r="A55" s="25"/>
      <c r="B55" s="11" t="str">
        <f>CONCATENATE("          ", "6373", " - ", "MAINTENANCE CONTRACTS")</f>
        <v xml:space="preserve">          6373 - MAINTENANCE CONTRACTS</v>
      </c>
      <c r="C55" s="11"/>
      <c r="D55" s="6">
        <v>400.12</v>
      </c>
      <c r="E55" s="2"/>
      <c r="F55" s="7">
        <f t="shared" si="32"/>
        <v>0.25040365479692095</v>
      </c>
      <c r="G55" s="2"/>
      <c r="H55" s="6">
        <v>1404.99</v>
      </c>
      <c r="I55" s="2"/>
      <c r="J55" s="7">
        <f t="shared" si="33"/>
        <v>3.6347648458564162E-2</v>
      </c>
      <c r="K55" s="2"/>
      <c r="L55" s="6">
        <f t="shared" si="34"/>
        <v>-1004.87</v>
      </c>
      <c r="M55" s="2"/>
      <c r="N55" s="7">
        <f t="shared" si="35"/>
        <v>-0.7152150549114229</v>
      </c>
      <c r="O55" s="11"/>
      <c r="P55" s="6">
        <v>24513.190000000002</v>
      </c>
      <c r="Q55" s="2"/>
      <c r="R55" s="7">
        <f t="shared" si="36"/>
        <v>0.33318228135872296</v>
      </c>
      <c r="S55" s="2"/>
      <c r="T55" s="6">
        <v>29449.96</v>
      </c>
      <c r="U55" s="2"/>
      <c r="V55" s="7">
        <f t="shared" si="37"/>
        <v>0.11187234212606818</v>
      </c>
      <c r="W55" s="2"/>
      <c r="X55" s="6">
        <f t="shared" si="38"/>
        <v>-4936.7699999999968</v>
      </c>
      <c r="Y55" s="2"/>
      <c r="Z55" s="7">
        <f t="shared" si="39"/>
        <v>-0.16763248574870721</v>
      </c>
    </row>
    <row r="56" spans="1:26" s="26" customFormat="1" outlineLevel="1" collapsed="1" x14ac:dyDescent="0.25">
      <c r="A56" s="27"/>
      <c r="B56" s="13" t="str">
        <f>CONCATENATE("     ","Royalty &amp; Commissions                             ")</f>
        <v xml:space="preserve">     Royalty &amp; Commissions                             </v>
      </c>
      <c r="C56" s="13"/>
      <c r="D56" s="1">
        <f>SUM(OSRRefD22_7x_0)</f>
        <v>4453.09</v>
      </c>
      <c r="E56" s="1"/>
      <c r="F56" s="5">
        <f t="shared" ref="F56:F64" si="40">IF(D$12=0,0,D56/D$12)</f>
        <v>2.7868389761562051</v>
      </c>
      <c r="G56" s="1"/>
      <c r="H56" s="1">
        <f>SUM(OSRRefH22_7x_0)</f>
        <v>17653.419999999998</v>
      </c>
      <c r="I56" s="1"/>
      <c r="J56" s="5">
        <f t="shared" ref="J56:J64" si="41">IF(H$12=0,0,H56/H$12)</f>
        <v>0.45670097598658044</v>
      </c>
      <c r="K56" s="1"/>
      <c r="L56" s="1">
        <f t="shared" ref="L56:L64" si="42">+D56-H56</f>
        <v>-13200.329999999998</v>
      </c>
      <c r="M56" s="1"/>
      <c r="N56" s="5">
        <f t="shared" ref="N56:N64" si="43">IF(H56=0,0,L56/H56)</f>
        <v>-0.74774916135230451</v>
      </c>
      <c r="O56" s="13"/>
      <c r="P56" s="1">
        <f>SUM(OSRRefP22_7x_0)</f>
        <v>10158.290000000001</v>
      </c>
      <c r="Q56" s="1"/>
      <c r="R56" s="5">
        <f t="shared" ref="R56:R64" si="44">IF(P$12=0,0,P56/P$12)</f>
        <v>0.13807106447196393</v>
      </c>
      <c r="S56" s="1"/>
      <c r="T56" s="1">
        <f>SUM(OSRRefT22_7x_0)</f>
        <v>43867.68</v>
      </c>
      <c r="U56" s="1"/>
      <c r="V56" s="5">
        <f t="shared" ref="V56:V64" si="45">IF(T$12=0,0,T56/T$12)</f>
        <v>0.16664131649879588</v>
      </c>
      <c r="W56" s="1"/>
      <c r="X56" s="1">
        <f t="shared" ref="X56:X64" si="46">+P56-T56</f>
        <v>-33709.39</v>
      </c>
      <c r="Y56" s="1"/>
      <c r="Z56" s="5">
        <f t="shared" ref="Z56:Z64" si="47">IF(T56=0,0,X56/T56)</f>
        <v>-0.76843338877278211</v>
      </c>
    </row>
    <row r="57" spans="1:26" s="24" customFormat="1" hidden="1" outlineLevel="2" x14ac:dyDescent="0.25">
      <c r="A57" s="25"/>
      <c r="B57" s="11" t="str">
        <f>CONCATENATE("          ", "6259", " - ", "ROYALTY &amp; COMMISSIONS")</f>
        <v xml:space="preserve">          6259 - ROYALTY &amp; COMMISSIONS</v>
      </c>
      <c r="C57" s="11"/>
      <c r="D57" s="6">
        <v>4453.09</v>
      </c>
      <c r="E57" s="2"/>
      <c r="F57" s="7">
        <f t="shared" si="40"/>
        <v>2.7868389761562051</v>
      </c>
      <c r="G57" s="2"/>
      <c r="H57" s="6">
        <v>17653.419999999998</v>
      </c>
      <c r="I57" s="2"/>
      <c r="J57" s="7">
        <f t="shared" si="41"/>
        <v>0.45670097598658044</v>
      </c>
      <c r="K57" s="2"/>
      <c r="L57" s="6">
        <f t="shared" si="42"/>
        <v>-13200.329999999998</v>
      </c>
      <c r="M57" s="2"/>
      <c r="N57" s="7">
        <f t="shared" si="43"/>
        <v>-0.74774916135230451</v>
      </c>
      <c r="O57" s="11"/>
      <c r="P57" s="6">
        <v>10158.290000000001</v>
      </c>
      <c r="Q57" s="2"/>
      <c r="R57" s="7">
        <f t="shared" si="44"/>
        <v>0.13807106447196393</v>
      </c>
      <c r="S57" s="2"/>
      <c r="T57" s="6">
        <v>43867.68</v>
      </c>
      <c r="U57" s="2"/>
      <c r="V57" s="7">
        <f t="shared" si="45"/>
        <v>0.16664131649879588</v>
      </c>
      <c r="W57" s="2"/>
      <c r="X57" s="6">
        <f t="shared" si="46"/>
        <v>-33709.39</v>
      </c>
      <c r="Y57" s="2"/>
      <c r="Z57" s="7">
        <f t="shared" si="47"/>
        <v>-0.76843338877278211</v>
      </c>
    </row>
    <row r="58" spans="1:26" s="26" customFormat="1" outlineLevel="1" collapsed="1" x14ac:dyDescent="0.25">
      <c r="A58" s="27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SUM(OSRRefD22_8x_0)</f>
        <v>2362.06</v>
      </c>
      <c r="E58" s="1"/>
      <c r="F58" s="5">
        <f t="shared" si="40"/>
        <v>1.4782276738218911</v>
      </c>
      <c r="G58" s="1"/>
      <c r="H58" s="1">
        <f>SUM(OSRRefH22_8x_0)</f>
        <v>1828.3600000000001</v>
      </c>
      <c r="I58" s="1"/>
      <c r="J58" s="5">
        <f t="shared" si="41"/>
        <v>4.7300398248884601E-2</v>
      </c>
      <c r="K58" s="1"/>
      <c r="L58" s="1">
        <f t="shared" si="42"/>
        <v>533.69999999999982</v>
      </c>
      <c r="M58" s="1"/>
      <c r="N58" s="5">
        <f t="shared" si="43"/>
        <v>0.29190093854601928</v>
      </c>
      <c r="O58" s="13"/>
      <c r="P58" s="1">
        <f>SUM(OSRRefP22_8x_0)</f>
        <v>23873.61</v>
      </c>
      <c r="Q58" s="1"/>
      <c r="R58" s="5">
        <f t="shared" si="44"/>
        <v>0.32448913601487284</v>
      </c>
      <c r="S58" s="1"/>
      <c r="T58" s="1">
        <f>SUM(OSRRefT22_8x_0)</f>
        <v>13983.73</v>
      </c>
      <c r="U58" s="1"/>
      <c r="V58" s="5">
        <f t="shared" si="45"/>
        <v>5.3120365078885109E-2</v>
      </c>
      <c r="W58" s="1"/>
      <c r="X58" s="1">
        <f t="shared" si="46"/>
        <v>9889.880000000001</v>
      </c>
      <c r="Y58" s="1"/>
      <c r="Z58" s="5">
        <f t="shared" si="47"/>
        <v>0.70724191614111553</v>
      </c>
    </row>
    <row r="59" spans="1:26" s="24" customFormat="1" hidden="1" outlineLevel="2" x14ac:dyDescent="0.25">
      <c r="A59" s="25"/>
      <c r="B59" s="11" t="str">
        <f>CONCATENATE("          ", "6234", " - ", "EXPENDABLE SUPPLIES &amp; EQUIPMEN")</f>
        <v xml:space="preserve">          6234 - EXPENDABLE SUPPLIES &amp; EQUIPMEN</v>
      </c>
      <c r="C59" s="11"/>
      <c r="D59" s="6"/>
      <c r="E59" s="2"/>
      <c r="F59" s="7">
        <f t="shared" si="40"/>
        <v>0</v>
      </c>
      <c r="G59" s="2"/>
      <c r="H59" s="6"/>
      <c r="I59" s="2"/>
      <c r="J59" s="7">
        <f t="shared" si="41"/>
        <v>0</v>
      </c>
      <c r="K59" s="2"/>
      <c r="L59" s="6">
        <f t="shared" si="42"/>
        <v>0</v>
      </c>
      <c r="M59" s="2"/>
      <c r="N59" s="7">
        <f t="shared" si="43"/>
        <v>0</v>
      </c>
      <c r="O59" s="11"/>
      <c r="P59" s="6"/>
      <c r="Q59" s="2"/>
      <c r="R59" s="7">
        <f t="shared" si="44"/>
        <v>0</v>
      </c>
      <c r="S59" s="2"/>
      <c r="T59" s="6">
        <v>1017.27</v>
      </c>
      <c r="U59" s="2"/>
      <c r="V59" s="7">
        <f t="shared" si="45"/>
        <v>3.8643304600272932E-3</v>
      </c>
      <c r="W59" s="2"/>
      <c r="X59" s="6">
        <f t="shared" si="46"/>
        <v>-1017.27</v>
      </c>
      <c r="Y59" s="2"/>
      <c r="Z59" s="7">
        <f t="shared" si="47"/>
        <v>-1</v>
      </c>
    </row>
    <row r="60" spans="1:26" s="24" customFormat="1" hidden="1" outlineLevel="2" x14ac:dyDescent="0.25">
      <c r="A60" s="25"/>
      <c r="B60" s="11" t="str">
        <f>CONCATENATE("          ", "6235", " - ", "COVID-19 EXPENSES")</f>
        <v xml:space="preserve">          6235 - COVID-19 EXPENSES</v>
      </c>
      <c r="C60" s="11"/>
      <c r="D60" s="6"/>
      <c r="E60" s="2"/>
      <c r="F60" s="7">
        <f t="shared" si="40"/>
        <v>0</v>
      </c>
      <c r="G60" s="2"/>
      <c r="H60" s="6"/>
      <c r="I60" s="2"/>
      <c r="J60" s="7">
        <f t="shared" si="41"/>
        <v>0</v>
      </c>
      <c r="K60" s="2"/>
      <c r="L60" s="6">
        <f t="shared" si="42"/>
        <v>0</v>
      </c>
      <c r="M60" s="2"/>
      <c r="N60" s="7">
        <f t="shared" si="43"/>
        <v>0</v>
      </c>
      <c r="O60" s="11"/>
      <c r="P60" s="6">
        <v>310.91000000000003</v>
      </c>
      <c r="Q60" s="2"/>
      <c r="R60" s="7">
        <f t="shared" si="44"/>
        <v>4.2258760731361585E-3</v>
      </c>
      <c r="S60" s="2"/>
      <c r="T60" s="6"/>
      <c r="U60" s="2"/>
      <c r="V60" s="7">
        <f t="shared" si="45"/>
        <v>0</v>
      </c>
      <c r="W60" s="2"/>
      <c r="X60" s="6">
        <f t="shared" si="46"/>
        <v>310.91000000000003</v>
      </c>
      <c r="Y60" s="2"/>
      <c r="Z60" s="7">
        <f t="shared" si="47"/>
        <v>0</v>
      </c>
    </row>
    <row r="61" spans="1:26" s="24" customFormat="1" hidden="1" outlineLevel="2" x14ac:dyDescent="0.25">
      <c r="A61" s="25"/>
      <c r="B61" s="11" t="str">
        <f>CONCATENATE("          ", "6241", " - ", "OFFICE EXPENSE")</f>
        <v xml:space="preserve">          6241 - OFFICE EXPENSE</v>
      </c>
      <c r="C61" s="11"/>
      <c r="D61" s="6"/>
      <c r="E61" s="2"/>
      <c r="F61" s="7">
        <f t="shared" si="40"/>
        <v>0</v>
      </c>
      <c r="G61" s="2"/>
      <c r="H61" s="6"/>
      <c r="I61" s="2"/>
      <c r="J61" s="7">
        <f t="shared" si="41"/>
        <v>0</v>
      </c>
      <c r="K61" s="2"/>
      <c r="L61" s="6">
        <f t="shared" si="42"/>
        <v>0</v>
      </c>
      <c r="M61" s="2"/>
      <c r="N61" s="7">
        <f t="shared" si="43"/>
        <v>0</v>
      </c>
      <c r="O61" s="11"/>
      <c r="P61" s="6">
        <v>4596.8599999999997</v>
      </c>
      <c r="Q61" s="2"/>
      <c r="R61" s="7">
        <f t="shared" si="44"/>
        <v>6.2480334133854426E-2</v>
      </c>
      <c r="S61" s="2"/>
      <c r="T61" s="6"/>
      <c r="U61" s="2"/>
      <c r="V61" s="7">
        <f t="shared" si="45"/>
        <v>0</v>
      </c>
      <c r="W61" s="2"/>
      <c r="X61" s="6">
        <f t="shared" si="46"/>
        <v>4596.8599999999997</v>
      </c>
      <c r="Y61" s="2"/>
      <c r="Z61" s="7">
        <f t="shared" si="47"/>
        <v>0</v>
      </c>
    </row>
    <row r="62" spans="1:26" s="24" customFormat="1" hidden="1" outlineLevel="2" x14ac:dyDescent="0.25">
      <c r="A62" s="25"/>
      <c r="B62" s="11" t="str">
        <f>CONCATENATE("          ", "6243", " - ", "PAPER SUPPLIES")</f>
        <v xml:space="preserve">          6243 - PAPER SUPPLIES</v>
      </c>
      <c r="C62" s="11"/>
      <c r="D62" s="6">
        <v>1108.5999999999999</v>
      </c>
      <c r="E62" s="2"/>
      <c r="F62" s="7">
        <f t="shared" si="40"/>
        <v>0.69378559359158887</v>
      </c>
      <c r="G62" s="2"/>
      <c r="H62" s="6">
        <v>1423.15</v>
      </c>
      <c r="I62" s="2"/>
      <c r="J62" s="7">
        <f t="shared" si="41"/>
        <v>3.6817454860038568E-2</v>
      </c>
      <c r="K62" s="2"/>
      <c r="L62" s="6">
        <f t="shared" si="42"/>
        <v>-314.55000000000018</v>
      </c>
      <c r="M62" s="2"/>
      <c r="N62" s="7">
        <f t="shared" si="43"/>
        <v>-0.2210237852650811</v>
      </c>
      <c r="O62" s="11"/>
      <c r="P62" s="6">
        <v>4682.3</v>
      </c>
      <c r="Q62" s="2"/>
      <c r="R62" s="7">
        <f t="shared" si="44"/>
        <v>6.3641631138417656E-2</v>
      </c>
      <c r="S62" s="2"/>
      <c r="T62" s="6">
        <v>6329.48</v>
      </c>
      <c r="U62" s="2"/>
      <c r="V62" s="7">
        <f t="shared" si="45"/>
        <v>2.4043963117101212E-2</v>
      </c>
      <c r="W62" s="2"/>
      <c r="X62" s="6">
        <f t="shared" si="46"/>
        <v>-1647.1799999999994</v>
      </c>
      <c r="Y62" s="2"/>
      <c r="Z62" s="7">
        <f t="shared" si="47"/>
        <v>-0.26023938775381222</v>
      </c>
    </row>
    <row r="63" spans="1:26" s="24" customFormat="1" hidden="1" outlineLevel="2" x14ac:dyDescent="0.25">
      <c r="A63" s="25"/>
      <c r="B63" s="11" t="str">
        <f>CONCATENATE("          ", "6245", " - ", "PRINTING")</f>
        <v xml:space="preserve">          6245 - PRINTING</v>
      </c>
      <c r="C63" s="11"/>
      <c r="D63" s="6">
        <v>93.72</v>
      </c>
      <c r="E63" s="2"/>
      <c r="F63" s="7">
        <f t="shared" si="40"/>
        <v>5.8651980724701167E-2</v>
      </c>
      <c r="G63" s="2"/>
      <c r="H63" s="6">
        <v>214.98</v>
      </c>
      <c r="I63" s="2"/>
      <c r="J63" s="7">
        <f t="shared" si="41"/>
        <v>5.5616178518154025E-3</v>
      </c>
      <c r="K63" s="2"/>
      <c r="L63" s="6">
        <f t="shared" si="42"/>
        <v>-121.25999999999999</v>
      </c>
      <c r="M63" s="2"/>
      <c r="N63" s="7">
        <f t="shared" si="43"/>
        <v>-0.56405246999720904</v>
      </c>
      <c r="O63" s="11"/>
      <c r="P63" s="6">
        <v>439.61</v>
      </c>
      <c r="Q63" s="2"/>
      <c r="R63" s="7">
        <f t="shared" si="44"/>
        <v>5.9751612380154594E-3</v>
      </c>
      <c r="S63" s="2"/>
      <c r="T63" s="6">
        <v>464.42</v>
      </c>
      <c r="U63" s="2"/>
      <c r="V63" s="7">
        <f t="shared" si="45"/>
        <v>1.7642045398427906E-3</v>
      </c>
      <c r="W63" s="2"/>
      <c r="X63" s="6">
        <f t="shared" si="46"/>
        <v>-24.810000000000002</v>
      </c>
      <c r="Y63" s="2"/>
      <c r="Z63" s="7">
        <f t="shared" si="47"/>
        <v>-5.3421471943499423E-2</v>
      </c>
    </row>
    <row r="64" spans="1:26" s="24" customFormat="1" hidden="1" outlineLevel="2" x14ac:dyDescent="0.25">
      <c r="A64" s="25"/>
      <c r="B64" s="11" t="str">
        <f>CONCATENATE("          ", "6247", " - ", "STORE SUPPLIES")</f>
        <v xml:space="preserve">          6247 - STORE SUPPLIES</v>
      </c>
      <c r="C64" s="11"/>
      <c r="D64" s="6">
        <v>1159.74</v>
      </c>
      <c r="E64" s="2"/>
      <c r="F64" s="7">
        <f t="shared" si="40"/>
        <v>0.72579009950560103</v>
      </c>
      <c r="G64" s="2"/>
      <c r="H64" s="6">
        <v>190.23</v>
      </c>
      <c r="I64" s="2"/>
      <c r="J64" s="7">
        <f t="shared" si="41"/>
        <v>4.9213255370306264E-3</v>
      </c>
      <c r="K64" s="2"/>
      <c r="L64" s="6">
        <f t="shared" si="42"/>
        <v>969.51</v>
      </c>
      <c r="M64" s="2"/>
      <c r="N64" s="7">
        <f t="shared" si="43"/>
        <v>5.0965147453083111</v>
      </c>
      <c r="O64" s="11"/>
      <c r="P64" s="6">
        <v>13843.93</v>
      </c>
      <c r="Q64" s="2"/>
      <c r="R64" s="7">
        <f t="shared" si="44"/>
        <v>0.18816613343144914</v>
      </c>
      <c r="S64" s="2"/>
      <c r="T64" s="6">
        <v>6172.56</v>
      </c>
      <c r="U64" s="2"/>
      <c r="V64" s="7">
        <f t="shared" si="45"/>
        <v>2.3447866961913817E-2</v>
      </c>
      <c r="W64" s="2"/>
      <c r="X64" s="6">
        <f t="shared" si="46"/>
        <v>7671.37</v>
      </c>
      <c r="Y64" s="2"/>
      <c r="Z64" s="7">
        <f t="shared" si="47"/>
        <v>1.2428182148087665</v>
      </c>
    </row>
    <row r="65" spans="1:26" s="26" customFormat="1" outlineLevel="1" collapsed="1" x14ac:dyDescent="0.25">
      <c r="A65" s="27"/>
      <c r="B65" s="13" t="str">
        <f>CONCATENATE("     ","Telephone/Data Lines                              ")</f>
        <v xml:space="preserve">     Telephone/Data Lines                              </v>
      </c>
      <c r="C65" s="13"/>
      <c r="D65" s="1">
        <f>SUM(OSRRefD22_9x_0)</f>
        <v>214.55</v>
      </c>
      <c r="E65" s="1"/>
      <c r="F65" s="5">
        <f t="shared" ref="F65:F70" si="48">IF(D$12=0,0,D65/D$12)</f>
        <v>0.13426997934789411</v>
      </c>
      <c r="G65" s="1"/>
      <c r="H65" s="1">
        <f>SUM(OSRRefH22_9x_0)</f>
        <v>108.05</v>
      </c>
      <c r="I65" s="1"/>
      <c r="J65" s="5">
        <f t="shared" ref="J65:J70" si="49">IF(H$12=0,0,H65/H$12)</f>
        <v>2.7952963479795996E-3</v>
      </c>
      <c r="K65" s="1"/>
      <c r="L65" s="1">
        <f t="shared" ref="L65:L70" si="50">+D65-H65</f>
        <v>106.50000000000001</v>
      </c>
      <c r="M65" s="1"/>
      <c r="N65" s="5">
        <f t="shared" ref="N65:N70" si="51">IF(H65=0,0,L65/H65)</f>
        <v>0.98565478944932916</v>
      </c>
      <c r="O65" s="13"/>
      <c r="P65" s="1">
        <f>SUM(OSRRefP22_9x_0)</f>
        <v>1073.7</v>
      </c>
      <c r="Q65" s="1"/>
      <c r="R65" s="5">
        <f t="shared" ref="R65:R70" si="52">IF(P$12=0,0,P65/P$12)</f>
        <v>1.4593686725181864E-2</v>
      </c>
      <c r="S65" s="1"/>
      <c r="T65" s="1">
        <f>SUM(OSRRefT22_9x_0)</f>
        <v>710.4</v>
      </c>
      <c r="U65" s="1"/>
      <c r="V65" s="5">
        <f t="shared" ref="V65:V70" si="53">IF(T$12=0,0,T65/T$12)</f>
        <v>2.6986152730380224E-3</v>
      </c>
      <c r="W65" s="1"/>
      <c r="X65" s="1">
        <f t="shared" ref="X65:X70" si="54">+P65-T65</f>
        <v>363.30000000000007</v>
      </c>
      <c r="Y65" s="1"/>
      <c r="Z65" s="5">
        <f t="shared" ref="Z65:Z70" si="55">IF(T65=0,0,X65/T65)</f>
        <v>0.51140202702702708</v>
      </c>
    </row>
    <row r="66" spans="1:26" s="24" customFormat="1" hidden="1" outlineLevel="2" x14ac:dyDescent="0.25">
      <c r="A66" s="25"/>
      <c r="B66" s="11" t="str">
        <f>CONCATENATE("          ", "6309", " - ", "TELEPHONE")</f>
        <v xml:space="preserve">          6309 - TELEPHONE</v>
      </c>
      <c r="C66" s="11"/>
      <c r="D66" s="6">
        <v>214.55</v>
      </c>
      <c r="E66" s="2"/>
      <c r="F66" s="7">
        <f t="shared" si="48"/>
        <v>0.13426997934789411</v>
      </c>
      <c r="G66" s="2"/>
      <c r="H66" s="6">
        <v>108.05</v>
      </c>
      <c r="I66" s="2"/>
      <c r="J66" s="7">
        <f t="shared" si="49"/>
        <v>2.7952963479795996E-3</v>
      </c>
      <c r="K66" s="2"/>
      <c r="L66" s="6">
        <f t="shared" si="50"/>
        <v>106.50000000000001</v>
      </c>
      <c r="M66" s="2"/>
      <c r="N66" s="7">
        <f t="shared" si="51"/>
        <v>0.98565478944932916</v>
      </c>
      <c r="O66" s="11"/>
      <c r="P66" s="6">
        <v>1073.7</v>
      </c>
      <c r="Q66" s="2"/>
      <c r="R66" s="7">
        <f t="shared" si="52"/>
        <v>1.4593686725181864E-2</v>
      </c>
      <c r="S66" s="2"/>
      <c r="T66" s="6">
        <v>710.4</v>
      </c>
      <c r="U66" s="2"/>
      <c r="V66" s="7">
        <f t="shared" si="53"/>
        <v>2.6986152730380224E-3</v>
      </c>
      <c r="W66" s="2"/>
      <c r="X66" s="6">
        <f t="shared" si="54"/>
        <v>363.30000000000007</v>
      </c>
      <c r="Y66" s="2"/>
      <c r="Z66" s="7">
        <f t="shared" si="55"/>
        <v>0.51140202702702708</v>
      </c>
    </row>
    <row r="67" spans="1:26" s="26" customFormat="1" outlineLevel="1" collapsed="1" x14ac:dyDescent="0.25">
      <c r="A67" s="27"/>
      <c r="B67" s="13" t="str">
        <f>CONCATENATE("     ","Training                                          ")</f>
        <v xml:space="preserve">     Training                                          </v>
      </c>
      <c r="C67" s="13"/>
      <c r="D67" s="1">
        <f>SUM(OSRRefD22_10x_0)</f>
        <v>0</v>
      </c>
      <c r="E67" s="1"/>
      <c r="F67" s="5">
        <f t="shared" si="48"/>
        <v>0</v>
      </c>
      <c r="G67" s="1"/>
      <c r="H67" s="1">
        <f>SUM(OSRRefH22_10x_0)</f>
        <v>0</v>
      </c>
      <c r="I67" s="1"/>
      <c r="J67" s="5">
        <f t="shared" si="49"/>
        <v>0</v>
      </c>
      <c r="K67" s="1"/>
      <c r="L67" s="1">
        <f t="shared" si="50"/>
        <v>0</v>
      </c>
      <c r="M67" s="1"/>
      <c r="N67" s="5">
        <f t="shared" si="51"/>
        <v>0</v>
      </c>
      <c r="O67" s="13"/>
      <c r="P67" s="1">
        <f>SUM(OSRRefP22_10x_0)</f>
        <v>0</v>
      </c>
      <c r="Q67" s="1"/>
      <c r="R67" s="5">
        <f t="shared" si="52"/>
        <v>0</v>
      </c>
      <c r="S67" s="1"/>
      <c r="T67" s="1">
        <f>SUM(OSRRefT22_10x_0)</f>
        <v>97.71</v>
      </c>
      <c r="U67" s="1"/>
      <c r="V67" s="5">
        <f t="shared" si="53"/>
        <v>3.7117356183635297E-4</v>
      </c>
      <c r="W67" s="1"/>
      <c r="X67" s="1">
        <f t="shared" si="54"/>
        <v>-97.71</v>
      </c>
      <c r="Y67" s="1"/>
      <c r="Z67" s="5">
        <f t="shared" si="55"/>
        <v>-1</v>
      </c>
    </row>
    <row r="68" spans="1:26" s="24" customFormat="1" hidden="1" outlineLevel="2" x14ac:dyDescent="0.25">
      <c r="A68" s="25"/>
      <c r="B68" s="11" t="str">
        <f>CONCATENATE("          ", "6376", " - ", "TRAINING")</f>
        <v xml:space="preserve">          6376 - TRAINING</v>
      </c>
      <c r="C68" s="11"/>
      <c r="D68" s="6"/>
      <c r="E68" s="2"/>
      <c r="F68" s="7">
        <f t="shared" si="48"/>
        <v>0</v>
      </c>
      <c r="G68" s="2"/>
      <c r="H68" s="6"/>
      <c r="I68" s="2"/>
      <c r="J68" s="7">
        <f t="shared" si="49"/>
        <v>0</v>
      </c>
      <c r="K68" s="2"/>
      <c r="L68" s="6">
        <f t="shared" si="50"/>
        <v>0</v>
      </c>
      <c r="M68" s="2"/>
      <c r="N68" s="7">
        <f t="shared" si="51"/>
        <v>0</v>
      </c>
      <c r="O68" s="11"/>
      <c r="P68" s="6"/>
      <c r="Q68" s="2"/>
      <c r="R68" s="7">
        <f t="shared" si="52"/>
        <v>0</v>
      </c>
      <c r="S68" s="2"/>
      <c r="T68" s="6">
        <v>97.71</v>
      </c>
      <c r="U68" s="2"/>
      <c r="V68" s="7">
        <f t="shared" si="53"/>
        <v>3.7117356183635297E-4</v>
      </c>
      <c r="W68" s="2"/>
      <c r="X68" s="6">
        <f t="shared" si="54"/>
        <v>-97.71</v>
      </c>
      <c r="Y68" s="2"/>
      <c r="Z68" s="7">
        <f t="shared" si="55"/>
        <v>-1</v>
      </c>
    </row>
    <row r="69" spans="1:26" s="26" customFormat="1" outlineLevel="1" collapsed="1" x14ac:dyDescent="0.25">
      <c r="A69" s="27"/>
      <c r="B69" s="13" t="str">
        <f>CONCATENATE("     ","Utilities                                         ")</f>
        <v xml:space="preserve">     Utilities                                         </v>
      </c>
      <c r="C69" s="13"/>
      <c r="D69" s="1">
        <f>SUM(OSRRefD22_11x_0)</f>
        <v>0</v>
      </c>
      <c r="E69" s="1"/>
      <c r="F69" s="5">
        <f t="shared" si="48"/>
        <v>0</v>
      </c>
      <c r="G69" s="1"/>
      <c r="H69" s="1">
        <f>SUM(OSRRefH22_11x_0)</f>
        <v>0</v>
      </c>
      <c r="I69" s="1"/>
      <c r="J69" s="5">
        <f t="shared" si="49"/>
        <v>0</v>
      </c>
      <c r="K69" s="1"/>
      <c r="L69" s="1">
        <f t="shared" si="50"/>
        <v>0</v>
      </c>
      <c r="M69" s="1"/>
      <c r="N69" s="5">
        <f t="shared" si="51"/>
        <v>0</v>
      </c>
      <c r="O69" s="13"/>
      <c r="P69" s="1">
        <f>SUM(OSRRefP22_11x_0)</f>
        <v>15.02</v>
      </c>
      <c r="Q69" s="1"/>
      <c r="R69" s="5">
        <f t="shared" si="52"/>
        <v>2.0415122903253384E-4</v>
      </c>
      <c r="S69" s="1"/>
      <c r="T69" s="1">
        <f>SUM(OSRRefT22_11x_0)</f>
        <v>0</v>
      </c>
      <c r="U69" s="1"/>
      <c r="V69" s="5">
        <f t="shared" si="53"/>
        <v>0</v>
      </c>
      <c r="W69" s="1"/>
      <c r="X69" s="1">
        <f t="shared" si="54"/>
        <v>15.02</v>
      </c>
      <c r="Y69" s="1"/>
      <c r="Z69" s="5">
        <f t="shared" si="55"/>
        <v>0</v>
      </c>
    </row>
    <row r="70" spans="1:26" s="24" customFormat="1" hidden="1" outlineLevel="2" x14ac:dyDescent="0.25">
      <c r="A70" s="25"/>
      <c r="B70" s="11" t="str">
        <f>CONCATENATE("          ", "6274", " - ", "UTILITIES")</f>
        <v xml:space="preserve">          6274 - UTILITIES</v>
      </c>
      <c r="C70" s="11"/>
      <c r="D70" s="6"/>
      <c r="E70" s="2"/>
      <c r="F70" s="7">
        <f t="shared" si="48"/>
        <v>0</v>
      </c>
      <c r="G70" s="2"/>
      <c r="H70" s="6"/>
      <c r="I70" s="2"/>
      <c r="J70" s="7">
        <f t="shared" si="49"/>
        <v>0</v>
      </c>
      <c r="K70" s="2"/>
      <c r="L70" s="6">
        <f t="shared" si="50"/>
        <v>0</v>
      </c>
      <c r="M70" s="2"/>
      <c r="N70" s="7">
        <f t="shared" si="51"/>
        <v>0</v>
      </c>
      <c r="O70" s="11"/>
      <c r="P70" s="6">
        <v>15.02</v>
      </c>
      <c r="Q70" s="2"/>
      <c r="R70" s="7">
        <f t="shared" si="52"/>
        <v>2.0415122903253384E-4</v>
      </c>
      <c r="S70" s="2"/>
      <c r="T70" s="6"/>
      <c r="U70" s="2"/>
      <c r="V70" s="7">
        <f t="shared" si="53"/>
        <v>0</v>
      </c>
      <c r="W70" s="2"/>
      <c r="X70" s="6">
        <f t="shared" si="54"/>
        <v>15.02</v>
      </c>
      <c r="Y70" s="2"/>
      <c r="Z70" s="7">
        <f t="shared" si="55"/>
        <v>0</v>
      </c>
    </row>
    <row r="71" spans="1:26" s="53" customFormat="1" x14ac:dyDescent="0.2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25">
      <c r="A72" s="10"/>
      <c r="B72" s="29" t="s">
        <v>0</v>
      </c>
      <c r="C72" s="10"/>
      <c r="D72" s="4">
        <f>SUM(OSRRefD25x_0)</f>
        <v>6782</v>
      </c>
      <c r="E72" s="4"/>
      <c r="F72" s="12">
        <f t="shared" ref="F72:F73" si="56">IF(D$12=0,0,D72/D$12)</f>
        <v>4.2443206708805308</v>
      </c>
      <c r="G72" s="4"/>
      <c r="H72" s="4">
        <f>SUM(OSRRefH25x_0)</f>
        <v>13269</v>
      </c>
      <c r="I72" s="4"/>
      <c r="J72" s="12">
        <f t="shared" ref="J72:J73" si="57">IF(H$12=0,0,H72/H$12)</f>
        <v>0.34327429191431102</v>
      </c>
      <c r="K72" s="4"/>
      <c r="L72" s="4">
        <f t="shared" ref="L72:L73" si="58">+D72-H72</f>
        <v>-6487</v>
      </c>
      <c r="M72" s="4"/>
      <c r="N72" s="12">
        <f t="shared" ref="N72:N73" si="59">IF(H72=0,0,L72/H72)</f>
        <v>-0.48888386464692141</v>
      </c>
      <c r="O72" s="10"/>
      <c r="P72" s="4">
        <f>SUM(OSRRefP25x_0)</f>
        <v>33910</v>
      </c>
      <c r="Q72" s="4"/>
      <c r="R72" s="12">
        <f t="shared" ref="R72:R73" si="60">IF(P$12=0,0,P72/P$12)</f>
        <v>0.46090334064535438</v>
      </c>
      <c r="S72" s="4"/>
      <c r="T72" s="4">
        <f>SUM(OSRRefT25x_0)</f>
        <v>66345</v>
      </c>
      <c r="U72" s="4"/>
      <c r="V72" s="12">
        <f t="shared" ref="V72:V73" si="61">IF(T$12=0,0,T72/T$12)</f>
        <v>0.25202650660150283</v>
      </c>
      <c r="W72" s="4"/>
      <c r="X72" s="4">
        <f t="shared" ref="X72:X73" si="62">+P72-T72</f>
        <v>-32435</v>
      </c>
      <c r="Y72" s="4"/>
      <c r="Z72" s="12">
        <f t="shared" ref="Z72:Z73" si="63">IF(T72=0,0,X72/T72)</f>
        <v>-0.48888386464692141</v>
      </c>
    </row>
    <row r="73" spans="1:26" s="24" customFormat="1" hidden="1" outlineLevel="1" x14ac:dyDescent="0.25">
      <c r="A73" s="44"/>
      <c r="B73" s="11" t="str">
        <f>CONCATENATE("          ", "9150", " - ", "MISC. INCOME")</f>
        <v xml:space="preserve">          9150 - MISC. INCOME</v>
      </c>
      <c r="C73" s="11"/>
      <c r="D73" s="2">
        <f>--6782</f>
        <v>6782</v>
      </c>
      <c r="E73" s="2"/>
      <c r="F73" s="19">
        <f t="shared" si="56"/>
        <v>4.2443206708805308</v>
      </c>
      <c r="G73" s="2"/>
      <c r="H73" s="2">
        <f>--13269</f>
        <v>13269</v>
      </c>
      <c r="I73" s="2"/>
      <c r="J73" s="19">
        <f t="shared" si="57"/>
        <v>0.34327429191431102</v>
      </c>
      <c r="K73" s="2"/>
      <c r="L73" s="2">
        <f t="shared" si="58"/>
        <v>-6487</v>
      </c>
      <c r="M73" s="2"/>
      <c r="N73" s="19">
        <f t="shared" si="59"/>
        <v>-0.48888386464692141</v>
      </c>
      <c r="O73" s="11"/>
      <c r="P73" s="2">
        <f>--33910</f>
        <v>33910</v>
      </c>
      <c r="Q73" s="2"/>
      <c r="R73" s="19">
        <f t="shared" si="60"/>
        <v>0.46090334064535438</v>
      </c>
      <c r="S73" s="2"/>
      <c r="T73" s="2">
        <f>--66345</f>
        <v>66345</v>
      </c>
      <c r="U73" s="2"/>
      <c r="V73" s="19">
        <f t="shared" si="61"/>
        <v>0.25202650660150283</v>
      </c>
      <c r="W73" s="2"/>
      <c r="X73" s="2">
        <f t="shared" si="62"/>
        <v>-32435</v>
      </c>
      <c r="Y73" s="2"/>
      <c r="Z73" s="19">
        <f t="shared" si="63"/>
        <v>-0.48888386464692141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8" t="s">
        <v>3</v>
      </c>
      <c r="C75" s="28"/>
      <c r="D75" s="20">
        <f>+D28-D30+D72</f>
        <v>-30800.15</v>
      </c>
      <c r="E75" s="14"/>
      <c r="F75" s="22">
        <f>IF(D$12=0,0,D75/D$12)</f>
        <v>-19.275392702922584</v>
      </c>
      <c r="G75" s="14"/>
      <c r="H75" s="20">
        <f>+H28-H30+H72</f>
        <v>4924.4899999999834</v>
      </c>
      <c r="I75" s="14"/>
      <c r="J75" s="22">
        <f>IF(H$12=0,0,H75/H$12)</f>
        <v>0.12739850914078679</v>
      </c>
      <c r="K75" s="15"/>
      <c r="L75" s="20">
        <f>+D75-H75</f>
        <v>-35724.639999999985</v>
      </c>
      <c r="M75" s="15"/>
      <c r="N75" s="22">
        <f>IF(H75=0,0,L75/H75)</f>
        <v>-7.2544852360346157</v>
      </c>
      <c r="O75" s="29"/>
      <c r="P75" s="20">
        <f>+P28-P30+P72</f>
        <v>-52702.8299999999</v>
      </c>
      <c r="Q75" s="14"/>
      <c r="R75" s="22">
        <f>IF(P$12=0,0,P75/P$12)</f>
        <v>-0.71633472157075062</v>
      </c>
      <c r="S75" s="14"/>
      <c r="T75" s="20">
        <f>+T28-T30+T72</f>
        <v>105578.80000000002</v>
      </c>
      <c r="U75" s="14"/>
      <c r="V75" s="22">
        <f>IF(T$12=0,0,T75/T$12)</f>
        <v>0.40106498055887785</v>
      </c>
      <c r="W75" s="15"/>
      <c r="X75" s="20">
        <f>+P75-T75</f>
        <v>-158281.62999999992</v>
      </c>
      <c r="Y75" s="15"/>
      <c r="Z75" s="22">
        <f>IF(T75=0,0,X75/T75)</f>
        <v>-1.4991800437208975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1"/>
      <c r="B77" s="10" t="s">
        <v>13</v>
      </c>
      <c r="C77" s="10"/>
      <c r="D77" s="4">
        <v>-3900.6</v>
      </c>
      <c r="E77" s="4"/>
      <c r="F77" s="12">
        <f>IF(D$12=0,0,D77/D$12)</f>
        <v>-2.4410789160773514</v>
      </c>
      <c r="G77" s="4"/>
      <c r="H77" s="4">
        <v>5267.99</v>
      </c>
      <c r="I77" s="4"/>
      <c r="J77" s="12">
        <f>IF(H$12=0,0,H77/H$12)</f>
        <v>0.13628499035810318</v>
      </c>
      <c r="K77" s="4"/>
      <c r="L77" s="4">
        <f>+D77-H77</f>
        <v>-9168.59</v>
      </c>
      <c r="M77" s="4"/>
      <c r="N77" s="12">
        <f>IF(H77=0,0,L77/H77)</f>
        <v>-1.7404342073542283</v>
      </c>
      <c r="O77" s="10"/>
      <c r="P77" s="4">
        <v>11690.74</v>
      </c>
      <c r="Q77" s="4"/>
      <c r="R77" s="12">
        <f>IF(P$12=0,0,P77/P$12)</f>
        <v>0.15890006253660482</v>
      </c>
      <c r="S77" s="4"/>
      <c r="T77" s="4">
        <v>27875.98</v>
      </c>
      <c r="U77" s="4"/>
      <c r="V77" s="12">
        <f>IF(T$12=0,0,T77/T$12)</f>
        <v>0.10589322266174331</v>
      </c>
      <c r="W77" s="4"/>
      <c r="X77" s="4">
        <f>+P77-T77</f>
        <v>-16185.24</v>
      </c>
      <c r="Y77" s="4"/>
      <c r="Z77" s="12">
        <f>IF(T77=0,0,X77/T77)</f>
        <v>-0.58061599986798673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8" t="s">
        <v>4</v>
      </c>
      <c r="C79" s="28"/>
      <c r="D79" s="31">
        <f>+D75-D77</f>
        <v>-26899.550000000003</v>
      </c>
      <c r="E79" s="14"/>
      <c r="F79" s="34">
        <f>IF(D$12=0,0,D79/D$12)</f>
        <v>-16.834313786845236</v>
      </c>
      <c r="G79" s="14"/>
      <c r="H79" s="31">
        <f>+H75-H77</f>
        <v>-343.50000000001637</v>
      </c>
      <c r="I79" s="14"/>
      <c r="J79" s="34">
        <f>IF(H$12=0,0,H79/H$12)</f>
        <v>-8.8864812173164113E-3</v>
      </c>
      <c r="K79" s="15"/>
      <c r="L79" s="31">
        <f>D79-H79</f>
        <v>-26556.049999999988</v>
      </c>
      <c r="M79" s="15"/>
      <c r="N79" s="34">
        <f>IF(H79=0,0,L79/H79)</f>
        <v>77.310189228526127</v>
      </c>
      <c r="O79" s="29"/>
      <c r="P79" s="31">
        <f>+P75-P77</f>
        <v>-64393.569999999898</v>
      </c>
      <c r="Q79" s="14"/>
      <c r="R79" s="34">
        <f>IF(P$12=0,0,P79/P$12)</f>
        <v>-0.87523478410735545</v>
      </c>
      <c r="S79" s="14"/>
      <c r="T79" s="31">
        <f>+T75-T77</f>
        <v>77702.820000000022</v>
      </c>
      <c r="U79" s="14"/>
      <c r="V79" s="34">
        <f>IF(T$12=0,0,T79/T$12)</f>
        <v>0.29517175789713451</v>
      </c>
      <c r="W79" s="15"/>
      <c r="X79" s="31">
        <f>P79-T79</f>
        <v>-142096.38999999993</v>
      </c>
      <c r="Y79" s="15"/>
      <c r="Z79" s="34">
        <f>IF(T79=0,0,X79/T79)</f>
        <v>-1.8287159976948055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8" t="s">
        <v>5</v>
      </c>
      <c r="C82" s="28"/>
      <c r="D82" s="32">
        <f>SUM(D79:D81)</f>
        <v>-26899.550000000003</v>
      </c>
      <c r="E82" s="14"/>
      <c r="F82" s="30">
        <f>IF(D$12=0,0,D82/D$12)</f>
        <v>-16.834313786845236</v>
      </c>
      <c r="G82" s="14"/>
      <c r="H82" s="32">
        <f>SUM(H79:H81)</f>
        <v>-343.50000000001637</v>
      </c>
      <c r="I82" s="14"/>
      <c r="J82" s="30">
        <f>IF(H$12=0,0,H82/H$12)</f>
        <v>-8.8864812173164113E-3</v>
      </c>
      <c r="K82" s="15"/>
      <c r="L82" s="32">
        <f>+D82-H82</f>
        <v>-26556.049999999988</v>
      </c>
      <c r="M82" s="15"/>
      <c r="N82" s="30">
        <f>IF(H82=0,0,L82/H82)</f>
        <v>77.310189228526127</v>
      </c>
      <c r="O82" s="29"/>
      <c r="P82" s="32">
        <f>SUM(P79:P81)</f>
        <v>-64393.569999999898</v>
      </c>
      <c r="Q82" s="14"/>
      <c r="R82" s="30">
        <f>IF(P$12=0,0,P82/P$12)</f>
        <v>-0.87523478410735545</v>
      </c>
      <c r="S82" s="14"/>
      <c r="T82" s="32">
        <f>SUM(T79:T81)</f>
        <v>77702.820000000022</v>
      </c>
      <c r="U82" s="14"/>
      <c r="V82" s="30">
        <f>IF(T$12=0,0,T82/T$12)</f>
        <v>0.29517175789713451</v>
      </c>
      <c r="W82" s="15"/>
      <c r="X82" s="32">
        <f>+P82-T82</f>
        <v>-142096.38999999993</v>
      </c>
      <c r="Y82" s="15"/>
      <c r="Z82" s="30">
        <f>IF(T82=0,0,X82/T82)</f>
        <v>-1.8287159976948055</v>
      </c>
    </row>
    <row r="83" spans="1:26" ht="15.75" thickTop="1" x14ac:dyDescent="0.25">
      <c r="A83" s="9"/>
      <c r="C83" s="9"/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6" x14ac:dyDescent="0.25">
      <c r="A84" s="9"/>
      <c r="B84" s="54">
        <v>44174.685680902781</v>
      </c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56" t="s">
        <v>313</v>
      </c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61"/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","320", " - ", "Customer Service (old)")</f>
        <v>Department 320 - Customer Service (old)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2410.4300000000003</v>
      </c>
      <c r="I12" s="4"/>
      <c r="J12" s="12"/>
      <c r="K12" s="4"/>
      <c r="L12" s="4">
        <f t="shared" ref="L12:L15" si="0">+D12-H12</f>
        <v>-2410.4300000000003</v>
      </c>
      <c r="M12" s="4"/>
      <c r="N12" s="12">
        <f t="shared" ref="N12:N15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7310.24</v>
      </c>
      <c r="U12" s="4"/>
      <c r="V12" s="12"/>
      <c r="W12" s="4"/>
      <c r="X12" s="4">
        <f t="shared" ref="X12:X15" si="2">+P12-T12</f>
        <v>-7310.24</v>
      </c>
      <c r="Y12" s="4"/>
      <c r="Z12" s="12">
        <f t="shared" ref="Z12:Z15" si="3">IF(T12=0,0,X12/T12)</f>
        <v>-1</v>
      </c>
    </row>
    <row r="13" spans="1:26" s="24" customFormat="1" hidden="1" outlineLevel="1" x14ac:dyDescent="0.25">
      <c r="A13" s="44"/>
      <c r="B13" s="11" t="str">
        <f>CONCATENATE("          ", "4092", " - ", "TAXABLE SALES-GRAD MERCH")</f>
        <v xml:space="preserve">          4092 - TAXABLE SALES-GRAD MERCH</v>
      </c>
      <c r="C13" s="11"/>
      <c r="D13" s="2">
        <f t="shared" ref="D13:D15" si="4">0</f>
        <v>0</v>
      </c>
      <c r="E13" s="2"/>
      <c r="F13" s="19"/>
      <c r="G13" s="2"/>
      <c r="H13" s="2">
        <f>--2389.54</f>
        <v>2389.54</v>
      </c>
      <c r="I13" s="2"/>
      <c r="J13" s="19"/>
      <c r="K13" s="2"/>
      <c r="L13" s="2">
        <f t="shared" si="0"/>
        <v>-2389.54</v>
      </c>
      <c r="M13" s="2"/>
      <c r="N13" s="19">
        <f t="shared" si="1"/>
        <v>-1</v>
      </c>
      <c r="O13" s="11"/>
      <c r="P13" s="2">
        <f t="shared" ref="P13:P15" si="5">0</f>
        <v>0</v>
      </c>
      <c r="Q13" s="2"/>
      <c r="R13" s="19"/>
      <c r="S13" s="2"/>
      <c r="T13" s="2">
        <f>--7480.57</f>
        <v>7480.57</v>
      </c>
      <c r="U13" s="2"/>
      <c r="V13" s="19"/>
      <c r="W13" s="2"/>
      <c r="X13" s="2">
        <f t="shared" si="2"/>
        <v>-7480.57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"4095", " - ", "TAXABLE SALES-CUSTOMER SERVICE")</f>
        <v xml:space="preserve">          4095 - TAXABLE SALES-CUSTOMER SERVICE</v>
      </c>
      <c r="C14" s="11"/>
      <c r="D14" s="2">
        <f t="shared" si="4"/>
        <v>0</v>
      </c>
      <c r="E14" s="2"/>
      <c r="F14" s="19"/>
      <c r="G14" s="2"/>
      <c r="H14" s="2">
        <f>--30.84</f>
        <v>30.84</v>
      </c>
      <c r="I14" s="2"/>
      <c r="J14" s="19"/>
      <c r="K14" s="2"/>
      <c r="L14" s="2">
        <f t="shared" si="0"/>
        <v>-30.84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--248.72</f>
        <v>248.72</v>
      </c>
      <c r="U14" s="2"/>
      <c r="V14" s="19"/>
      <c r="W14" s="2"/>
      <c r="X14" s="2">
        <f t="shared" si="2"/>
        <v>-248.72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"4292", " - ", "SALES RETURN TAXABLE-GRAD MERC")</f>
        <v xml:space="preserve">          4292 - SALES RETURN TAXABLE-GRAD MERC</v>
      </c>
      <c r="C15" s="11"/>
      <c r="D15" s="2">
        <f t="shared" si="4"/>
        <v>0</v>
      </c>
      <c r="E15" s="2"/>
      <c r="F15" s="19"/>
      <c r="G15" s="2"/>
      <c r="H15" s="2">
        <f>-9.95</f>
        <v>-9.9499999999999993</v>
      </c>
      <c r="I15" s="2"/>
      <c r="J15" s="19"/>
      <c r="K15" s="2"/>
      <c r="L15" s="2">
        <f t="shared" si="0"/>
        <v>9.9499999999999993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-419.05</f>
        <v>-419.05</v>
      </c>
      <c r="U15" s="2"/>
      <c r="V15" s="19"/>
      <c r="W15" s="2"/>
      <c r="X15" s="2">
        <f t="shared" si="2"/>
        <v>419.05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0</v>
      </c>
      <c r="E17" s="4"/>
      <c r="F17" s="12">
        <f t="shared" ref="F17:F22" si="6">IF(D$12=0,0,D17/D$12)</f>
        <v>0</v>
      </c>
      <c r="G17" s="4"/>
      <c r="H17" s="4">
        <f>SUM(OSRRefH16x_0)</f>
        <v>1226</v>
      </c>
      <c r="I17" s="4"/>
      <c r="J17" s="12">
        <f t="shared" ref="J17:J22" si="7">IF(H$12=0,0,H17/H$12)</f>
        <v>0.50862294279443909</v>
      </c>
      <c r="K17" s="4"/>
      <c r="L17" s="4">
        <f t="shared" ref="L17:L22" si="8">+D17-H17</f>
        <v>-1226</v>
      </c>
      <c r="M17" s="4"/>
      <c r="N17" s="12">
        <f t="shared" ref="N17:N22" si="9">IF(H17=0,0,L17/H17)</f>
        <v>-1</v>
      </c>
      <c r="O17" s="10"/>
      <c r="P17" s="4">
        <f>SUM(OSRRefP16x_0)</f>
        <v>0</v>
      </c>
      <c r="Q17" s="4"/>
      <c r="R17" s="12">
        <f t="shared" ref="R17:R22" si="10">IF(P$12=0,0,P17/P$12)</f>
        <v>0</v>
      </c>
      <c r="S17" s="4"/>
      <c r="T17" s="4">
        <f>SUM(OSRRefT16x_0)</f>
        <v>3688.1200000000003</v>
      </c>
      <c r="U17" s="4"/>
      <c r="V17" s="12">
        <f t="shared" ref="V17:V22" si="11">IF(T$12=0,0,T17/T$12)</f>
        <v>0.50451421567554555</v>
      </c>
      <c r="W17" s="4"/>
      <c r="X17" s="4">
        <f t="shared" ref="X17:X22" si="12">+P17-T17</f>
        <v>-3688.1200000000003</v>
      </c>
      <c r="Y17" s="4"/>
      <c r="Z17" s="12">
        <f t="shared" ref="Z17:Z22" si="13">IF(T17=0,0,X17/T17)</f>
        <v>-1</v>
      </c>
    </row>
    <row r="18" spans="1:26" s="24" customFormat="1" hidden="1" outlineLevel="1" x14ac:dyDescent="0.25">
      <c r="A18" s="44"/>
      <c r="B18" s="11" t="str">
        <f>CONCATENATE("          ", "5092", " - ", "PURCHASES @ COST-GRAD MERCH")</f>
        <v xml:space="preserve">          5092 - PURCHASES @ COST-GRAD MERCH</v>
      </c>
      <c r="C18" s="11"/>
      <c r="D18" s="2"/>
      <c r="E18" s="2"/>
      <c r="F18" s="19">
        <f t="shared" si="6"/>
        <v>0</v>
      </c>
      <c r="G18" s="2"/>
      <c r="H18" s="2">
        <v>628</v>
      </c>
      <c r="I18" s="2"/>
      <c r="J18" s="19">
        <f t="shared" si="7"/>
        <v>0.26053442746729832</v>
      </c>
      <c r="K18" s="2"/>
      <c r="L18" s="2">
        <f t="shared" si="8"/>
        <v>-628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1984.49</v>
      </c>
      <c r="U18" s="2"/>
      <c r="V18" s="19">
        <f t="shared" si="11"/>
        <v>0.2714671474534352</v>
      </c>
      <c r="W18" s="2"/>
      <c r="X18" s="2">
        <f t="shared" si="12"/>
        <v>-1984.49</v>
      </c>
      <c r="Y18" s="2"/>
      <c r="Z18" s="19">
        <f t="shared" si="13"/>
        <v>-1</v>
      </c>
    </row>
    <row r="19" spans="1:26" s="24" customFormat="1" hidden="1" outlineLevel="1" x14ac:dyDescent="0.25">
      <c r="A19" s="44"/>
      <c r="B19" s="11" t="str">
        <f>CONCATENATE("          ", "5095", " - ", "PURCHASES @ COST-CUSTOMER SERV")</f>
        <v xml:space="preserve">          5095 - PURCHASES @ COST-CUSTOMER SERV</v>
      </c>
      <c r="C19" s="11"/>
      <c r="D19" s="2"/>
      <c r="E19" s="2"/>
      <c r="F19" s="19">
        <f t="shared" si="6"/>
        <v>0</v>
      </c>
      <c r="G19" s="2"/>
      <c r="H19" s="2"/>
      <c r="I19" s="2"/>
      <c r="J19" s="19">
        <f t="shared" si="7"/>
        <v>0</v>
      </c>
      <c r="K19" s="2"/>
      <c r="L19" s="2">
        <f t="shared" si="8"/>
        <v>0</v>
      </c>
      <c r="M19" s="2"/>
      <c r="N19" s="19">
        <f t="shared" si="9"/>
        <v>0</v>
      </c>
      <c r="O19" s="11"/>
      <c r="P19" s="2"/>
      <c r="Q19" s="2"/>
      <c r="R19" s="19">
        <f t="shared" si="10"/>
        <v>0</v>
      </c>
      <c r="S19" s="2"/>
      <c r="T19" s="2">
        <v>11.85</v>
      </c>
      <c r="U19" s="2"/>
      <c r="V19" s="19">
        <f t="shared" si="11"/>
        <v>1.6210138107640788E-3</v>
      </c>
      <c r="W19" s="2"/>
      <c r="X19" s="2">
        <f t="shared" si="12"/>
        <v>-11.85</v>
      </c>
      <c r="Y19" s="2"/>
      <c r="Z19" s="19">
        <f t="shared" si="13"/>
        <v>-1</v>
      </c>
    </row>
    <row r="20" spans="1:26" s="24" customFormat="1" hidden="1" outlineLevel="1" x14ac:dyDescent="0.25">
      <c r="A20" s="44"/>
      <c r="B20" s="11" t="str">
        <f>CONCATENATE("          ", "5200", " - ", "PURCHASES OFFSET")</f>
        <v xml:space="preserve">          5200 - PURCHASES OFFSET</v>
      </c>
      <c r="C20" s="11"/>
      <c r="D20" s="2"/>
      <c r="E20" s="2"/>
      <c r="F20" s="19">
        <f t="shared" si="6"/>
        <v>0</v>
      </c>
      <c r="G20" s="2"/>
      <c r="H20" s="2">
        <v>-663</v>
      </c>
      <c r="I20" s="2"/>
      <c r="J20" s="19">
        <f t="shared" si="7"/>
        <v>-0.27505465829748216</v>
      </c>
      <c r="K20" s="2"/>
      <c r="L20" s="2">
        <f t="shared" si="8"/>
        <v>663</v>
      </c>
      <c r="M20" s="2"/>
      <c r="N20" s="19">
        <f t="shared" si="9"/>
        <v>-1</v>
      </c>
      <c r="O20" s="11"/>
      <c r="P20" s="2"/>
      <c r="Q20" s="2"/>
      <c r="R20" s="19">
        <f t="shared" si="10"/>
        <v>0</v>
      </c>
      <c r="S20" s="2"/>
      <c r="T20" s="2">
        <v>-2103</v>
      </c>
      <c r="U20" s="2"/>
      <c r="V20" s="19">
        <f t="shared" si="11"/>
        <v>-0.28767865350522009</v>
      </c>
      <c r="W20" s="2"/>
      <c r="X20" s="2">
        <f t="shared" si="12"/>
        <v>2103</v>
      </c>
      <c r="Y20" s="2"/>
      <c r="Z20" s="19">
        <f t="shared" si="13"/>
        <v>-1</v>
      </c>
    </row>
    <row r="21" spans="1:26" s="24" customFormat="1" hidden="1" outlineLevel="1" x14ac:dyDescent="0.25">
      <c r="A21" s="44"/>
      <c r="B21" s="11" t="str">
        <f>CONCATENATE("          ", "5300", " - ", "COG$ OFFSET")</f>
        <v xml:space="preserve">          5300 - COG$ OFFSET</v>
      </c>
      <c r="C21" s="11"/>
      <c r="D21" s="2"/>
      <c r="E21" s="2"/>
      <c r="F21" s="19">
        <f t="shared" si="6"/>
        <v>0</v>
      </c>
      <c r="G21" s="2"/>
      <c r="H21" s="2">
        <v>1226</v>
      </c>
      <c r="I21" s="2"/>
      <c r="J21" s="19">
        <f t="shared" si="7"/>
        <v>0.50862294279443909</v>
      </c>
      <c r="K21" s="2"/>
      <c r="L21" s="2">
        <f t="shared" si="8"/>
        <v>-1226</v>
      </c>
      <c r="M21" s="2"/>
      <c r="N21" s="19">
        <f t="shared" si="9"/>
        <v>-1</v>
      </c>
      <c r="O21" s="11"/>
      <c r="P21" s="2"/>
      <c r="Q21" s="2"/>
      <c r="R21" s="19">
        <f t="shared" si="10"/>
        <v>0</v>
      </c>
      <c r="S21" s="2"/>
      <c r="T21" s="2">
        <v>3689</v>
      </c>
      <c r="U21" s="2"/>
      <c r="V21" s="19">
        <f t="shared" si="11"/>
        <v>0.50463459476022676</v>
      </c>
      <c r="W21" s="2"/>
      <c r="X21" s="2">
        <f t="shared" si="12"/>
        <v>-3689</v>
      </c>
      <c r="Y21" s="2"/>
      <c r="Z21" s="19">
        <f t="shared" si="13"/>
        <v>-1</v>
      </c>
    </row>
    <row r="22" spans="1:26" s="24" customFormat="1" hidden="1" outlineLevel="1" x14ac:dyDescent="0.25">
      <c r="A22" s="44"/>
      <c r="B22" s="11" t="str">
        <f>CONCATENATE("          ", "5592", " - ", "FREIGHT-IN-GRAD MERCH")</f>
        <v xml:space="preserve">          5592 - FREIGHT-IN-GRAD MERCH</v>
      </c>
      <c r="C22" s="11"/>
      <c r="D22" s="2"/>
      <c r="E22" s="2"/>
      <c r="F22" s="19">
        <f t="shared" si="6"/>
        <v>0</v>
      </c>
      <c r="G22" s="2"/>
      <c r="H22" s="2">
        <v>35</v>
      </c>
      <c r="I22" s="2"/>
      <c r="J22" s="19">
        <f t="shared" si="7"/>
        <v>1.4520230830183825E-2</v>
      </c>
      <c r="K22" s="2"/>
      <c r="L22" s="2">
        <f t="shared" si="8"/>
        <v>-35</v>
      </c>
      <c r="M22" s="2"/>
      <c r="N22" s="19">
        <f t="shared" si="9"/>
        <v>-1</v>
      </c>
      <c r="O22" s="11"/>
      <c r="P22" s="2"/>
      <c r="Q22" s="2"/>
      <c r="R22" s="19">
        <f t="shared" si="10"/>
        <v>0</v>
      </c>
      <c r="S22" s="2"/>
      <c r="T22" s="2">
        <v>105.78</v>
      </c>
      <c r="U22" s="2"/>
      <c r="V22" s="19">
        <f t="shared" si="11"/>
        <v>1.4470113156339601E-2</v>
      </c>
      <c r="W22" s="2"/>
      <c r="X22" s="2">
        <f t="shared" si="12"/>
        <v>-105.78</v>
      </c>
      <c r="Y22" s="2"/>
      <c r="Z22" s="19">
        <f t="shared" si="13"/>
        <v>-1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8" t="s">
        <v>6</v>
      </c>
      <c r="C24" s="28"/>
      <c r="D24" s="20">
        <f>D12-D17</f>
        <v>0</v>
      </c>
      <c r="E24" s="14"/>
      <c r="F24" s="22">
        <f>IF(D$12=0,0,D24/D$12)</f>
        <v>0</v>
      </c>
      <c r="G24" s="14"/>
      <c r="H24" s="20">
        <f>H12-H17</f>
        <v>1184.4300000000003</v>
      </c>
      <c r="I24" s="14"/>
      <c r="J24" s="22">
        <f>IF(H$12=0,0,H24/H$12)</f>
        <v>0.49137705720556091</v>
      </c>
      <c r="K24" s="15"/>
      <c r="L24" s="20">
        <f>+D24-H24</f>
        <v>-1184.4300000000003</v>
      </c>
      <c r="M24" s="15"/>
      <c r="N24" s="22">
        <f>IF(H24=0,0,L24/H24)</f>
        <v>-1</v>
      </c>
      <c r="O24" s="29"/>
      <c r="P24" s="20">
        <f>P12-P17</f>
        <v>0</v>
      </c>
      <c r="Q24" s="14"/>
      <c r="R24" s="22">
        <f>IF(P$12=0,0,P24/P$12)</f>
        <v>0</v>
      </c>
      <c r="S24" s="14"/>
      <c r="T24" s="20">
        <f>T12-T17</f>
        <v>3622.1199999999994</v>
      </c>
      <c r="U24" s="14"/>
      <c r="V24" s="22">
        <f>IF(T$12=0,0,T24/T$12)</f>
        <v>0.49548578432445439</v>
      </c>
      <c r="W24" s="15"/>
      <c r="X24" s="20">
        <f>+P24-T24</f>
        <v>-3622.1199999999994</v>
      </c>
      <c r="Y24" s="15"/>
      <c r="Z24" s="22">
        <f>IF(T24=0,0,X24/T24)</f>
        <v>-1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9" t="s">
        <v>9</v>
      </c>
      <c r="C26" s="10"/>
      <c r="D26" s="21">
        <f>SUM(OSRRefD22x_0)</f>
        <v>0</v>
      </c>
      <c r="E26" s="21"/>
      <c r="F26" s="35">
        <f t="shared" ref="F26:F34" si="14">IF(D$12=0,0,D26/D$12)</f>
        <v>0</v>
      </c>
      <c r="G26" s="21"/>
      <c r="H26" s="21">
        <f>SUM(OSRRefH22x_0)</f>
        <v>3307.1600000000003</v>
      </c>
      <c r="I26" s="21"/>
      <c r="J26" s="35">
        <f t="shared" ref="J26:J34" si="15">IF(H$12=0,0,H26/H$12)</f>
        <v>1.3720207597814498</v>
      </c>
      <c r="K26" s="4"/>
      <c r="L26" s="21">
        <f t="shared" ref="L26:L34" si="16">+D26-H26</f>
        <v>-3307.1600000000003</v>
      </c>
      <c r="M26" s="4"/>
      <c r="N26" s="35">
        <f t="shared" ref="N26:N34" si="17">IF(H26=0,0,L26/H26)</f>
        <v>-1</v>
      </c>
      <c r="O26" s="10"/>
      <c r="P26" s="21">
        <f>SUM(OSRRefP22x_0)</f>
        <v>0</v>
      </c>
      <c r="Q26" s="21"/>
      <c r="R26" s="35">
        <f t="shared" ref="R26:R34" si="18">IF(P$12=0,0,P26/P$12)</f>
        <v>0</v>
      </c>
      <c r="S26" s="21"/>
      <c r="T26" s="21">
        <f>SUM(OSRRefT22x_0)</f>
        <v>3005.6099999999974</v>
      </c>
      <c r="U26" s="21"/>
      <c r="V26" s="35">
        <f t="shared" ref="V26:V34" si="19">IF(T$12=0,0,T26/T$12)</f>
        <v>0.41115065989625477</v>
      </c>
      <c r="W26" s="4"/>
      <c r="X26" s="21">
        <f t="shared" ref="X26:X34" si="20">+P26-T26</f>
        <v>-3005.6099999999974</v>
      </c>
      <c r="Y26" s="4"/>
      <c r="Z26" s="35">
        <f t="shared" ref="Z26:Z34" si="21">IF(T26=0,0,X26/T26)</f>
        <v>-1</v>
      </c>
    </row>
    <row r="27" spans="1:26" s="26" customFormat="1" outlineLevel="1" collapsed="1" x14ac:dyDescent="0.25">
      <c r="A27" s="27"/>
      <c r="B27" s="13" t="str">
        <f>CONCATENATE("     ","*Benefits                                         ")</f>
        <v xml:space="preserve">     *Benefits                                         </v>
      </c>
      <c r="C27" s="13"/>
      <c r="D27" s="1">
        <f>SUM(OSRRefD22_0x_0)</f>
        <v>0</v>
      </c>
      <c r="E27" s="1"/>
      <c r="F27" s="5">
        <f t="shared" si="14"/>
        <v>0</v>
      </c>
      <c r="G27" s="1"/>
      <c r="H27" s="1">
        <f>SUM(OSRRefH22_0x_0)</f>
        <v>0</v>
      </c>
      <c r="I27" s="1"/>
      <c r="J27" s="5">
        <f t="shared" si="15"/>
        <v>0</v>
      </c>
      <c r="K27" s="1"/>
      <c r="L27" s="1">
        <f t="shared" si="16"/>
        <v>0</v>
      </c>
      <c r="M27" s="1"/>
      <c r="N27" s="5">
        <f t="shared" si="17"/>
        <v>0</v>
      </c>
      <c r="O27" s="13"/>
      <c r="P27" s="1">
        <f>SUM(OSRRefP22_0x_0)</f>
        <v>0</v>
      </c>
      <c r="Q27" s="1"/>
      <c r="R27" s="5">
        <f t="shared" si="18"/>
        <v>0</v>
      </c>
      <c r="S27" s="1"/>
      <c r="T27" s="1">
        <f>SUM(OSRRefT22_0x_0)</f>
        <v>821.29</v>
      </c>
      <c r="U27" s="1"/>
      <c r="V27" s="5">
        <f t="shared" si="19"/>
        <v>0.11234788461117555</v>
      </c>
      <c r="W27" s="1"/>
      <c r="X27" s="1">
        <f t="shared" si="20"/>
        <v>-821.29</v>
      </c>
      <c r="Y27" s="1"/>
      <c r="Z27" s="5">
        <f t="shared" si="21"/>
        <v>-1</v>
      </c>
    </row>
    <row r="28" spans="1:26" s="24" customFormat="1" hidden="1" outlineLevel="2" x14ac:dyDescent="0.25">
      <c r="A28" s="25"/>
      <c r="B28" s="11" t="str">
        <f>CONCATENATE("          ", "6111", " - ", "F.I.C.A.")</f>
        <v xml:space="preserve">          6111 - F.I.C.A.</v>
      </c>
      <c r="C28" s="11"/>
      <c r="D28" s="6"/>
      <c r="E28" s="2"/>
      <c r="F28" s="7">
        <f t="shared" si="14"/>
        <v>0</v>
      </c>
      <c r="G28" s="2"/>
      <c r="H28" s="6"/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155.66</v>
      </c>
      <c r="U28" s="2"/>
      <c r="V28" s="7">
        <f t="shared" si="19"/>
        <v>2.1293418547133885E-2</v>
      </c>
      <c r="W28" s="2"/>
      <c r="X28" s="6">
        <f t="shared" si="20"/>
        <v>-155.66</v>
      </c>
      <c r="Y28" s="2"/>
      <c r="Z28" s="7">
        <f t="shared" si="21"/>
        <v>-1</v>
      </c>
    </row>
    <row r="29" spans="1:26" s="24" customFormat="1" hidden="1" outlineLevel="2" x14ac:dyDescent="0.25">
      <c r="A29" s="25"/>
      <c r="B29" s="11" t="str">
        <f>CONCATENATE("          ", "6112", " - ", "COMPENSATION INSURANCE")</f>
        <v xml:space="preserve">          6112 - COMPENSATION INSURANCE</v>
      </c>
      <c r="C29" s="11"/>
      <c r="D29" s="6"/>
      <c r="E29" s="2"/>
      <c r="F29" s="7">
        <f t="shared" si="14"/>
        <v>0</v>
      </c>
      <c r="G29" s="2"/>
      <c r="H29" s="6"/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/>
      <c r="Q29" s="2"/>
      <c r="R29" s="7">
        <f t="shared" si="18"/>
        <v>0</v>
      </c>
      <c r="S29" s="2"/>
      <c r="T29" s="6">
        <v>22.05</v>
      </c>
      <c r="U29" s="2"/>
      <c r="V29" s="7">
        <f t="shared" si="19"/>
        <v>3.016316837750881E-3</v>
      </c>
      <c r="W29" s="2"/>
      <c r="X29" s="6">
        <f t="shared" si="20"/>
        <v>-22.05</v>
      </c>
      <c r="Y29" s="2"/>
      <c r="Z29" s="7">
        <f t="shared" si="21"/>
        <v>-1</v>
      </c>
    </row>
    <row r="30" spans="1:26" s="24" customFormat="1" hidden="1" outlineLevel="2" x14ac:dyDescent="0.25">
      <c r="A30" s="25"/>
      <c r="B30" s="11" t="str">
        <f>CONCATENATE("          ", "6113", " - ", "GROUP INSURANCE")</f>
        <v xml:space="preserve">          6113 - GROUP INSURANCE</v>
      </c>
      <c r="C30" s="11"/>
      <c r="D30" s="6"/>
      <c r="E30" s="2"/>
      <c r="F30" s="7">
        <f t="shared" si="14"/>
        <v>0</v>
      </c>
      <c r="G30" s="2"/>
      <c r="H30" s="6"/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1"/>
      <c r="P30" s="6"/>
      <c r="Q30" s="2"/>
      <c r="R30" s="7">
        <f t="shared" si="18"/>
        <v>0</v>
      </c>
      <c r="S30" s="2"/>
      <c r="T30" s="6">
        <v>305.26</v>
      </c>
      <c r="U30" s="2"/>
      <c r="V30" s="7">
        <f t="shared" si="19"/>
        <v>4.1757862942940316E-2</v>
      </c>
      <c r="W30" s="2"/>
      <c r="X30" s="6">
        <f t="shared" si="20"/>
        <v>-305.26</v>
      </c>
      <c r="Y30" s="2"/>
      <c r="Z30" s="7">
        <f t="shared" si="21"/>
        <v>-1</v>
      </c>
    </row>
    <row r="31" spans="1:26" s="24" customFormat="1" hidden="1" outlineLevel="2" x14ac:dyDescent="0.25">
      <c r="A31" s="25"/>
      <c r="B31" s="11" t="str">
        <f>CONCATENATE("          ", "6114", " - ", "STATE UNEMPLOYMENT INSURANCE")</f>
        <v xml:space="preserve">          6114 - STATE UNEMPLOYMENT INSURANCE</v>
      </c>
      <c r="C31" s="11"/>
      <c r="D31" s="6"/>
      <c r="E31" s="2"/>
      <c r="F31" s="7">
        <f t="shared" si="14"/>
        <v>0</v>
      </c>
      <c r="G31" s="2"/>
      <c r="H31" s="6"/>
      <c r="I31" s="2"/>
      <c r="J31" s="7">
        <f t="shared" si="15"/>
        <v>0</v>
      </c>
      <c r="K31" s="2"/>
      <c r="L31" s="6">
        <f t="shared" si="16"/>
        <v>0</v>
      </c>
      <c r="M31" s="2"/>
      <c r="N31" s="7">
        <f t="shared" si="17"/>
        <v>0</v>
      </c>
      <c r="O31" s="11"/>
      <c r="P31" s="6"/>
      <c r="Q31" s="2"/>
      <c r="R31" s="7">
        <f t="shared" si="18"/>
        <v>0</v>
      </c>
      <c r="S31" s="2"/>
      <c r="T31" s="6">
        <v>5</v>
      </c>
      <c r="U31" s="2"/>
      <c r="V31" s="7">
        <f t="shared" si="19"/>
        <v>6.8397207205235402E-4</v>
      </c>
      <c r="W31" s="2"/>
      <c r="X31" s="6">
        <f t="shared" si="20"/>
        <v>-5</v>
      </c>
      <c r="Y31" s="2"/>
      <c r="Z31" s="7">
        <f t="shared" si="21"/>
        <v>-1</v>
      </c>
    </row>
    <row r="32" spans="1:26" s="24" customFormat="1" hidden="1" outlineLevel="2" x14ac:dyDescent="0.25">
      <c r="A32" s="25"/>
      <c r="B32" s="11" t="str">
        <f>CONCATENATE("          ", "6115", " - ", "P.E.R.S.")</f>
        <v xml:space="preserve">          6115 - P.E.R.S.</v>
      </c>
      <c r="C32" s="11"/>
      <c r="D32" s="6"/>
      <c r="E32" s="2"/>
      <c r="F32" s="7">
        <f t="shared" si="14"/>
        <v>0</v>
      </c>
      <c r="G32" s="2"/>
      <c r="H32" s="6"/>
      <c r="I32" s="2"/>
      <c r="J32" s="7">
        <f t="shared" si="15"/>
        <v>0</v>
      </c>
      <c r="K32" s="2"/>
      <c r="L32" s="6">
        <f t="shared" si="16"/>
        <v>0</v>
      </c>
      <c r="M32" s="2"/>
      <c r="N32" s="7">
        <f t="shared" si="17"/>
        <v>0</v>
      </c>
      <c r="O32" s="11"/>
      <c r="P32" s="6"/>
      <c r="Q32" s="2"/>
      <c r="R32" s="7">
        <f t="shared" si="18"/>
        <v>0</v>
      </c>
      <c r="S32" s="2"/>
      <c r="T32" s="6">
        <v>134.12</v>
      </c>
      <c r="U32" s="2"/>
      <c r="V32" s="7">
        <f t="shared" si="19"/>
        <v>1.8346866860732343E-2</v>
      </c>
      <c r="W32" s="2"/>
      <c r="X32" s="6">
        <f t="shared" si="20"/>
        <v>-134.12</v>
      </c>
      <c r="Y32" s="2"/>
      <c r="Z32" s="7">
        <f t="shared" si="21"/>
        <v>-1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4"/>
        <v>0</v>
      </c>
      <c r="G33" s="2"/>
      <c r="H33" s="6"/>
      <c r="I33" s="2"/>
      <c r="J33" s="7">
        <f t="shared" si="15"/>
        <v>0</v>
      </c>
      <c r="K33" s="2"/>
      <c r="L33" s="6">
        <f t="shared" si="16"/>
        <v>0</v>
      </c>
      <c r="M33" s="2"/>
      <c r="N33" s="7">
        <f t="shared" si="17"/>
        <v>0</v>
      </c>
      <c r="O33" s="11"/>
      <c r="P33" s="6"/>
      <c r="Q33" s="2"/>
      <c r="R33" s="7">
        <f t="shared" si="18"/>
        <v>0</v>
      </c>
      <c r="S33" s="2"/>
      <c r="T33" s="6">
        <v>110.64</v>
      </c>
      <c r="U33" s="2"/>
      <c r="V33" s="7">
        <f t="shared" si="19"/>
        <v>1.5134934010374489E-2</v>
      </c>
      <c r="W33" s="2"/>
      <c r="X33" s="6">
        <f t="shared" si="20"/>
        <v>-110.64</v>
      </c>
      <c r="Y33" s="2"/>
      <c r="Z33" s="7">
        <f t="shared" si="21"/>
        <v>-1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4"/>
        <v>0</v>
      </c>
      <c r="G34" s="2"/>
      <c r="H34" s="6"/>
      <c r="I34" s="2"/>
      <c r="J34" s="7">
        <f t="shared" si="15"/>
        <v>0</v>
      </c>
      <c r="K34" s="2"/>
      <c r="L34" s="6">
        <f t="shared" si="16"/>
        <v>0</v>
      </c>
      <c r="M34" s="2"/>
      <c r="N34" s="7">
        <f t="shared" si="17"/>
        <v>0</v>
      </c>
      <c r="O34" s="11"/>
      <c r="P34" s="6"/>
      <c r="Q34" s="2"/>
      <c r="R34" s="7">
        <f t="shared" si="18"/>
        <v>0</v>
      </c>
      <c r="S34" s="2"/>
      <c r="T34" s="6">
        <v>88.56</v>
      </c>
      <c r="U34" s="2"/>
      <c r="V34" s="7">
        <f t="shared" si="19"/>
        <v>1.2114513340191294E-2</v>
      </c>
      <c r="W34" s="2"/>
      <c r="X34" s="6">
        <f t="shared" si="20"/>
        <v>-88.56</v>
      </c>
      <c r="Y34" s="2"/>
      <c r="Z34" s="7">
        <f t="shared" si="21"/>
        <v>-1</v>
      </c>
    </row>
    <row r="35" spans="1:26" s="26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0</v>
      </c>
      <c r="E35" s="1"/>
      <c r="F35" s="5">
        <f t="shared" ref="F35:F38" si="22">IF(D$12=0,0,D35/D$12)</f>
        <v>0</v>
      </c>
      <c r="G35" s="1"/>
      <c r="H35" s="1">
        <f>SUM(OSRRefH22_1x_0)</f>
        <v>0</v>
      </c>
      <c r="I35" s="1"/>
      <c r="J35" s="5">
        <f t="shared" ref="J35:J38" si="23">IF(H$12=0,0,H35/H$12)</f>
        <v>0</v>
      </c>
      <c r="K35" s="1"/>
      <c r="L35" s="1">
        <f t="shared" ref="L35:L38" si="24">+D35-H35</f>
        <v>0</v>
      </c>
      <c r="M35" s="1"/>
      <c r="N35" s="5">
        <f t="shared" ref="N35:N38" si="25">IF(H35=0,0,L35/H35)</f>
        <v>0</v>
      </c>
      <c r="O35" s="13"/>
      <c r="P35" s="1">
        <f>SUM(OSRRefP22_1x_0)</f>
        <v>0</v>
      </c>
      <c r="Q35" s="1"/>
      <c r="R35" s="5">
        <f t="shared" ref="R35:R38" si="26">IF(P$12=0,0,P35/P$12)</f>
        <v>0</v>
      </c>
      <c r="S35" s="1"/>
      <c r="T35" s="1">
        <f>SUM(OSRRefT22_1x_0)</f>
        <v>1986.7399999999998</v>
      </c>
      <c r="U35" s="1"/>
      <c r="V35" s="5">
        <f t="shared" ref="V35:V38" si="27">IF(T$12=0,0,T35/T$12)</f>
        <v>0.27177493488585874</v>
      </c>
      <c r="W35" s="1"/>
      <c r="X35" s="1">
        <f t="shared" ref="X35:X38" si="28">+P35-T35</f>
        <v>-1986.7399999999998</v>
      </c>
      <c r="Y35" s="1"/>
      <c r="Z35" s="5">
        <f t="shared" ref="Z35:Z38" si="29">IF(T35=0,0,X35/T35)</f>
        <v>-1</v>
      </c>
    </row>
    <row r="36" spans="1:26" s="24" customFormat="1" hidden="1" outlineLevel="2" x14ac:dyDescent="0.25">
      <c r="A36" s="25"/>
      <c r="B36" s="11" t="str">
        <f>CONCATENATE("          ", "6002", " - ", "STAFF SALARIES")</f>
        <v xml:space="preserve">          6002 - STAFF SALARIES</v>
      </c>
      <c r="C36" s="11"/>
      <c r="D36" s="6"/>
      <c r="E36" s="2"/>
      <c r="F36" s="7">
        <f t="shared" si="22"/>
        <v>0</v>
      </c>
      <c r="G36" s="2"/>
      <c r="H36" s="6"/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1872</v>
      </c>
      <c r="U36" s="2"/>
      <c r="V36" s="7">
        <f t="shared" si="27"/>
        <v>0.25607914377640134</v>
      </c>
      <c r="W36" s="2"/>
      <c r="X36" s="6">
        <f t="shared" si="28"/>
        <v>-1872</v>
      </c>
      <c r="Y36" s="2"/>
      <c r="Z36" s="7">
        <f t="shared" si="29"/>
        <v>-1</v>
      </c>
    </row>
    <row r="37" spans="1:26" s="24" customFormat="1" hidden="1" outlineLevel="2" x14ac:dyDescent="0.25">
      <c r="A37" s="25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22"/>
        <v>0</v>
      </c>
      <c r="G37" s="2"/>
      <c r="H37" s="6"/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57.37</v>
      </c>
      <c r="U37" s="2"/>
      <c r="V37" s="7">
        <f t="shared" si="27"/>
        <v>7.8478955547287097E-3</v>
      </c>
      <c r="W37" s="2"/>
      <c r="X37" s="6">
        <f t="shared" si="28"/>
        <v>-57.37</v>
      </c>
      <c r="Y37" s="2"/>
      <c r="Z37" s="7">
        <f t="shared" si="29"/>
        <v>-1</v>
      </c>
    </row>
    <row r="38" spans="1:26" s="24" customFormat="1" hidden="1" outlineLevel="2" x14ac:dyDescent="0.25">
      <c r="A38" s="25"/>
      <c r="B38" s="11" t="str">
        <f>CONCATENATE("          ", "6007", " - ", "STUDENT HOURLY")</f>
        <v xml:space="preserve">          6007 - STUDENT HOURLY</v>
      </c>
      <c r="C38" s="11"/>
      <c r="D38" s="6"/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57.37</v>
      </c>
      <c r="U38" s="2"/>
      <c r="V38" s="7">
        <f t="shared" si="27"/>
        <v>7.8478955547287097E-3</v>
      </c>
      <c r="W38" s="2"/>
      <c r="X38" s="6">
        <f t="shared" si="28"/>
        <v>-57.37</v>
      </c>
      <c r="Y38" s="2"/>
      <c r="Z38" s="7">
        <f t="shared" si="29"/>
        <v>-1</v>
      </c>
    </row>
    <row r="39" spans="1:26" s="26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45" si="30">IF(D$12=0,0,D39/D$12)</f>
        <v>0</v>
      </c>
      <c r="G39" s="1"/>
      <c r="H39" s="1">
        <f>SUM(OSRRefH22_2x_0)</f>
        <v>0</v>
      </c>
      <c r="I39" s="1"/>
      <c r="J39" s="5">
        <f t="shared" ref="J39:J45" si="31">IF(H$12=0,0,H39/H$12)</f>
        <v>0</v>
      </c>
      <c r="K39" s="1"/>
      <c r="L39" s="1">
        <f t="shared" ref="L39:L45" si="32">+D39-H39</f>
        <v>0</v>
      </c>
      <c r="M39" s="1"/>
      <c r="N39" s="5">
        <f t="shared" ref="N39:N45" si="33">IF(H39=0,0,L39/H39)</f>
        <v>0</v>
      </c>
      <c r="O39" s="13"/>
      <c r="P39" s="1">
        <f>SUM(OSRRefP22_2x_0)</f>
        <v>0</v>
      </c>
      <c r="Q39" s="1"/>
      <c r="R39" s="5">
        <f t="shared" ref="R39:R45" si="34">IF(P$12=0,0,P39/P$12)</f>
        <v>0</v>
      </c>
      <c r="S39" s="1"/>
      <c r="T39" s="1">
        <f>SUM(OSRRefT22_2x_0)</f>
        <v>-857.46</v>
      </c>
      <c r="U39" s="1"/>
      <c r="V39" s="5">
        <f t="shared" ref="V39:V45" si="35">IF(T$12=0,0,T39/T$12)</f>
        <v>-0.11729573858040229</v>
      </c>
      <c r="W39" s="1"/>
      <c r="X39" s="1">
        <f t="shared" ref="X39:X45" si="36">+P39-T39</f>
        <v>857.46</v>
      </c>
      <c r="Y39" s="1"/>
      <c r="Z39" s="5">
        <f t="shared" ref="Z39:Z45" si="37">IF(T39=0,0,X39/T39)</f>
        <v>-1</v>
      </c>
    </row>
    <row r="40" spans="1:26" s="24" customFormat="1" hidden="1" outlineLevel="2" x14ac:dyDescent="0.25">
      <c r="A40" s="25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30"/>
        <v>0</v>
      </c>
      <c r="G40" s="2"/>
      <c r="H40" s="6"/>
      <c r="I40" s="2"/>
      <c r="J40" s="7">
        <f t="shared" si="31"/>
        <v>0</v>
      </c>
      <c r="K40" s="2"/>
      <c r="L40" s="6">
        <f t="shared" si="32"/>
        <v>0</v>
      </c>
      <c r="M40" s="2"/>
      <c r="N40" s="7">
        <f t="shared" si="33"/>
        <v>0</v>
      </c>
      <c r="O40" s="11"/>
      <c r="P40" s="6"/>
      <c r="Q40" s="2"/>
      <c r="R40" s="7">
        <f t="shared" si="34"/>
        <v>0</v>
      </c>
      <c r="S40" s="2"/>
      <c r="T40" s="6">
        <v>-857.46</v>
      </c>
      <c r="U40" s="2"/>
      <c r="V40" s="7">
        <f t="shared" si="35"/>
        <v>-0.11729573858040229</v>
      </c>
      <c r="W40" s="2"/>
      <c r="X40" s="6">
        <f t="shared" si="36"/>
        <v>857.46</v>
      </c>
      <c r="Y40" s="2"/>
      <c r="Z40" s="7">
        <f t="shared" si="37"/>
        <v>-1</v>
      </c>
    </row>
    <row r="41" spans="1:26" s="26" customFormat="1" outlineLevel="1" collapsed="1" x14ac:dyDescent="0.25">
      <c r="A41" s="27"/>
      <c r="B41" s="13" t="str">
        <f>CONCATENATE("     ","Discounts and Markdowns                           ")</f>
        <v xml:space="preserve">     Discounts and Markdowns                           </v>
      </c>
      <c r="C41" s="13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48.34</v>
      </c>
      <c r="I41" s="1"/>
      <c r="J41" s="5">
        <f t="shared" si="31"/>
        <v>2.0054513095173889E-2</v>
      </c>
      <c r="K41" s="1"/>
      <c r="L41" s="1">
        <f t="shared" si="32"/>
        <v>-48.34</v>
      </c>
      <c r="M41" s="1"/>
      <c r="N41" s="5">
        <f t="shared" si="33"/>
        <v>-1</v>
      </c>
      <c r="O41" s="13"/>
      <c r="P41" s="1">
        <f>SUM(OSRRefP22_3x_0)</f>
        <v>0</v>
      </c>
      <c r="Q41" s="1"/>
      <c r="R41" s="5">
        <f t="shared" si="34"/>
        <v>0</v>
      </c>
      <c r="S41" s="1"/>
      <c r="T41" s="1">
        <f>SUM(OSRRefT22_3x_0)</f>
        <v>287.29000000000002</v>
      </c>
      <c r="U41" s="1"/>
      <c r="V41" s="5">
        <f t="shared" si="35"/>
        <v>3.9299667315984159E-2</v>
      </c>
      <c r="W41" s="1"/>
      <c r="X41" s="1">
        <f t="shared" si="36"/>
        <v>-287.29000000000002</v>
      </c>
      <c r="Y41" s="1"/>
      <c r="Z41" s="5">
        <f t="shared" si="37"/>
        <v>-1</v>
      </c>
    </row>
    <row r="42" spans="1:26" s="24" customFormat="1" hidden="1" outlineLevel="2" x14ac:dyDescent="0.25">
      <c r="A42" s="25"/>
      <c r="B42" s="11" t="str">
        <f>CONCATENATE("          ", "6382", " - ", "DISCOUNTS/MARK DOWNS")</f>
        <v xml:space="preserve">          6382 - DISCOUNTS/MARK DOWNS</v>
      </c>
      <c r="C42" s="11"/>
      <c r="D42" s="6"/>
      <c r="E42" s="2"/>
      <c r="F42" s="7">
        <f t="shared" si="30"/>
        <v>0</v>
      </c>
      <c r="G42" s="2"/>
      <c r="H42" s="6">
        <v>48.34</v>
      </c>
      <c r="I42" s="2"/>
      <c r="J42" s="7">
        <f t="shared" si="31"/>
        <v>2.0054513095173889E-2</v>
      </c>
      <c r="K42" s="2"/>
      <c r="L42" s="6">
        <f t="shared" si="32"/>
        <v>-48.34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287.29000000000002</v>
      </c>
      <c r="U42" s="2"/>
      <c r="V42" s="7">
        <f t="shared" si="35"/>
        <v>3.9299667315984159E-2</v>
      </c>
      <c r="W42" s="2"/>
      <c r="X42" s="6">
        <f t="shared" si="36"/>
        <v>-287.29000000000002</v>
      </c>
      <c r="Y42" s="2"/>
      <c r="Z42" s="7">
        <f t="shared" si="37"/>
        <v>-1</v>
      </c>
    </row>
    <row r="43" spans="1:26" s="26" customFormat="1" outlineLevel="1" collapsed="1" x14ac:dyDescent="0.25">
      <c r="A43" s="27"/>
      <c r="B43" s="13" t="str">
        <f>CONCATENATE("     ","Freight out/Postage                               ")</f>
        <v xml:space="preserve">     Freight out/Postage                               </v>
      </c>
      <c r="C43" s="13"/>
      <c r="D43" s="1">
        <f>SUM(OSRRefD22_4x_0)</f>
        <v>0</v>
      </c>
      <c r="E43" s="1"/>
      <c r="F43" s="5">
        <f t="shared" si="30"/>
        <v>0</v>
      </c>
      <c r="G43" s="1"/>
      <c r="H43" s="1">
        <f>SUM(OSRRefH22_4x_0)</f>
        <v>3072.17</v>
      </c>
      <c r="I43" s="1"/>
      <c r="J43" s="5">
        <f t="shared" si="31"/>
        <v>1.2745319299875955</v>
      </c>
      <c r="K43" s="1"/>
      <c r="L43" s="1">
        <f t="shared" si="32"/>
        <v>-3072.17</v>
      </c>
      <c r="M43" s="1"/>
      <c r="N43" s="5">
        <f t="shared" si="33"/>
        <v>-1</v>
      </c>
      <c r="O43" s="13"/>
      <c r="P43" s="1">
        <f>SUM(OSRRefP22_4x_0)</f>
        <v>0</v>
      </c>
      <c r="Q43" s="1"/>
      <c r="R43" s="5">
        <f t="shared" si="34"/>
        <v>0</v>
      </c>
      <c r="S43" s="1"/>
      <c r="T43" s="1">
        <f>SUM(OSRRefT22_4x_0)</f>
        <v>-5206.3000000000029</v>
      </c>
      <c r="U43" s="1"/>
      <c r="V43" s="5">
        <f t="shared" si="35"/>
        <v>-0.71219275974523455</v>
      </c>
      <c r="W43" s="1"/>
      <c r="X43" s="1">
        <f t="shared" si="36"/>
        <v>5206.3000000000029</v>
      </c>
      <c r="Y43" s="1"/>
      <c r="Z43" s="5">
        <f t="shared" si="37"/>
        <v>-1</v>
      </c>
    </row>
    <row r="44" spans="1:26" s="24" customFormat="1" hidden="1" outlineLevel="2" x14ac:dyDescent="0.25">
      <c r="A44" s="25"/>
      <c r="B44" s="11" t="str">
        <f>CONCATENATE("          ", "6305", " - ", "FREIGHT OUT")</f>
        <v xml:space="preserve">          6305 - FREIGHT OUT</v>
      </c>
      <c r="C44" s="11"/>
      <c r="D44" s="6"/>
      <c r="E44" s="2"/>
      <c r="F44" s="7">
        <f t="shared" si="30"/>
        <v>0</v>
      </c>
      <c r="G44" s="2"/>
      <c r="H44" s="6">
        <v>3931.54</v>
      </c>
      <c r="I44" s="2"/>
      <c r="J44" s="7">
        <f t="shared" si="31"/>
        <v>1.631053380517169</v>
      </c>
      <c r="K44" s="2"/>
      <c r="L44" s="6">
        <f t="shared" si="32"/>
        <v>-3931.54</v>
      </c>
      <c r="M44" s="2"/>
      <c r="N44" s="7">
        <f t="shared" si="33"/>
        <v>-1</v>
      </c>
      <c r="O44" s="11"/>
      <c r="P44" s="6"/>
      <c r="Q44" s="2"/>
      <c r="R44" s="7">
        <f t="shared" si="34"/>
        <v>0</v>
      </c>
      <c r="S44" s="2"/>
      <c r="T44" s="6">
        <v>19256.689999999999</v>
      </c>
      <c r="U44" s="2"/>
      <c r="V44" s="7">
        <f t="shared" si="35"/>
        <v>2.6342076320339687</v>
      </c>
      <c r="W44" s="2"/>
      <c r="X44" s="6">
        <f t="shared" si="36"/>
        <v>-19256.689999999999</v>
      </c>
      <c r="Y44" s="2"/>
      <c r="Z44" s="7">
        <f t="shared" si="37"/>
        <v>-1</v>
      </c>
    </row>
    <row r="45" spans="1:26" s="24" customFormat="1" hidden="1" outlineLevel="2" x14ac:dyDescent="0.25">
      <c r="A45" s="25"/>
      <c r="B45" s="11" t="str">
        <f>CONCATENATE("          ", "6307", " - ", "POSTAGE")</f>
        <v xml:space="preserve">          6307 - POSTAGE</v>
      </c>
      <c r="C45" s="11"/>
      <c r="D45" s="6"/>
      <c r="E45" s="2"/>
      <c r="F45" s="7">
        <f t="shared" si="30"/>
        <v>0</v>
      </c>
      <c r="G45" s="2"/>
      <c r="H45" s="6">
        <v>-859.37</v>
      </c>
      <c r="I45" s="2"/>
      <c r="J45" s="7">
        <f t="shared" si="31"/>
        <v>-0.35652145052957351</v>
      </c>
      <c r="K45" s="2"/>
      <c r="L45" s="6">
        <f t="shared" si="32"/>
        <v>859.37</v>
      </c>
      <c r="M45" s="2"/>
      <c r="N45" s="7">
        <f t="shared" si="33"/>
        <v>-1</v>
      </c>
      <c r="O45" s="11"/>
      <c r="P45" s="6"/>
      <c r="Q45" s="2"/>
      <c r="R45" s="7">
        <f t="shared" si="34"/>
        <v>0</v>
      </c>
      <c r="S45" s="2"/>
      <c r="T45" s="6">
        <v>-24462.99</v>
      </c>
      <c r="U45" s="2"/>
      <c r="V45" s="7">
        <f t="shared" si="35"/>
        <v>-3.3464003917792033</v>
      </c>
      <c r="W45" s="2"/>
      <c r="X45" s="6">
        <f t="shared" si="36"/>
        <v>24462.99</v>
      </c>
      <c r="Y45" s="2"/>
      <c r="Z45" s="7">
        <f t="shared" si="37"/>
        <v>-1</v>
      </c>
    </row>
    <row r="46" spans="1:26" s="26" customFormat="1" outlineLevel="1" collapsed="1" x14ac:dyDescent="0.25">
      <c r="A46" s="27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SUM(OSRRefD22_5x_0)</f>
        <v>0</v>
      </c>
      <c r="E46" s="1"/>
      <c r="F46" s="5">
        <f t="shared" ref="F46:F52" si="38">IF(D$12=0,0,D46/D$12)</f>
        <v>0</v>
      </c>
      <c r="G46" s="1"/>
      <c r="H46" s="1">
        <f>SUM(OSRRefH22_5x_0)</f>
        <v>0</v>
      </c>
      <c r="I46" s="1"/>
      <c r="J46" s="5">
        <f t="shared" ref="J46:J52" si="39">IF(H$12=0,0,H46/H$12)</f>
        <v>0</v>
      </c>
      <c r="K46" s="1"/>
      <c r="L46" s="1">
        <f t="shared" ref="L46:L52" si="40">+D46-H46</f>
        <v>0</v>
      </c>
      <c r="M46" s="1"/>
      <c r="N46" s="5">
        <f t="shared" ref="N46:N52" si="41">IF(H46=0,0,L46/H46)</f>
        <v>0</v>
      </c>
      <c r="O46" s="13"/>
      <c r="P46" s="1">
        <f>SUM(OSRRefP22_5x_0)</f>
        <v>0</v>
      </c>
      <c r="Q46" s="1"/>
      <c r="R46" s="5">
        <f t="shared" ref="R46:R52" si="42">IF(P$12=0,0,P46/P$12)</f>
        <v>0</v>
      </c>
      <c r="S46" s="1"/>
      <c r="T46" s="1">
        <f>SUM(OSRRefT22_5x_0)</f>
        <v>80.17</v>
      </c>
      <c r="U46" s="1"/>
      <c r="V46" s="5">
        <f t="shared" ref="V46:V52" si="43">IF(T$12=0,0,T46/T$12)</f>
        <v>1.0966808203287444E-2</v>
      </c>
      <c r="W46" s="1"/>
      <c r="X46" s="1">
        <f t="shared" ref="X46:X52" si="44">+P46-T46</f>
        <v>-80.17</v>
      </c>
      <c r="Y46" s="1"/>
      <c r="Z46" s="5">
        <f t="shared" ref="Z46:Z52" si="45">IF(T46=0,0,X46/T46)</f>
        <v>-1</v>
      </c>
    </row>
    <row r="47" spans="1:26" s="24" customFormat="1" hidden="1" outlineLevel="2" x14ac:dyDescent="0.25">
      <c r="A47" s="25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38"/>
        <v>0</v>
      </c>
      <c r="G47" s="2"/>
      <c r="H47" s="6"/>
      <c r="I47" s="2"/>
      <c r="J47" s="7">
        <f t="shared" si="39"/>
        <v>0</v>
      </c>
      <c r="K47" s="2"/>
      <c r="L47" s="6">
        <f t="shared" si="40"/>
        <v>0</v>
      </c>
      <c r="M47" s="2"/>
      <c r="N47" s="7">
        <f t="shared" si="41"/>
        <v>0</v>
      </c>
      <c r="O47" s="11"/>
      <c r="P47" s="6"/>
      <c r="Q47" s="2"/>
      <c r="R47" s="7">
        <f t="shared" si="42"/>
        <v>0</v>
      </c>
      <c r="S47" s="2"/>
      <c r="T47" s="6">
        <v>80.17</v>
      </c>
      <c r="U47" s="2"/>
      <c r="V47" s="7">
        <f t="shared" si="43"/>
        <v>1.0966808203287444E-2</v>
      </c>
      <c r="W47" s="2"/>
      <c r="X47" s="6">
        <f t="shared" si="44"/>
        <v>-80.17</v>
      </c>
      <c r="Y47" s="2"/>
      <c r="Z47" s="7">
        <f t="shared" si="45"/>
        <v>-1</v>
      </c>
    </row>
    <row r="48" spans="1:26" s="26" customFormat="1" outlineLevel="1" collapsed="1" x14ac:dyDescent="0.25">
      <c r="A48" s="27"/>
      <c r="B48" s="13" t="str">
        <f>CONCATENATE("     ","Inventory Adjustment                              ")</f>
        <v xml:space="preserve">     Inventory Adjustment                              </v>
      </c>
      <c r="C48" s="13"/>
      <c r="D48" s="1">
        <f>SUM(OSRRefD22_6x_0)</f>
        <v>0</v>
      </c>
      <c r="E48" s="1"/>
      <c r="F48" s="5">
        <f t="shared" si="38"/>
        <v>0</v>
      </c>
      <c r="G48" s="1"/>
      <c r="H48" s="1">
        <f>SUM(OSRRefH22_6x_0)</f>
        <v>100</v>
      </c>
      <c r="I48" s="1"/>
      <c r="J48" s="5">
        <f t="shared" si="39"/>
        <v>4.1486373800525216E-2</v>
      </c>
      <c r="K48" s="1"/>
      <c r="L48" s="1">
        <f t="shared" si="40"/>
        <v>-100</v>
      </c>
      <c r="M48" s="1"/>
      <c r="N48" s="5">
        <f t="shared" si="41"/>
        <v>-1</v>
      </c>
      <c r="O48" s="13"/>
      <c r="P48" s="1">
        <f>SUM(OSRRefP22_6x_0)</f>
        <v>0</v>
      </c>
      <c r="Q48" s="1"/>
      <c r="R48" s="5">
        <f t="shared" si="42"/>
        <v>0</v>
      </c>
      <c r="S48" s="1"/>
      <c r="T48" s="1">
        <f>SUM(OSRRefT22_6x_0)</f>
        <v>400</v>
      </c>
      <c r="U48" s="1"/>
      <c r="V48" s="5">
        <f t="shared" si="43"/>
        <v>5.4717765764188318E-2</v>
      </c>
      <c r="W48" s="1"/>
      <c r="X48" s="1">
        <f t="shared" si="44"/>
        <v>-400</v>
      </c>
      <c r="Y48" s="1"/>
      <c r="Z48" s="5">
        <f t="shared" si="45"/>
        <v>-1</v>
      </c>
    </row>
    <row r="49" spans="1:26" s="24" customFormat="1" hidden="1" outlineLevel="2" x14ac:dyDescent="0.25">
      <c r="A49" s="25"/>
      <c r="B49" s="11" t="str">
        <f>CONCATENATE("          ", "6408", " - ", "INVENTORY ADJUSTMENT")</f>
        <v xml:space="preserve">          6408 - INVENTORY ADJUSTMENT</v>
      </c>
      <c r="C49" s="11"/>
      <c r="D49" s="6"/>
      <c r="E49" s="2"/>
      <c r="F49" s="7">
        <f t="shared" si="38"/>
        <v>0</v>
      </c>
      <c r="G49" s="2"/>
      <c r="H49" s="6">
        <v>100</v>
      </c>
      <c r="I49" s="2"/>
      <c r="J49" s="7">
        <f t="shared" si="39"/>
        <v>4.1486373800525216E-2</v>
      </c>
      <c r="K49" s="2"/>
      <c r="L49" s="6">
        <f t="shared" si="40"/>
        <v>-100</v>
      </c>
      <c r="M49" s="2"/>
      <c r="N49" s="7">
        <f t="shared" si="41"/>
        <v>-1</v>
      </c>
      <c r="O49" s="11"/>
      <c r="P49" s="6"/>
      <c r="Q49" s="2"/>
      <c r="R49" s="7">
        <f t="shared" si="42"/>
        <v>0</v>
      </c>
      <c r="S49" s="2"/>
      <c r="T49" s="6">
        <v>400</v>
      </c>
      <c r="U49" s="2"/>
      <c r="V49" s="7">
        <f t="shared" si="43"/>
        <v>5.4717765764188318E-2</v>
      </c>
      <c r="W49" s="2"/>
      <c r="X49" s="6">
        <f t="shared" si="44"/>
        <v>-400</v>
      </c>
      <c r="Y49" s="2"/>
      <c r="Z49" s="7">
        <f t="shared" si="45"/>
        <v>-1</v>
      </c>
    </row>
    <row r="50" spans="1:26" s="26" customFormat="1" outlineLevel="1" collapsed="1" x14ac:dyDescent="0.25">
      <c r="A50" s="27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0</v>
      </c>
      <c r="E50" s="1"/>
      <c r="F50" s="5">
        <f t="shared" si="38"/>
        <v>0</v>
      </c>
      <c r="G50" s="1"/>
      <c r="H50" s="1">
        <f>SUM(OSRRefH22_7x_0)</f>
        <v>0</v>
      </c>
      <c r="I50" s="1"/>
      <c r="J50" s="5">
        <f t="shared" si="39"/>
        <v>0</v>
      </c>
      <c r="K50" s="1"/>
      <c r="L50" s="1">
        <f t="shared" si="40"/>
        <v>0</v>
      </c>
      <c r="M50" s="1"/>
      <c r="N50" s="5">
        <f t="shared" si="41"/>
        <v>0</v>
      </c>
      <c r="O50" s="13"/>
      <c r="P50" s="1">
        <f>SUM(OSRRefP22_7x_0)</f>
        <v>0</v>
      </c>
      <c r="Q50" s="1"/>
      <c r="R50" s="5">
        <f t="shared" si="42"/>
        <v>0</v>
      </c>
      <c r="S50" s="1"/>
      <c r="T50" s="1">
        <f>SUM(OSRRefT22_7x_0)</f>
        <v>5174.63</v>
      </c>
      <c r="U50" s="1"/>
      <c r="V50" s="5">
        <f t="shared" si="43"/>
        <v>0.70786048064085449</v>
      </c>
      <c r="W50" s="1"/>
      <c r="X50" s="1">
        <f t="shared" si="44"/>
        <v>-5174.63</v>
      </c>
      <c r="Y50" s="1"/>
      <c r="Z50" s="5">
        <f t="shared" si="45"/>
        <v>-1</v>
      </c>
    </row>
    <row r="51" spans="1:26" s="24" customFormat="1" hidden="1" outlineLevel="2" x14ac:dyDescent="0.25">
      <c r="A51" s="25"/>
      <c r="B51" s="11" t="str">
        <f>CONCATENATE("          ", "6241", " - ", "OFFICE EXPENSE")</f>
        <v xml:space="preserve">          6241 - OFFICE EXPENSE</v>
      </c>
      <c r="C51" s="11"/>
      <c r="D51" s="6"/>
      <c r="E51" s="2"/>
      <c r="F51" s="7">
        <f t="shared" si="38"/>
        <v>0</v>
      </c>
      <c r="G51" s="2"/>
      <c r="H51" s="6"/>
      <c r="I51" s="2"/>
      <c r="J51" s="7">
        <f t="shared" si="39"/>
        <v>0</v>
      </c>
      <c r="K51" s="2"/>
      <c r="L51" s="6">
        <f t="shared" si="40"/>
        <v>0</v>
      </c>
      <c r="M51" s="2"/>
      <c r="N51" s="7">
        <f t="shared" si="41"/>
        <v>0</v>
      </c>
      <c r="O51" s="11"/>
      <c r="P51" s="6"/>
      <c r="Q51" s="2"/>
      <c r="R51" s="7">
        <f t="shared" si="42"/>
        <v>0</v>
      </c>
      <c r="S51" s="2"/>
      <c r="T51" s="6">
        <v>115.02</v>
      </c>
      <c r="U51" s="2"/>
      <c r="V51" s="7">
        <f t="shared" si="43"/>
        <v>1.573409354549235E-2</v>
      </c>
      <c r="W51" s="2"/>
      <c r="X51" s="6">
        <f t="shared" si="44"/>
        <v>-115.02</v>
      </c>
      <c r="Y51" s="2"/>
      <c r="Z51" s="7">
        <f t="shared" si="45"/>
        <v>-1</v>
      </c>
    </row>
    <row r="52" spans="1:26" s="24" customFormat="1" hidden="1" outlineLevel="2" x14ac:dyDescent="0.25">
      <c r="A52" s="25"/>
      <c r="B52" s="11" t="str">
        <f>CONCATENATE("          ", "6247", " - ", "STORE SUPPLIES")</f>
        <v xml:space="preserve">          6247 - STORE SUPPLIES</v>
      </c>
      <c r="C52" s="11"/>
      <c r="D52" s="6"/>
      <c r="E52" s="2"/>
      <c r="F52" s="7">
        <f t="shared" si="38"/>
        <v>0</v>
      </c>
      <c r="G52" s="2"/>
      <c r="H52" s="6"/>
      <c r="I52" s="2"/>
      <c r="J52" s="7">
        <f t="shared" si="39"/>
        <v>0</v>
      </c>
      <c r="K52" s="2"/>
      <c r="L52" s="6">
        <f t="shared" si="40"/>
        <v>0</v>
      </c>
      <c r="M52" s="2"/>
      <c r="N52" s="7">
        <f t="shared" si="41"/>
        <v>0</v>
      </c>
      <c r="O52" s="11"/>
      <c r="P52" s="6"/>
      <c r="Q52" s="2"/>
      <c r="R52" s="7">
        <f t="shared" si="42"/>
        <v>0</v>
      </c>
      <c r="S52" s="2"/>
      <c r="T52" s="6">
        <v>5059.6099999999997</v>
      </c>
      <c r="U52" s="2"/>
      <c r="V52" s="7">
        <f t="shared" si="43"/>
        <v>0.69212638709536212</v>
      </c>
      <c r="W52" s="2"/>
      <c r="X52" s="6">
        <f t="shared" si="44"/>
        <v>-5059.6099999999997</v>
      </c>
      <c r="Y52" s="2"/>
      <c r="Z52" s="7">
        <f t="shared" si="45"/>
        <v>-1</v>
      </c>
    </row>
    <row r="53" spans="1:26" s="26" customFormat="1" outlineLevel="1" collapsed="1" x14ac:dyDescent="0.25">
      <c r="A53" s="27"/>
      <c r="B53" s="13" t="str">
        <f>CONCATENATE("     ","Telephone/Data Lines                              ")</f>
        <v xml:space="preserve">     Telephone/Data Lines                              </v>
      </c>
      <c r="C53" s="13"/>
      <c r="D53" s="1">
        <f>SUM(OSRRefD22_8x_0)</f>
        <v>0</v>
      </c>
      <c r="E53" s="1"/>
      <c r="F53" s="5">
        <f t="shared" ref="F53:F54" si="46">IF(D$12=0,0,D53/D$12)</f>
        <v>0</v>
      </c>
      <c r="G53" s="1"/>
      <c r="H53" s="1">
        <f>SUM(OSRRefH22_8x_0)</f>
        <v>86.65</v>
      </c>
      <c r="I53" s="1"/>
      <c r="J53" s="5">
        <f t="shared" ref="J53:J54" si="47">IF(H$12=0,0,H53/H$12)</f>
        <v>3.5947942898155096E-2</v>
      </c>
      <c r="K53" s="1"/>
      <c r="L53" s="1">
        <f t="shared" ref="L53:L54" si="48">+D53-H53</f>
        <v>-86.65</v>
      </c>
      <c r="M53" s="1"/>
      <c r="N53" s="5">
        <f t="shared" ref="N53:N54" si="49">IF(H53=0,0,L53/H53)</f>
        <v>-1</v>
      </c>
      <c r="O53" s="13"/>
      <c r="P53" s="1">
        <f>SUM(OSRRefP22_8x_0)</f>
        <v>0</v>
      </c>
      <c r="Q53" s="1"/>
      <c r="R53" s="5">
        <f t="shared" ref="R53:R54" si="50">IF(P$12=0,0,P53/P$12)</f>
        <v>0</v>
      </c>
      <c r="S53" s="1"/>
      <c r="T53" s="1">
        <f>SUM(OSRRefT22_8x_0)</f>
        <v>319.25</v>
      </c>
      <c r="U53" s="1"/>
      <c r="V53" s="5">
        <f t="shared" ref="V53:V54" si="51">IF(T$12=0,0,T53/T$12)</f>
        <v>4.3671616800542802E-2</v>
      </c>
      <c r="W53" s="1"/>
      <c r="X53" s="1">
        <f t="shared" ref="X53:X54" si="52">+P53-T53</f>
        <v>-319.25</v>
      </c>
      <c r="Y53" s="1"/>
      <c r="Z53" s="5">
        <f t="shared" ref="Z53:Z54" si="53">IF(T53=0,0,X53/T53)</f>
        <v>-1</v>
      </c>
    </row>
    <row r="54" spans="1:26" s="24" customFormat="1" hidden="1" outlineLevel="2" x14ac:dyDescent="0.25">
      <c r="A54" s="25"/>
      <c r="B54" s="11" t="str">
        <f>CONCATENATE("          ", "6309", " - ", "TELEPHONE")</f>
        <v xml:space="preserve">          6309 - TELEPHONE</v>
      </c>
      <c r="C54" s="11"/>
      <c r="D54" s="6"/>
      <c r="E54" s="2"/>
      <c r="F54" s="7">
        <f t="shared" si="46"/>
        <v>0</v>
      </c>
      <c r="G54" s="2"/>
      <c r="H54" s="6">
        <v>86.65</v>
      </c>
      <c r="I54" s="2"/>
      <c r="J54" s="7">
        <f t="shared" si="47"/>
        <v>3.5947942898155096E-2</v>
      </c>
      <c r="K54" s="2"/>
      <c r="L54" s="6">
        <f t="shared" si="48"/>
        <v>-86.65</v>
      </c>
      <c r="M54" s="2"/>
      <c r="N54" s="7">
        <f t="shared" si="49"/>
        <v>-1</v>
      </c>
      <c r="O54" s="11"/>
      <c r="P54" s="6"/>
      <c r="Q54" s="2"/>
      <c r="R54" s="7">
        <f t="shared" si="50"/>
        <v>0</v>
      </c>
      <c r="S54" s="2"/>
      <c r="T54" s="6">
        <v>319.25</v>
      </c>
      <c r="U54" s="2"/>
      <c r="V54" s="7">
        <f t="shared" si="51"/>
        <v>4.3671616800542802E-2</v>
      </c>
      <c r="W54" s="2"/>
      <c r="X54" s="6">
        <f t="shared" si="52"/>
        <v>-319.25</v>
      </c>
      <c r="Y54" s="2"/>
      <c r="Z54" s="7">
        <f t="shared" si="53"/>
        <v>-1</v>
      </c>
    </row>
    <row r="55" spans="1:26" s="53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collapsed="1" x14ac:dyDescent="0.25">
      <c r="A56" s="10"/>
      <c r="B56" s="29" t="s">
        <v>0</v>
      </c>
      <c r="C56" s="10"/>
      <c r="D56" s="4">
        <f>SUM(OSRRefD25x_0)</f>
        <v>0</v>
      </c>
      <c r="E56" s="4"/>
      <c r="F56" s="12">
        <f t="shared" ref="F56:F61" si="54">IF(D$12=0,0,D56/D$12)</f>
        <v>0</v>
      </c>
      <c r="G56" s="4"/>
      <c r="H56" s="4">
        <f>SUM(OSRRefH25x_0)</f>
        <v>1305</v>
      </c>
      <c r="I56" s="4"/>
      <c r="J56" s="12">
        <f t="shared" ref="J56:J61" si="55">IF(H$12=0,0,H56/H$12)</f>
        <v>0.54139717809685406</v>
      </c>
      <c r="K56" s="4"/>
      <c r="L56" s="4">
        <f t="shared" ref="L56:L61" si="56">+D56-H56</f>
        <v>-1305</v>
      </c>
      <c r="M56" s="4"/>
      <c r="N56" s="12">
        <f t="shared" ref="N56:N61" si="57">IF(H56=0,0,L56/H56)</f>
        <v>-1</v>
      </c>
      <c r="O56" s="10"/>
      <c r="P56" s="4">
        <f>SUM(OSRRefP25x_0)</f>
        <v>0</v>
      </c>
      <c r="Q56" s="4"/>
      <c r="R56" s="12">
        <f t="shared" ref="R56:R61" si="58">IF(P$12=0,0,P56/P$12)</f>
        <v>0</v>
      </c>
      <c r="S56" s="4"/>
      <c r="T56" s="4">
        <f>SUM(OSRRefT25x_0)</f>
        <v>85733.4</v>
      </c>
      <c r="U56" s="4"/>
      <c r="V56" s="12">
        <f t="shared" ref="V56:V61" si="59">IF(T$12=0,0,T56/T$12)</f>
        <v>11.727850248418656</v>
      </c>
      <c r="W56" s="4"/>
      <c r="X56" s="4">
        <f t="shared" ref="X56:X61" si="60">+P56-T56</f>
        <v>-85733.4</v>
      </c>
      <c r="Y56" s="4"/>
      <c r="Z56" s="12">
        <f t="shared" ref="Z56:Z61" si="61">IF(T56=0,0,X56/T56)</f>
        <v>-1</v>
      </c>
    </row>
    <row r="57" spans="1:26" s="24" customFormat="1" hidden="1" outlineLevel="1" x14ac:dyDescent="0.25">
      <c r="A57" s="44"/>
      <c r="B57" s="11" t="str">
        <f>CONCATENATE("          ", "4098", " - ", "TAXABLE SALES-GRAD RENTALS")</f>
        <v xml:space="preserve">          4098 - TAXABLE SALES-GRAD RENTALS</v>
      </c>
      <c r="C57" s="11"/>
      <c r="D57" s="2">
        <f t="shared" ref="D57:D61" si="62">0</f>
        <v>0</v>
      </c>
      <c r="E57" s="2"/>
      <c r="F57" s="19">
        <f t="shared" si="54"/>
        <v>0</v>
      </c>
      <c r="G57" s="2"/>
      <c r="H57" s="2">
        <f t="shared" ref="H57:H59" si="63">0</f>
        <v>0</v>
      </c>
      <c r="I57" s="2"/>
      <c r="J57" s="19">
        <f t="shared" si="55"/>
        <v>0</v>
      </c>
      <c r="K57" s="2"/>
      <c r="L57" s="2">
        <f t="shared" si="56"/>
        <v>0</v>
      </c>
      <c r="M57" s="2"/>
      <c r="N57" s="19">
        <f t="shared" si="57"/>
        <v>0</v>
      </c>
      <c r="O57" s="11"/>
      <c r="P57" s="2">
        <f t="shared" ref="P57:P61" si="64">0</f>
        <v>0</v>
      </c>
      <c r="Q57" s="2"/>
      <c r="R57" s="19">
        <f t="shared" si="58"/>
        <v>0</v>
      </c>
      <c r="S57" s="2"/>
      <c r="T57" s="2">
        <f>--1626.85</f>
        <v>1626.85</v>
      </c>
      <c r="U57" s="2"/>
      <c r="V57" s="19">
        <f t="shared" si="59"/>
        <v>0.2225439930836744</v>
      </c>
      <c r="W57" s="2"/>
      <c r="X57" s="2">
        <f t="shared" si="60"/>
        <v>-1626.85</v>
      </c>
      <c r="Y57" s="2"/>
      <c r="Z57" s="19">
        <f t="shared" si="61"/>
        <v>-1</v>
      </c>
    </row>
    <row r="58" spans="1:26" s="24" customFormat="1" hidden="1" outlineLevel="1" x14ac:dyDescent="0.25">
      <c r="A58" s="44"/>
      <c r="B58" s="11" t="str">
        <f>CONCATENATE("          ", "4197", " - ", "NON-TAXABLE SALES-RETURNED CHE")</f>
        <v xml:space="preserve">          4197 - NON-TAXABLE SALES-RETURNED CHE</v>
      </c>
      <c r="C58" s="11"/>
      <c r="D58" s="2">
        <f t="shared" si="62"/>
        <v>0</v>
      </c>
      <c r="E58" s="2"/>
      <c r="F58" s="19">
        <f t="shared" si="54"/>
        <v>0</v>
      </c>
      <c r="G58" s="2"/>
      <c r="H58" s="2">
        <f t="shared" si="63"/>
        <v>0</v>
      </c>
      <c r="I58" s="2"/>
      <c r="J58" s="19">
        <f t="shared" si="55"/>
        <v>0</v>
      </c>
      <c r="K58" s="2"/>
      <c r="L58" s="2">
        <f t="shared" si="56"/>
        <v>0</v>
      </c>
      <c r="M58" s="2"/>
      <c r="N58" s="19">
        <f t="shared" si="57"/>
        <v>0</v>
      </c>
      <c r="O58" s="11"/>
      <c r="P58" s="2">
        <f t="shared" si="64"/>
        <v>0</v>
      </c>
      <c r="Q58" s="2"/>
      <c r="R58" s="19">
        <f t="shared" si="58"/>
        <v>0</v>
      </c>
      <c r="S58" s="2"/>
      <c r="T58" s="2">
        <f>--30</f>
        <v>30</v>
      </c>
      <c r="U58" s="2"/>
      <c r="V58" s="19">
        <f t="shared" si="59"/>
        <v>4.1038324323141237E-3</v>
      </c>
      <c r="W58" s="2"/>
      <c r="X58" s="2">
        <f t="shared" si="60"/>
        <v>-30</v>
      </c>
      <c r="Y58" s="2"/>
      <c r="Z58" s="19">
        <f t="shared" si="61"/>
        <v>-1</v>
      </c>
    </row>
    <row r="59" spans="1:26" s="24" customFormat="1" hidden="1" outlineLevel="1" x14ac:dyDescent="0.25">
      <c r="A59" s="44"/>
      <c r="B59" s="11" t="str">
        <f>CONCATENATE("          ", "4198", " - ", "NON-TAXABLE SALES-GRAD RENTALS")</f>
        <v xml:space="preserve">          4198 - NON-TAXABLE SALES-GRAD RENTALS</v>
      </c>
      <c r="C59" s="11"/>
      <c r="D59" s="2">
        <f t="shared" si="62"/>
        <v>0</v>
      </c>
      <c r="E59" s="2"/>
      <c r="F59" s="19">
        <f t="shared" si="54"/>
        <v>0</v>
      </c>
      <c r="G59" s="2"/>
      <c r="H59" s="2">
        <f t="shared" si="63"/>
        <v>0</v>
      </c>
      <c r="I59" s="2"/>
      <c r="J59" s="19">
        <f t="shared" si="55"/>
        <v>0</v>
      </c>
      <c r="K59" s="2"/>
      <c r="L59" s="2">
        <f t="shared" si="56"/>
        <v>0</v>
      </c>
      <c r="M59" s="2"/>
      <c r="N59" s="19">
        <f t="shared" si="57"/>
        <v>0</v>
      </c>
      <c r="O59" s="11"/>
      <c r="P59" s="2">
        <f t="shared" si="64"/>
        <v>0</v>
      </c>
      <c r="Q59" s="2"/>
      <c r="R59" s="19">
        <f t="shared" si="58"/>
        <v>0</v>
      </c>
      <c r="S59" s="2"/>
      <c r="T59" s="2">
        <f>--495</f>
        <v>495</v>
      </c>
      <c r="U59" s="2"/>
      <c r="V59" s="19">
        <f t="shared" si="59"/>
        <v>6.7713235133183045E-2</v>
      </c>
      <c r="W59" s="2"/>
      <c r="X59" s="2">
        <f t="shared" si="60"/>
        <v>-495</v>
      </c>
      <c r="Y59" s="2"/>
      <c r="Z59" s="19">
        <f t="shared" si="61"/>
        <v>-1</v>
      </c>
    </row>
    <row r="60" spans="1:26" s="24" customFormat="1" hidden="1" outlineLevel="1" x14ac:dyDescent="0.25">
      <c r="A60" s="44"/>
      <c r="B60" s="11" t="str">
        <f>CONCATENATE("          ", "9160", " - ", "MISC. INCOME")</f>
        <v xml:space="preserve">          9160 - MISC. INCOME</v>
      </c>
      <c r="C60" s="11"/>
      <c r="D60" s="2">
        <f t="shared" si="62"/>
        <v>0</v>
      </c>
      <c r="E60" s="2"/>
      <c r="F60" s="19">
        <f t="shared" si="54"/>
        <v>0</v>
      </c>
      <c r="G60" s="2"/>
      <c r="H60" s="2">
        <f>--1305</f>
        <v>1305</v>
      </c>
      <c r="I60" s="2"/>
      <c r="J60" s="19">
        <f t="shared" si="55"/>
        <v>0.54139717809685406</v>
      </c>
      <c r="K60" s="2"/>
      <c r="L60" s="2">
        <f t="shared" si="56"/>
        <v>-1305</v>
      </c>
      <c r="M60" s="2"/>
      <c r="N60" s="19">
        <f t="shared" si="57"/>
        <v>-1</v>
      </c>
      <c r="O60" s="11"/>
      <c r="P60" s="2">
        <f t="shared" si="64"/>
        <v>0</v>
      </c>
      <c r="Q60" s="2"/>
      <c r="R60" s="19">
        <f t="shared" si="58"/>
        <v>0</v>
      </c>
      <c r="S60" s="2"/>
      <c r="T60" s="2">
        <f>--22475</f>
        <v>22475</v>
      </c>
      <c r="U60" s="2"/>
      <c r="V60" s="19">
        <f t="shared" si="59"/>
        <v>3.0744544638753313</v>
      </c>
      <c r="W60" s="2"/>
      <c r="X60" s="2">
        <f t="shared" si="60"/>
        <v>-22475</v>
      </c>
      <c r="Y60" s="2"/>
      <c r="Z60" s="19">
        <f t="shared" si="61"/>
        <v>-1</v>
      </c>
    </row>
    <row r="61" spans="1:26" s="24" customFormat="1" hidden="1" outlineLevel="1" x14ac:dyDescent="0.25">
      <c r="A61" s="44"/>
      <c r="B61" s="11" t="str">
        <f>CONCATENATE("          ", "9163", " - ", "MISC. INCOME")</f>
        <v xml:space="preserve">          9163 - MISC. INCOME</v>
      </c>
      <c r="C61" s="11"/>
      <c r="D61" s="2">
        <f t="shared" si="62"/>
        <v>0</v>
      </c>
      <c r="E61" s="2"/>
      <c r="F61" s="19">
        <f t="shared" si="54"/>
        <v>0</v>
      </c>
      <c r="G61" s="2"/>
      <c r="H61" s="2">
        <f>0</f>
        <v>0</v>
      </c>
      <c r="I61" s="2"/>
      <c r="J61" s="19">
        <f t="shared" si="55"/>
        <v>0</v>
      </c>
      <c r="K61" s="2"/>
      <c r="L61" s="2">
        <f t="shared" si="56"/>
        <v>0</v>
      </c>
      <c r="M61" s="2"/>
      <c r="N61" s="19">
        <f t="shared" si="57"/>
        <v>0</v>
      </c>
      <c r="O61" s="11"/>
      <c r="P61" s="2">
        <f t="shared" si="64"/>
        <v>0</v>
      </c>
      <c r="Q61" s="2"/>
      <c r="R61" s="19">
        <f t="shared" si="58"/>
        <v>0</v>
      </c>
      <c r="S61" s="2"/>
      <c r="T61" s="2">
        <f>--61106.55</f>
        <v>61106.55</v>
      </c>
      <c r="U61" s="2"/>
      <c r="V61" s="19">
        <f t="shared" si="59"/>
        <v>8.3590347238941547</v>
      </c>
      <c r="W61" s="2"/>
      <c r="X61" s="2">
        <f t="shared" si="60"/>
        <v>-61106.55</v>
      </c>
      <c r="Y61" s="2"/>
      <c r="Z61" s="19">
        <f t="shared" si="61"/>
        <v>-1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8" t="s">
        <v>3</v>
      </c>
      <c r="C63" s="28"/>
      <c r="D63" s="20">
        <f>+D24-D26+D56</f>
        <v>0</v>
      </c>
      <c r="E63" s="14"/>
      <c r="F63" s="22">
        <f>IF(D$12=0,0,D63/D$12)</f>
        <v>0</v>
      </c>
      <c r="G63" s="14"/>
      <c r="H63" s="20">
        <f>+H24-H26+H56</f>
        <v>-817.73</v>
      </c>
      <c r="I63" s="14"/>
      <c r="J63" s="22">
        <f>IF(H$12=0,0,H63/H$12)</f>
        <v>-0.33924652447903481</v>
      </c>
      <c r="K63" s="15"/>
      <c r="L63" s="20">
        <f>+D63-H63</f>
        <v>817.73</v>
      </c>
      <c r="M63" s="15"/>
      <c r="N63" s="22">
        <f>IF(H63=0,0,L63/H63)</f>
        <v>-1</v>
      </c>
      <c r="O63" s="29"/>
      <c r="P63" s="20">
        <f>+P24-P26+P56</f>
        <v>0</v>
      </c>
      <c r="Q63" s="14"/>
      <c r="R63" s="22">
        <f>IF(P$12=0,0,P63/P$12)</f>
        <v>0</v>
      </c>
      <c r="S63" s="14"/>
      <c r="T63" s="20">
        <f>+T24-T26+T56</f>
        <v>86349.91</v>
      </c>
      <c r="U63" s="14"/>
      <c r="V63" s="22">
        <f>IF(T$12=0,0,T63/T$12)</f>
        <v>11.812185372846857</v>
      </c>
      <c r="W63" s="15"/>
      <c r="X63" s="20">
        <f>+P63-T63</f>
        <v>-86349.91</v>
      </c>
      <c r="Y63" s="15"/>
      <c r="Z63" s="22">
        <f>IF(T63=0,0,X63/T63)</f>
        <v>-1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1"/>
      <c r="B65" s="10" t="s">
        <v>13</v>
      </c>
      <c r="C65" s="10"/>
      <c r="D65" s="4"/>
      <c r="E65" s="4"/>
      <c r="F65" s="12">
        <f>IF(D$12=0,0,D65/D$12)</f>
        <v>0</v>
      </c>
      <c r="G65" s="4"/>
      <c r="H65" s="4">
        <v>280.87</v>
      </c>
      <c r="I65" s="4"/>
      <c r="J65" s="12">
        <f>IF(H$12=0,0,H65/H$12)</f>
        <v>0.11652277809353516</v>
      </c>
      <c r="K65" s="4"/>
      <c r="L65" s="4">
        <f>+D65-H65</f>
        <v>-280.87</v>
      </c>
      <c r="M65" s="4"/>
      <c r="N65" s="12">
        <f>IF(H65=0,0,L65/H65)</f>
        <v>-1</v>
      </c>
      <c r="O65" s="10"/>
      <c r="P65" s="4"/>
      <c r="Q65" s="4"/>
      <c r="R65" s="12">
        <f>IF(P$12=0,0,P65/P$12)</f>
        <v>0</v>
      </c>
      <c r="S65" s="4"/>
      <c r="T65" s="4">
        <v>774.1</v>
      </c>
      <c r="U65" s="4"/>
      <c r="V65" s="12">
        <f>IF(T$12=0,0,T65/T$12)</f>
        <v>0.10589255619514544</v>
      </c>
      <c r="W65" s="4"/>
      <c r="X65" s="4">
        <f>+P65-T65</f>
        <v>-774.1</v>
      </c>
      <c r="Y65" s="4"/>
      <c r="Z65" s="12">
        <f>IF(T65=0,0,X65/T65)</f>
        <v>-1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8" t="s">
        <v>4</v>
      </c>
      <c r="C67" s="28"/>
      <c r="D67" s="31">
        <f>+D63-D65</f>
        <v>0</v>
      </c>
      <c r="E67" s="14"/>
      <c r="F67" s="34">
        <f>IF(D$12=0,0,D67/D$12)</f>
        <v>0</v>
      </c>
      <c r="G67" s="14"/>
      <c r="H67" s="31">
        <f>+H63-H65</f>
        <v>-1098.5999999999999</v>
      </c>
      <c r="I67" s="14"/>
      <c r="J67" s="34">
        <f>IF(H$12=0,0,H67/H$12)</f>
        <v>-0.45576930257256992</v>
      </c>
      <c r="K67" s="15"/>
      <c r="L67" s="31">
        <f>D67-H67</f>
        <v>1098.5999999999999</v>
      </c>
      <c r="M67" s="15"/>
      <c r="N67" s="34">
        <f>IF(H67=0,0,L67/H67)</f>
        <v>-1</v>
      </c>
      <c r="O67" s="29"/>
      <c r="P67" s="31">
        <f>+P63-P65</f>
        <v>0</v>
      </c>
      <c r="Q67" s="14"/>
      <c r="R67" s="34">
        <f>IF(P$12=0,0,P67/P$12)</f>
        <v>0</v>
      </c>
      <c r="S67" s="14"/>
      <c r="T67" s="31">
        <f>+T63-T65</f>
        <v>85575.81</v>
      </c>
      <c r="U67" s="14"/>
      <c r="V67" s="34">
        <f>IF(T$12=0,0,T67/T$12)</f>
        <v>11.706292816651711</v>
      </c>
      <c r="W67" s="15"/>
      <c r="X67" s="31">
        <f>P67-T67</f>
        <v>-85575.81</v>
      </c>
      <c r="Y67" s="15"/>
      <c r="Z67" s="34">
        <f>IF(T67=0,0,X67/T67)</f>
        <v>-1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8" t="s">
        <v>5</v>
      </c>
      <c r="C70" s="28"/>
      <c r="D70" s="32">
        <f>SUM(D67:D69)</f>
        <v>0</v>
      </c>
      <c r="E70" s="14"/>
      <c r="F70" s="30">
        <f>IF(D$12=0,0,D70/D$12)</f>
        <v>0</v>
      </c>
      <c r="G70" s="14"/>
      <c r="H70" s="32">
        <f>SUM(H67:H69)</f>
        <v>-1098.5999999999999</v>
      </c>
      <c r="I70" s="14"/>
      <c r="J70" s="30">
        <f>IF(H$12=0,0,H70/H$12)</f>
        <v>-0.45576930257256992</v>
      </c>
      <c r="K70" s="15"/>
      <c r="L70" s="32">
        <f>+D70-H70</f>
        <v>1098.5999999999999</v>
      </c>
      <c r="M70" s="15"/>
      <c r="N70" s="30">
        <f>IF(H70=0,0,L70/H70)</f>
        <v>-1</v>
      </c>
      <c r="O70" s="29"/>
      <c r="P70" s="32">
        <f>SUM(P67:P69)</f>
        <v>0</v>
      </c>
      <c r="Q70" s="14"/>
      <c r="R70" s="30">
        <f>IF(P$12=0,0,P70/P$12)</f>
        <v>0</v>
      </c>
      <c r="S70" s="14"/>
      <c r="T70" s="32">
        <f>SUM(T67:T69)</f>
        <v>85575.81</v>
      </c>
      <c r="U70" s="14"/>
      <c r="V70" s="30">
        <f>IF(T$12=0,0,T70/T$12)</f>
        <v>11.706292816651711</v>
      </c>
      <c r="W70" s="15"/>
      <c r="X70" s="32">
        <f>+P70-T70</f>
        <v>-85575.81</v>
      </c>
      <c r="Y70" s="15"/>
      <c r="Z70" s="30">
        <f>IF(T70=0,0,X70/T70)</f>
        <v>-1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4">
        <v>44174.685731979167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56" t="s">
        <v>313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61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310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59781.37</v>
      </c>
      <c r="E12" s="4"/>
      <c r="F12" s="12"/>
      <c r="G12" s="4"/>
      <c r="H12" s="4">
        <f>SUM(OSRRefH13x_0)</f>
        <v>160480.32999999993</v>
      </c>
      <c r="I12" s="4"/>
      <c r="J12" s="12"/>
      <c r="K12" s="4"/>
      <c r="L12" s="4">
        <f t="shared" ref="L12:L37" si="0">+D12-H12</f>
        <v>-100698.95999999993</v>
      </c>
      <c r="M12" s="4"/>
      <c r="N12" s="12">
        <f t="shared" ref="N12:N37" si="1">IF(H12=0,0,L12/H12)</f>
        <v>-0.62748475155802574</v>
      </c>
      <c r="O12" s="10"/>
      <c r="P12" s="4">
        <f>SUM(OSRRefP13x_0)</f>
        <v>1195902.9000000004</v>
      </c>
      <c r="Q12" s="4"/>
      <c r="R12" s="12"/>
      <c r="S12" s="4"/>
      <c r="T12" s="4">
        <f>SUM(OSRRefT13x_0)</f>
        <v>1498885.13</v>
      </c>
      <c r="U12" s="4"/>
      <c r="V12" s="12"/>
      <c r="W12" s="4"/>
      <c r="X12" s="4">
        <f t="shared" ref="X12:X37" si="2">+P12-T12</f>
        <v>-302982.22999999952</v>
      </c>
      <c r="Y12" s="4"/>
      <c r="Z12" s="12">
        <f t="shared" ref="Z12:Z37" si="3">IF(T12=0,0,X12/T12)</f>
        <v>-0.20213839201940681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-142.02</f>
        <v>-142.02000000000001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-142.02000000000001</v>
      </c>
      <c r="M13" s="2"/>
      <c r="N13" s="19">
        <f t="shared" si="1"/>
        <v>0</v>
      </c>
      <c r="O13" s="11"/>
      <c r="P13" s="2">
        <f>-2044.11</f>
        <v>-2044.11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-2044.11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--973.93</f>
        <v>973.93</v>
      </c>
      <c r="E14" s="2"/>
      <c r="F14" s="19"/>
      <c r="G14" s="2"/>
      <c r="H14" s="2">
        <f>--16123.77</f>
        <v>16123.77</v>
      </c>
      <c r="I14" s="2"/>
      <c r="J14" s="19"/>
      <c r="K14" s="2"/>
      <c r="L14" s="2">
        <f t="shared" si="0"/>
        <v>-15149.84</v>
      </c>
      <c r="M14" s="2"/>
      <c r="N14" s="19">
        <f t="shared" si="1"/>
        <v>-0.93959663279741645</v>
      </c>
      <c r="O14" s="11"/>
      <c r="P14" s="2">
        <f>--56019.27</f>
        <v>56019.27</v>
      </c>
      <c r="Q14" s="2"/>
      <c r="R14" s="19"/>
      <c r="S14" s="2"/>
      <c r="T14" s="2">
        <f>--229580.58</f>
        <v>229580.58</v>
      </c>
      <c r="U14" s="2"/>
      <c r="V14" s="19"/>
      <c r="W14" s="2"/>
      <c r="X14" s="2">
        <f t="shared" si="2"/>
        <v>-173561.31</v>
      </c>
      <c r="Y14" s="2"/>
      <c r="Z14" s="19">
        <f t="shared" si="3"/>
        <v>-0.7559929938324923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--57494.9</f>
        <v>57494.9</v>
      </c>
      <c r="E15" s="2"/>
      <c r="F15" s="19"/>
      <c r="G15" s="2"/>
      <c r="H15" s="2">
        <f>--134369.21</f>
        <v>134369.21</v>
      </c>
      <c r="I15" s="2"/>
      <c r="J15" s="19"/>
      <c r="K15" s="2"/>
      <c r="L15" s="2">
        <f t="shared" si="0"/>
        <v>-76874.31</v>
      </c>
      <c r="M15" s="2"/>
      <c r="N15" s="19">
        <f t="shared" si="1"/>
        <v>-0.57211253977008569</v>
      </c>
      <c r="O15" s="11"/>
      <c r="P15" s="2">
        <f>--949594.89</f>
        <v>949594.89</v>
      </c>
      <c r="Q15" s="2"/>
      <c r="R15" s="19"/>
      <c r="S15" s="2"/>
      <c r="T15" s="2">
        <f>--1282768.84</f>
        <v>1282768.8400000001</v>
      </c>
      <c r="U15" s="2"/>
      <c r="V15" s="19"/>
      <c r="W15" s="2"/>
      <c r="X15" s="2">
        <f t="shared" si="2"/>
        <v>-333173.95000000007</v>
      </c>
      <c r="Y15" s="2"/>
      <c r="Z15" s="19">
        <f t="shared" si="3"/>
        <v>-0.25973031119153162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--4805.85</f>
        <v>4805.8500000000004</v>
      </c>
      <c r="E16" s="2"/>
      <c r="F16" s="19"/>
      <c r="G16" s="2"/>
      <c r="H16" s="2">
        <f>--9897.8</f>
        <v>9897.7999999999993</v>
      </c>
      <c r="I16" s="2"/>
      <c r="J16" s="19"/>
      <c r="K16" s="2"/>
      <c r="L16" s="2">
        <f t="shared" si="0"/>
        <v>-5091.9499999999989</v>
      </c>
      <c r="M16" s="2"/>
      <c r="N16" s="19">
        <f t="shared" si="1"/>
        <v>-0.51445270666208642</v>
      </c>
      <c r="O16" s="11"/>
      <c r="P16" s="2">
        <f>--76850.95</f>
        <v>76850.95</v>
      </c>
      <c r="Q16" s="2"/>
      <c r="R16" s="19"/>
      <c r="S16" s="2"/>
      <c r="T16" s="2">
        <f>--63504.02</f>
        <v>63504.02</v>
      </c>
      <c r="U16" s="2"/>
      <c r="V16" s="19"/>
      <c r="W16" s="2"/>
      <c r="X16" s="2">
        <f t="shared" si="2"/>
        <v>13346.93</v>
      </c>
      <c r="Y16" s="2"/>
      <c r="Z16" s="19">
        <f t="shared" si="3"/>
        <v>0.21017456847613744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>0</f>
        <v>0</v>
      </c>
      <c r="E17" s="2"/>
      <c r="F17" s="19"/>
      <c r="G17" s="2"/>
      <c r="H17" s="2">
        <f t="shared" ref="H17:H18" si="4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>--378.99</f>
        <v>378.99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378.99</v>
      </c>
      <c r="M18" s="2"/>
      <c r="N18" s="19">
        <f t="shared" si="1"/>
        <v>0</v>
      </c>
      <c r="O18" s="11"/>
      <c r="P18" s="2">
        <f>--1499.95</f>
        <v>1499.95</v>
      </c>
      <c r="Q18" s="2"/>
      <c r="R18" s="19"/>
      <c r="S18" s="2"/>
      <c r="T18" s="2">
        <f>--4407.94</f>
        <v>4407.9399999999996</v>
      </c>
      <c r="U18" s="2"/>
      <c r="V18" s="19"/>
      <c r="W18" s="2"/>
      <c r="X18" s="2">
        <f t="shared" si="2"/>
        <v>-2907.99</v>
      </c>
      <c r="Y18" s="2"/>
      <c r="Z18" s="19">
        <f t="shared" si="3"/>
        <v>-0.65971633007708819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--260.94</f>
        <v>260.94</v>
      </c>
      <c r="E19" s="2"/>
      <c r="F19" s="19"/>
      <c r="G19" s="2"/>
      <c r="H19" s="2">
        <f>--3769.61</f>
        <v>3769.61</v>
      </c>
      <c r="I19" s="2"/>
      <c r="J19" s="19"/>
      <c r="K19" s="2"/>
      <c r="L19" s="2">
        <f t="shared" si="0"/>
        <v>-3508.67</v>
      </c>
      <c r="M19" s="2"/>
      <c r="N19" s="19">
        <f t="shared" si="1"/>
        <v>-0.93077798499048969</v>
      </c>
      <c r="O19" s="11"/>
      <c r="P19" s="2">
        <f>--29627.6</f>
        <v>29627.599999999999</v>
      </c>
      <c r="Q19" s="2"/>
      <c r="R19" s="19"/>
      <c r="S19" s="2"/>
      <c r="T19" s="2">
        <f>--30367.91</f>
        <v>30367.91</v>
      </c>
      <c r="U19" s="2"/>
      <c r="V19" s="19"/>
      <c r="W19" s="2"/>
      <c r="X19" s="2">
        <f t="shared" si="2"/>
        <v>-740.31000000000131</v>
      </c>
      <c r="Y19" s="2"/>
      <c r="Z19" s="19">
        <f t="shared" si="3"/>
        <v>-2.437803589381032E-2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0</f>
        <v>0</v>
      </c>
      <c r="E20" s="2"/>
      <c r="F20" s="19"/>
      <c r="G20" s="2"/>
      <c r="H20" s="2">
        <f>--118.97</f>
        <v>118.97</v>
      </c>
      <c r="I20" s="2"/>
      <c r="J20" s="19"/>
      <c r="K20" s="2"/>
      <c r="L20" s="2">
        <f t="shared" si="0"/>
        <v>-118.97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f>--936.91</f>
        <v>936.91</v>
      </c>
      <c r="U20" s="2"/>
      <c r="V20" s="19"/>
      <c r="W20" s="2"/>
      <c r="X20" s="2">
        <f t="shared" si="2"/>
        <v>-936.91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"4181", " - ", "NON-TAXABLE SALES-ELECTRONICS")</f>
        <v xml:space="preserve">          4181 - NON-TAXABLE SALES-ELECTRONICS</v>
      </c>
      <c r="C21" s="11"/>
      <c r="D21" s="2">
        <f>--29.99</f>
        <v>29.99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29.99</v>
      </c>
      <c r="M21" s="2"/>
      <c r="N21" s="19">
        <f t="shared" si="1"/>
        <v>0</v>
      </c>
      <c r="O21" s="11"/>
      <c r="P21" s="2">
        <f>--3534.12</f>
        <v>3534.12</v>
      </c>
      <c r="Q21" s="2"/>
      <c r="R21" s="19"/>
      <c r="S21" s="2"/>
      <c r="T21" s="2">
        <f>--1462.51</f>
        <v>1462.51</v>
      </c>
      <c r="U21" s="2"/>
      <c r="V21" s="19"/>
      <c r="W21" s="2"/>
      <c r="X21" s="2">
        <f t="shared" si="2"/>
        <v>2071.6099999999997</v>
      </c>
      <c r="Y21" s="2"/>
      <c r="Z21" s="19">
        <f t="shared" si="3"/>
        <v>1.4164757847809586</v>
      </c>
    </row>
    <row r="22" spans="1:26" s="24" customFormat="1" hidden="1" outlineLevel="1" x14ac:dyDescent="0.25">
      <c r="A22" s="44"/>
      <c r="B22" s="11" t="str">
        <f>CONCATENATE("          ", "4182", " - ", "NON-TAXABLE SALES-COMPUTER HAR")</f>
        <v xml:space="preserve">          4182 - NON-TAXABLE SALES-COMPUTER HAR</v>
      </c>
      <c r="C22" s="11"/>
      <c r="D22" s="2">
        <f>--9499.97</f>
        <v>9499.9699999999993</v>
      </c>
      <c r="E22" s="2"/>
      <c r="F22" s="19"/>
      <c r="G22" s="2"/>
      <c r="H22" s="2">
        <f>--5749</f>
        <v>5749</v>
      </c>
      <c r="I22" s="2"/>
      <c r="J22" s="19"/>
      <c r="K22" s="2"/>
      <c r="L22" s="2">
        <f t="shared" si="0"/>
        <v>3750.9699999999993</v>
      </c>
      <c r="M22" s="2"/>
      <c r="N22" s="19">
        <f t="shared" si="1"/>
        <v>0.6524560793181422</v>
      </c>
      <c r="O22" s="11"/>
      <c r="P22" s="2">
        <f>--154794.35</f>
        <v>154794.35</v>
      </c>
      <c r="Q22" s="2"/>
      <c r="R22" s="19"/>
      <c r="S22" s="2"/>
      <c r="T22" s="2">
        <f>--62309</f>
        <v>62309</v>
      </c>
      <c r="U22" s="2"/>
      <c r="V22" s="19"/>
      <c r="W22" s="2"/>
      <c r="X22" s="2">
        <f t="shared" si="2"/>
        <v>92485.35</v>
      </c>
      <c r="Y22" s="2"/>
      <c r="Z22" s="19">
        <f t="shared" si="3"/>
        <v>1.4843016257683481</v>
      </c>
    </row>
    <row r="23" spans="1:26" s="24" customFormat="1" hidden="1" outlineLevel="1" x14ac:dyDescent="0.25">
      <c r="A23" s="44"/>
      <c r="B23" s="11" t="str">
        <f>CONCATENATE("          ", "4183", " - ", "NON-TAXABLE SALES-COMPUTER EQU")</f>
        <v xml:space="preserve">          4183 - NON-TAXABLE SALES-COMPUTER EQU</v>
      </c>
      <c r="C23" s="11"/>
      <c r="D23" s="2">
        <f>--1033.89</f>
        <v>1033.8900000000001</v>
      </c>
      <c r="E23" s="2"/>
      <c r="F23" s="19"/>
      <c r="G23" s="2"/>
      <c r="H23" s="2">
        <f>--249.96</f>
        <v>249.96</v>
      </c>
      <c r="I23" s="2"/>
      <c r="J23" s="19"/>
      <c r="K23" s="2"/>
      <c r="L23" s="2">
        <f t="shared" si="0"/>
        <v>783.93000000000006</v>
      </c>
      <c r="M23" s="2"/>
      <c r="N23" s="19">
        <f t="shared" si="1"/>
        <v>3.1362217954872782</v>
      </c>
      <c r="O23" s="11"/>
      <c r="P23" s="2">
        <f>--7370.28</f>
        <v>7370.28</v>
      </c>
      <c r="Q23" s="2"/>
      <c r="R23" s="19"/>
      <c r="S23" s="2"/>
      <c r="T23" s="2">
        <f>--3304.88</f>
        <v>3304.88</v>
      </c>
      <c r="U23" s="2"/>
      <c r="V23" s="19"/>
      <c r="W23" s="2"/>
      <c r="X23" s="2">
        <f t="shared" si="2"/>
        <v>4065.3999999999996</v>
      </c>
      <c r="Y23" s="2"/>
      <c r="Z23" s="19">
        <f t="shared" si="3"/>
        <v>1.2301203069400399</v>
      </c>
    </row>
    <row r="24" spans="1:26" s="24" customFormat="1" hidden="1" outlineLevel="1" x14ac:dyDescent="0.25">
      <c r="A24" s="44"/>
      <c r="B24" s="11" t="str">
        <f>CONCATENATE("          ", "4184", " - ", "NON-TAXABLE SALES-SOFTWARE LIC")</f>
        <v xml:space="preserve">          4184 - NON-TAXABLE SALES-SOFTWARE LIC</v>
      </c>
      <c r="C24" s="11"/>
      <c r="D24" s="2">
        <f>0</f>
        <v>0</v>
      </c>
      <c r="E24" s="2"/>
      <c r="F24" s="19"/>
      <c r="G24" s="2"/>
      <c r="H24" s="2">
        <f>--1206</f>
        <v>1206</v>
      </c>
      <c r="I24" s="2"/>
      <c r="J24" s="19"/>
      <c r="K24" s="2"/>
      <c r="L24" s="2">
        <f t="shared" si="0"/>
        <v>-1206</v>
      </c>
      <c r="M24" s="2"/>
      <c r="N24" s="19">
        <f t="shared" si="1"/>
        <v>-1</v>
      </c>
      <c r="O24" s="11"/>
      <c r="P24" s="2">
        <f>0</f>
        <v>0</v>
      </c>
      <c r="Q24" s="2"/>
      <c r="R24" s="19"/>
      <c r="S24" s="2"/>
      <c r="T24" s="2">
        <f>--2728</f>
        <v>2728</v>
      </c>
      <c r="U24" s="2"/>
      <c r="V24" s="19"/>
      <c r="W24" s="2"/>
      <c r="X24" s="2">
        <f t="shared" si="2"/>
        <v>-2728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"4185", " - ", "NON-TAXABLE SALES-SOFTWARE")</f>
        <v xml:space="preserve">          4185 - NON-TAXABLE SALES-SOFTWARE</v>
      </c>
      <c r="C25" s="11"/>
      <c r="D25" s="2">
        <f>--1989.89</f>
        <v>1989.89</v>
      </c>
      <c r="E25" s="2"/>
      <c r="F25" s="19"/>
      <c r="G25" s="2"/>
      <c r="H25" s="2">
        <f>--495.98</f>
        <v>495.98</v>
      </c>
      <c r="I25" s="2"/>
      <c r="J25" s="19"/>
      <c r="K25" s="2"/>
      <c r="L25" s="2">
        <f t="shared" si="0"/>
        <v>1493.91</v>
      </c>
      <c r="M25" s="2"/>
      <c r="N25" s="19">
        <f t="shared" si="1"/>
        <v>3.0120367756764388</v>
      </c>
      <c r="O25" s="11"/>
      <c r="P25" s="2">
        <f>--25806.74</f>
        <v>25806.74</v>
      </c>
      <c r="Q25" s="2"/>
      <c r="R25" s="19"/>
      <c r="S25" s="2"/>
      <c r="T25" s="2">
        <f>--8963.87</f>
        <v>8963.8700000000008</v>
      </c>
      <c r="U25" s="2"/>
      <c r="V25" s="19"/>
      <c r="W25" s="2"/>
      <c r="X25" s="2">
        <f t="shared" si="2"/>
        <v>16842.870000000003</v>
      </c>
      <c r="Y25" s="2"/>
      <c r="Z25" s="19">
        <f t="shared" si="3"/>
        <v>1.8789730328529977</v>
      </c>
    </row>
    <row r="26" spans="1:26" s="24" customFormat="1" hidden="1" outlineLevel="1" x14ac:dyDescent="0.25">
      <c r="A26" s="44"/>
      <c r="B26" s="11" t="str">
        <f>CONCATENATE("          ", "4186", " - ", "NON-TAXABLE SALES-COMPUTER SUP")</f>
        <v xml:space="preserve">          4186 - NON-TAXABLE SALES-COMPUTER SUP</v>
      </c>
      <c r="C26" s="11"/>
      <c r="D26" s="2">
        <f>--44</f>
        <v>44</v>
      </c>
      <c r="E26" s="2"/>
      <c r="F26" s="19"/>
      <c r="G26" s="2"/>
      <c r="H26" s="2">
        <f>--49.99</f>
        <v>49.99</v>
      </c>
      <c r="I26" s="2"/>
      <c r="J26" s="19"/>
      <c r="K26" s="2"/>
      <c r="L26" s="2">
        <f t="shared" si="0"/>
        <v>-5.990000000000002</v>
      </c>
      <c r="M26" s="2"/>
      <c r="N26" s="19">
        <f t="shared" si="1"/>
        <v>-0.11982396479295862</v>
      </c>
      <c r="O26" s="11"/>
      <c r="P26" s="2">
        <f>--1773.77</f>
        <v>1773.77</v>
      </c>
      <c r="Q26" s="2"/>
      <c r="R26" s="19"/>
      <c r="S26" s="2"/>
      <c r="T26" s="2">
        <f>--1603.37</f>
        <v>1603.37</v>
      </c>
      <c r="U26" s="2"/>
      <c r="V26" s="19"/>
      <c r="W26" s="2"/>
      <c r="X26" s="2">
        <f t="shared" si="2"/>
        <v>170.40000000000009</v>
      </c>
      <c r="Y26" s="2"/>
      <c r="Z26" s="19">
        <f t="shared" si="3"/>
        <v>0.10627615584674785</v>
      </c>
    </row>
    <row r="27" spans="1:26" s="24" customFormat="1" hidden="1" outlineLevel="1" x14ac:dyDescent="0.25">
      <c r="A27" s="44"/>
      <c r="B27" s="11" t="str">
        <f>CONCATENATE("          ", "4188", " - ", "NON-TAXABLE SALES-MUSIC")</f>
        <v xml:space="preserve">          4188 - NON-TAXABLE SALES-MUSIC</v>
      </c>
      <c r="C27" s="11"/>
      <c r="D27" s="2">
        <f t="shared" ref="D27:D28" si="5">0</f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0</f>
        <v>0</v>
      </c>
      <c r="Q27" s="2"/>
      <c r="R27" s="19"/>
      <c r="S27" s="2"/>
      <c r="T27" s="2">
        <f>--219.96</f>
        <v>219.96</v>
      </c>
      <c r="U27" s="2"/>
      <c r="V27" s="19"/>
      <c r="W27" s="2"/>
      <c r="X27" s="2">
        <f t="shared" si="2"/>
        <v>-219.96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"4281", " - ", "SALES RETURN TAXABLE-ELECTRONI")</f>
        <v xml:space="preserve">          4281 - SALES RETURN TAXABLE-ELECTRONI</v>
      </c>
      <c r="C28" s="11"/>
      <c r="D28" s="2">
        <f t="shared" si="5"/>
        <v>0</v>
      </c>
      <c r="E28" s="2"/>
      <c r="F28" s="19"/>
      <c r="G28" s="2"/>
      <c r="H28" s="2">
        <f>-445.93</f>
        <v>-445.93</v>
      </c>
      <c r="I28" s="2"/>
      <c r="J28" s="19"/>
      <c r="K28" s="2"/>
      <c r="L28" s="2">
        <f t="shared" si="0"/>
        <v>445.93</v>
      </c>
      <c r="M28" s="2"/>
      <c r="N28" s="19">
        <f t="shared" si="1"/>
        <v>-1</v>
      </c>
      <c r="O28" s="11"/>
      <c r="P28" s="2">
        <f>-14632.15</f>
        <v>-14632.15</v>
      </c>
      <c r="Q28" s="2"/>
      <c r="R28" s="19"/>
      <c r="S28" s="2"/>
      <c r="T28" s="2">
        <f>-5002.08</f>
        <v>-5002.08</v>
      </c>
      <c r="U28" s="2"/>
      <c r="V28" s="19"/>
      <c r="W28" s="2"/>
      <c r="X28" s="2">
        <f t="shared" si="2"/>
        <v>-9630.07</v>
      </c>
      <c r="Y28" s="2"/>
      <c r="Z28" s="19">
        <f t="shared" si="3"/>
        <v>1.9252131113456801</v>
      </c>
    </row>
    <row r="29" spans="1:26" s="24" customFormat="1" hidden="1" outlineLevel="1" x14ac:dyDescent="0.25">
      <c r="A29" s="44"/>
      <c r="B29" s="11" t="str">
        <f>CONCATENATE("          ", "4282", " - ", "SALES RETURN TAXABLE-COMPUTER")</f>
        <v xml:space="preserve">          4282 - SALES RETURN TAXABLE-COMPUTER</v>
      </c>
      <c r="C29" s="11"/>
      <c r="D29" s="2">
        <f>-15761.01</f>
        <v>-15761.01</v>
      </c>
      <c r="E29" s="2"/>
      <c r="F29" s="19"/>
      <c r="G29" s="2"/>
      <c r="H29" s="2">
        <f>-10339.73</f>
        <v>-10339.73</v>
      </c>
      <c r="I29" s="2"/>
      <c r="J29" s="19"/>
      <c r="K29" s="2"/>
      <c r="L29" s="2">
        <f t="shared" si="0"/>
        <v>-5421.2800000000007</v>
      </c>
      <c r="M29" s="2"/>
      <c r="N29" s="19">
        <f t="shared" si="1"/>
        <v>0.52431543183429363</v>
      </c>
      <c r="O29" s="11"/>
      <c r="P29" s="2">
        <f>-84084.01</f>
        <v>-84084.01</v>
      </c>
      <c r="Q29" s="2"/>
      <c r="R29" s="19"/>
      <c r="S29" s="2"/>
      <c r="T29" s="2">
        <f>-180477.59</f>
        <v>-180477.59</v>
      </c>
      <c r="U29" s="2"/>
      <c r="V29" s="19"/>
      <c r="W29" s="2"/>
      <c r="X29" s="2">
        <f t="shared" si="2"/>
        <v>96393.58</v>
      </c>
      <c r="Y29" s="2"/>
      <c r="Z29" s="19">
        <f t="shared" si="3"/>
        <v>-0.53410276588910566</v>
      </c>
    </row>
    <row r="30" spans="1:26" s="24" customFormat="1" hidden="1" outlineLevel="1" x14ac:dyDescent="0.25">
      <c r="A30" s="44"/>
      <c r="B30" s="11" t="str">
        <f>CONCATENATE("          ", "4283", " - ", "SALES RETURN TAXABLE-COMPUTER")</f>
        <v xml:space="preserve">          4283 - SALES RETURN TAXABLE-COMPUTER</v>
      </c>
      <c r="C30" s="11"/>
      <c r="D30" s="2">
        <f>-678.96</f>
        <v>-678.96</v>
      </c>
      <c r="E30" s="2"/>
      <c r="F30" s="19"/>
      <c r="G30" s="2"/>
      <c r="H30" s="2">
        <f>-423.91</f>
        <v>-423.91</v>
      </c>
      <c r="I30" s="2"/>
      <c r="J30" s="19"/>
      <c r="K30" s="2"/>
      <c r="L30" s="2">
        <f t="shared" si="0"/>
        <v>-255.05</v>
      </c>
      <c r="M30" s="2"/>
      <c r="N30" s="19">
        <f t="shared" si="1"/>
        <v>0.60166072987190677</v>
      </c>
      <c r="O30" s="11"/>
      <c r="P30" s="2">
        <f>-3311.27</f>
        <v>-3311.27</v>
      </c>
      <c r="Q30" s="2"/>
      <c r="R30" s="19"/>
      <c r="S30" s="2"/>
      <c r="T30" s="2">
        <f>-2956.24</f>
        <v>-2956.24</v>
      </c>
      <c r="U30" s="2"/>
      <c r="V30" s="19"/>
      <c r="W30" s="2"/>
      <c r="X30" s="2">
        <f t="shared" si="2"/>
        <v>-355.0300000000002</v>
      </c>
      <c r="Y30" s="2"/>
      <c r="Z30" s="19">
        <f t="shared" si="3"/>
        <v>0.12009512082916145</v>
      </c>
    </row>
    <row r="31" spans="1:26" s="24" customFormat="1" hidden="1" outlineLevel="1" x14ac:dyDescent="0.25">
      <c r="A31" s="44"/>
      <c r="B31" s="11" t="str">
        <f>CONCATENATE("          ", "4284", " - ", "SALES RETURN TAXABLE-SOFTWARE")</f>
        <v xml:space="preserve">          4284 - SALES RETURN TAXABLE-SOFTWARE</v>
      </c>
      <c r="C31" s="11"/>
      <c r="D31" s="2">
        <f>0</f>
        <v>0</v>
      </c>
      <c r="E31" s="2"/>
      <c r="F31" s="19"/>
      <c r="G31" s="2"/>
      <c r="H31" s="2">
        <f t="shared" ref="H31:H32" si="6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-129</f>
        <v>-129</v>
      </c>
      <c r="U31" s="2"/>
      <c r="V31" s="19"/>
      <c r="W31" s="2"/>
      <c r="X31" s="2">
        <f t="shared" si="2"/>
        <v>129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"4285", " - ", "SALES RETURN TAXABLE-SOFTWARE")</f>
        <v xml:space="preserve">          4285 - SALES RETURN TAXABLE-SOFTWARE</v>
      </c>
      <c r="C32" s="11"/>
      <c r="D32" s="2">
        <f>-139</f>
        <v>-139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-139</v>
      </c>
      <c r="M32" s="2"/>
      <c r="N32" s="19">
        <f t="shared" si="1"/>
        <v>0</v>
      </c>
      <c r="O32" s="11"/>
      <c r="P32" s="2">
        <f>-691.98</f>
        <v>-691.98</v>
      </c>
      <c r="Q32" s="2"/>
      <c r="R32" s="19"/>
      <c r="S32" s="2"/>
      <c r="T32" s="2">
        <f>-655.98</f>
        <v>-655.98</v>
      </c>
      <c r="U32" s="2"/>
      <c r="V32" s="19"/>
      <c r="W32" s="2"/>
      <c r="X32" s="2">
        <f t="shared" si="2"/>
        <v>-36</v>
      </c>
      <c r="Y32" s="2"/>
      <c r="Z32" s="19">
        <f t="shared" si="3"/>
        <v>5.4879721942742155E-2</v>
      </c>
    </row>
    <row r="33" spans="1:26" s="24" customFormat="1" hidden="1" outlineLevel="1" x14ac:dyDescent="0.25">
      <c r="A33" s="44"/>
      <c r="B33" s="11" t="str">
        <f>CONCATENATE("          ", "4286", " - ", "SALES RETURN TAXABLE-COMPUTER")</f>
        <v xml:space="preserve">          4286 - SALES RETURN TAXABLE-COMPUTER</v>
      </c>
      <c r="C33" s="11"/>
      <c r="D33" s="2">
        <f>-9.99</f>
        <v>-9.99</v>
      </c>
      <c r="E33" s="2"/>
      <c r="F33" s="19"/>
      <c r="G33" s="2"/>
      <c r="H33" s="2">
        <f>-340.39</f>
        <v>-340.39</v>
      </c>
      <c r="I33" s="2"/>
      <c r="J33" s="19"/>
      <c r="K33" s="2"/>
      <c r="L33" s="2">
        <f t="shared" si="0"/>
        <v>330.4</v>
      </c>
      <c r="M33" s="2"/>
      <c r="N33" s="19">
        <f t="shared" si="1"/>
        <v>-0.97065131173066188</v>
      </c>
      <c r="O33" s="11"/>
      <c r="P33" s="2">
        <f>-581.35</f>
        <v>-581.35</v>
      </c>
      <c r="Q33" s="2"/>
      <c r="R33" s="19"/>
      <c r="S33" s="2"/>
      <c r="T33" s="2">
        <f>-2791.99</f>
        <v>-2791.99</v>
      </c>
      <c r="U33" s="2"/>
      <c r="V33" s="19"/>
      <c r="W33" s="2"/>
      <c r="X33" s="2">
        <f t="shared" si="2"/>
        <v>2210.64</v>
      </c>
      <c r="Y33" s="2"/>
      <c r="Z33" s="19">
        <f t="shared" si="3"/>
        <v>-0.79177934018388318</v>
      </c>
    </row>
    <row r="34" spans="1:26" s="24" customFormat="1" hidden="1" outlineLevel="1" x14ac:dyDescent="0.25">
      <c r="A34" s="44"/>
      <c r="B34" s="11" t="str">
        <f>CONCATENATE("          ", "4288", " - ", "TAXABLE SALES RETURN-MUSIC")</f>
        <v xml:space="preserve">          4288 - TAXABLE SALES RETURN-MUSIC</v>
      </c>
      <c r="C34" s="11"/>
      <c r="D34" s="2">
        <f t="shared" ref="D34:D37" si="7">0</f>
        <v>0</v>
      </c>
      <c r="E34" s="2"/>
      <c r="F34" s="19"/>
      <c r="G34" s="2"/>
      <c r="H34" s="2">
        <f t="shared" ref="H34:H37" si="8"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0</f>
        <v>0</v>
      </c>
      <c r="Q34" s="2"/>
      <c r="R34" s="19"/>
      <c r="S34" s="2"/>
      <c r="T34" s="2">
        <f>-3.99</f>
        <v>-3.99</v>
      </c>
      <c r="U34" s="2"/>
      <c r="V34" s="19"/>
      <c r="W34" s="2"/>
      <c r="X34" s="2">
        <f t="shared" si="2"/>
        <v>3.99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"4381", " - ", "SALES RETURN NON TAXABLE-ELECT")</f>
        <v xml:space="preserve">          4381 - SALES RETURN NON TAXABLE-ELECT</v>
      </c>
      <c r="C35" s="11"/>
      <c r="D35" s="2">
        <f t="shared" si="7"/>
        <v>0</v>
      </c>
      <c r="E35" s="2"/>
      <c r="F35" s="19"/>
      <c r="G35" s="2"/>
      <c r="H35" s="2">
        <f t="shared" si="8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-5624.15</f>
        <v>-5624.15</v>
      </c>
      <c r="Q35" s="2"/>
      <c r="R35" s="19"/>
      <c r="S35" s="2"/>
      <c r="T35" s="2">
        <f>-1279.84</f>
        <v>-1279.8399999999999</v>
      </c>
      <c r="U35" s="2"/>
      <c r="V35" s="19"/>
      <c r="W35" s="2"/>
      <c r="X35" s="2">
        <f t="shared" si="2"/>
        <v>-4344.3099999999995</v>
      </c>
      <c r="Y35" s="2"/>
      <c r="Z35" s="19">
        <f t="shared" si="3"/>
        <v>3.3944164895611948</v>
      </c>
    </row>
    <row r="36" spans="1:26" s="24" customFormat="1" hidden="1" outlineLevel="1" x14ac:dyDescent="0.25">
      <c r="A36" s="44"/>
      <c r="B36" s="11" t="str">
        <f>CONCATENATE("          ", "4383", " - ", "SALES RETURN NON TAXABLE-COMPU")</f>
        <v xml:space="preserve">          4383 - SALES RETURN NON TAXABLE-COMPU</v>
      </c>
      <c r="C36" s="11"/>
      <c r="D36" s="2">
        <f t="shared" si="7"/>
        <v>0</v>
      </c>
      <c r="E36" s="2"/>
      <c r="F36" s="19"/>
      <c r="G36" s="2"/>
      <c r="H36" s="2">
        <f t="shared" si="8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 t="shared" ref="P36:P37" si="9">0</f>
        <v>0</v>
      </c>
      <c r="Q36" s="2"/>
      <c r="R36" s="19"/>
      <c r="S36" s="2"/>
      <c r="T36" s="2">
        <f>-49.98</f>
        <v>-49.98</v>
      </c>
      <c r="U36" s="2"/>
      <c r="V36" s="19"/>
      <c r="W36" s="2"/>
      <c r="X36" s="2">
        <f t="shared" si="2"/>
        <v>49.98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"4386", " - ", "SALES RETURN NON TAXABLE-COMPU")</f>
        <v xml:space="preserve">          4386 - SALES RETURN NON TAXABLE-COMPU</v>
      </c>
      <c r="C37" s="11"/>
      <c r="D37" s="2">
        <f t="shared" si="7"/>
        <v>0</v>
      </c>
      <c r="E37" s="2"/>
      <c r="F37" s="19"/>
      <c r="G37" s="2"/>
      <c r="H37" s="2">
        <f t="shared" si="8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 t="shared" si="9"/>
        <v>0</v>
      </c>
      <c r="Q37" s="2"/>
      <c r="R37" s="19"/>
      <c r="S37" s="2"/>
      <c r="T37" s="2">
        <f>-54.97</f>
        <v>-54.97</v>
      </c>
      <c r="U37" s="2"/>
      <c r="V37" s="19"/>
      <c r="W37" s="2"/>
      <c r="X37" s="2">
        <f t="shared" si="2"/>
        <v>54.97</v>
      </c>
      <c r="Y37" s="2"/>
      <c r="Z37" s="19">
        <f t="shared" si="3"/>
        <v>-1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collapsed="1" x14ac:dyDescent="0.25">
      <c r="A39" s="10"/>
      <c r="B39" s="29" t="s">
        <v>8</v>
      </c>
      <c r="C39" s="10"/>
      <c r="D39" s="4">
        <f>SUM(OSRRefD16x_0)</f>
        <v>60363.839999999997</v>
      </c>
      <c r="E39" s="4"/>
      <c r="F39" s="12">
        <f t="shared" ref="F39:F52" si="10">IF(D$12=0,0,D39/D$12)</f>
        <v>1.0097433364273851</v>
      </c>
      <c r="G39" s="4"/>
      <c r="H39" s="4">
        <f>SUM(OSRRefH16x_0)</f>
        <v>136420.06</v>
      </c>
      <c r="I39" s="4"/>
      <c r="J39" s="12">
        <f t="shared" ref="J39:J52" si="11">IF(H$12=0,0,H39/H$12)</f>
        <v>0.85007340151905253</v>
      </c>
      <c r="K39" s="4"/>
      <c r="L39" s="4">
        <f t="shared" ref="L39:L52" si="12">+D39-H39</f>
        <v>-76056.22</v>
      </c>
      <c r="M39" s="4"/>
      <c r="N39" s="12">
        <f t="shared" ref="N39:N52" si="13">IF(H39=0,0,L39/H39)</f>
        <v>-0.55751492852297535</v>
      </c>
      <c r="O39" s="10"/>
      <c r="P39" s="4">
        <f>SUM(OSRRefP16x_0)</f>
        <v>1141638.8400000001</v>
      </c>
      <c r="Q39" s="4"/>
      <c r="R39" s="12">
        <f t="shared" ref="R39:R52" si="14">IF(P$12=0,0,P39/P$12)</f>
        <v>0.95462502850356812</v>
      </c>
      <c r="S39" s="4"/>
      <c r="T39" s="4">
        <f>SUM(OSRRefT16x_0)</f>
        <v>1336501.0599999998</v>
      </c>
      <c r="U39" s="4"/>
      <c r="V39" s="12">
        <f t="shared" ref="V39:V52" si="15">IF(T$12=0,0,T39/T$12)</f>
        <v>0.89166343254069103</v>
      </c>
      <c r="W39" s="4"/>
      <c r="X39" s="4">
        <f t="shared" ref="X39:X52" si="16">+P39-T39</f>
        <v>-194862.21999999974</v>
      </c>
      <c r="Y39" s="4"/>
      <c r="Z39" s="12">
        <f t="shared" ref="Z39:Z52" si="17">IF(T39=0,0,X39/T39)</f>
        <v>-0.14580027343936394</v>
      </c>
    </row>
    <row r="40" spans="1:26" s="24" customFormat="1" hidden="1" outlineLevel="1" x14ac:dyDescent="0.25">
      <c r="A40" s="44"/>
      <c r="B40" s="11" t="str">
        <f>CONCATENATE("          ", "5081", " - ", "PURCHASES @ COST-ELECTRONICS")</f>
        <v xml:space="preserve">          5081 - PURCHASES @ COST-ELECTRONICS</v>
      </c>
      <c r="C40" s="11"/>
      <c r="D40" s="2">
        <v>2367.86</v>
      </c>
      <c r="E40" s="2"/>
      <c r="F40" s="19">
        <f t="shared" si="10"/>
        <v>3.9608660691449527E-2</v>
      </c>
      <c r="G40" s="2"/>
      <c r="H40" s="2">
        <v>16634.11</v>
      </c>
      <c r="I40" s="2"/>
      <c r="J40" s="19">
        <f t="shared" si="11"/>
        <v>0.10365201766471946</v>
      </c>
      <c r="K40" s="2"/>
      <c r="L40" s="2">
        <f t="shared" si="12"/>
        <v>-14266.25</v>
      </c>
      <c r="M40" s="2"/>
      <c r="N40" s="19">
        <f t="shared" si="13"/>
        <v>-0.85765033416275349</v>
      </c>
      <c r="O40" s="11"/>
      <c r="P40" s="2">
        <v>24315.070000000003</v>
      </c>
      <c r="Q40" s="2"/>
      <c r="R40" s="19">
        <f t="shared" si="14"/>
        <v>2.0331976785071763E-2</v>
      </c>
      <c r="S40" s="2"/>
      <c r="T40" s="2">
        <v>184807.73</v>
      </c>
      <c r="U40" s="2"/>
      <c r="V40" s="19">
        <f t="shared" si="15"/>
        <v>0.12329679326393746</v>
      </c>
      <c r="W40" s="2"/>
      <c r="X40" s="2">
        <f t="shared" si="16"/>
        <v>-160492.66</v>
      </c>
      <c r="Y40" s="2"/>
      <c r="Z40" s="19">
        <f t="shared" si="17"/>
        <v>-0.8684304493107512</v>
      </c>
    </row>
    <row r="41" spans="1:26" s="24" customFormat="1" hidden="1" outlineLevel="1" x14ac:dyDescent="0.25">
      <c r="A41" s="44"/>
      <c r="B41" s="11" t="str">
        <f>CONCATENATE("          ", "5082", " - ", "PURCHASES @ COST-COMPUTER HARD")</f>
        <v xml:space="preserve">          5082 - PURCHASES @ COST-COMPUTER HARD</v>
      </c>
      <c r="C41" s="11"/>
      <c r="D41" s="2">
        <v>71242.03</v>
      </c>
      <c r="E41" s="2"/>
      <c r="F41" s="19">
        <f t="shared" si="10"/>
        <v>1.1917095576765804</v>
      </c>
      <c r="G41" s="2"/>
      <c r="H41" s="2">
        <v>62712.56</v>
      </c>
      <c r="I41" s="2"/>
      <c r="J41" s="19">
        <f t="shared" si="11"/>
        <v>0.39078035295665225</v>
      </c>
      <c r="K41" s="2"/>
      <c r="L41" s="2">
        <f t="shared" si="12"/>
        <v>8529.4700000000012</v>
      </c>
      <c r="M41" s="2"/>
      <c r="N41" s="19">
        <f t="shared" si="13"/>
        <v>0.13600895897089835</v>
      </c>
      <c r="O41" s="11"/>
      <c r="P41" s="2">
        <v>960020.1100000001</v>
      </c>
      <c r="Q41" s="2"/>
      <c r="R41" s="19">
        <f t="shared" si="14"/>
        <v>0.80275757337823983</v>
      </c>
      <c r="S41" s="2"/>
      <c r="T41" s="2">
        <v>958350.26</v>
      </c>
      <c r="U41" s="2"/>
      <c r="V41" s="19">
        <f t="shared" si="15"/>
        <v>0.63937538695843898</v>
      </c>
      <c r="W41" s="2"/>
      <c r="X41" s="2">
        <f t="shared" si="16"/>
        <v>1669.8500000000931</v>
      </c>
      <c r="Y41" s="2"/>
      <c r="Z41" s="19">
        <f t="shared" si="17"/>
        <v>1.7424213982058013E-3</v>
      </c>
    </row>
    <row r="42" spans="1:26" s="24" customFormat="1" hidden="1" outlineLevel="1" x14ac:dyDescent="0.25">
      <c r="A42" s="44"/>
      <c r="B42" s="11" t="str">
        <f>CONCATENATE("          ", "5083", " - ", "PURCHASES @ COST-COMPUTER EQUI")</f>
        <v xml:space="preserve">          5083 - PURCHASES @ COST-COMPUTER EQUI</v>
      </c>
      <c r="C42" s="11"/>
      <c r="D42" s="2">
        <v>2620.17</v>
      </c>
      <c r="E42" s="2"/>
      <c r="F42" s="19">
        <f t="shared" si="10"/>
        <v>4.3829206322973192E-2</v>
      </c>
      <c r="G42" s="2"/>
      <c r="H42" s="2">
        <v>7127.48</v>
      </c>
      <c r="I42" s="2"/>
      <c r="J42" s="19">
        <f t="shared" si="11"/>
        <v>4.4413418142896406E-2</v>
      </c>
      <c r="K42" s="2"/>
      <c r="L42" s="2">
        <f t="shared" si="12"/>
        <v>-4507.3099999999995</v>
      </c>
      <c r="M42" s="2"/>
      <c r="N42" s="19">
        <f t="shared" si="13"/>
        <v>-0.63238479799311953</v>
      </c>
      <c r="O42" s="11"/>
      <c r="P42" s="2">
        <v>75893.119999999995</v>
      </c>
      <c r="Q42" s="2"/>
      <c r="R42" s="19">
        <f t="shared" si="14"/>
        <v>6.3460938174830062E-2</v>
      </c>
      <c r="S42" s="2"/>
      <c r="T42" s="2">
        <v>48936.17</v>
      </c>
      <c r="U42" s="2"/>
      <c r="V42" s="19">
        <f t="shared" si="15"/>
        <v>3.2648379132295485E-2</v>
      </c>
      <c r="W42" s="2"/>
      <c r="X42" s="2">
        <f t="shared" si="16"/>
        <v>26956.949999999997</v>
      </c>
      <c r="Y42" s="2"/>
      <c r="Z42" s="19">
        <f t="shared" si="17"/>
        <v>0.55085941543851913</v>
      </c>
    </row>
    <row r="43" spans="1:26" s="24" customFormat="1" hidden="1" outlineLevel="1" x14ac:dyDescent="0.25">
      <c r="A43" s="44"/>
      <c r="B43" s="11" t="str">
        <f>CONCATENATE("          ", "5084", " - ", "PURCHASES @ COST-SOFTWARE LICE")</f>
        <v xml:space="preserve">          5084 - PURCHASES @ COST-SOFTWARE LICE</v>
      </c>
      <c r="C43" s="11"/>
      <c r="D43" s="2"/>
      <c r="E43" s="2"/>
      <c r="F43" s="19">
        <f t="shared" si="10"/>
        <v>0</v>
      </c>
      <c r="G43" s="2"/>
      <c r="H43" s="2"/>
      <c r="I43" s="2"/>
      <c r="J43" s="19">
        <f t="shared" si="11"/>
        <v>0</v>
      </c>
      <c r="K43" s="2"/>
      <c r="L43" s="2">
        <f t="shared" si="12"/>
        <v>0</v>
      </c>
      <c r="M43" s="2"/>
      <c r="N43" s="19">
        <f t="shared" si="13"/>
        <v>0</v>
      </c>
      <c r="O43" s="11"/>
      <c r="P43" s="2"/>
      <c r="Q43" s="2"/>
      <c r="R43" s="19">
        <f t="shared" si="14"/>
        <v>0</v>
      </c>
      <c r="S43" s="2"/>
      <c r="T43" s="2">
        <v>2728</v>
      </c>
      <c r="U43" s="2"/>
      <c r="V43" s="19">
        <f t="shared" si="15"/>
        <v>1.8200193900115617E-3</v>
      </c>
      <c r="W43" s="2"/>
      <c r="X43" s="2">
        <f t="shared" si="16"/>
        <v>-2728</v>
      </c>
      <c r="Y43" s="2"/>
      <c r="Z43" s="19">
        <f t="shared" si="17"/>
        <v>-1</v>
      </c>
    </row>
    <row r="44" spans="1:26" s="24" customFormat="1" hidden="1" outlineLevel="1" x14ac:dyDescent="0.25">
      <c r="A44" s="44"/>
      <c r="B44" s="11" t="str">
        <f>CONCATENATE("          ", "5085", " - ", "PURCHASES @ COST-SOFTWARE")</f>
        <v xml:space="preserve">          5085 - PURCHASES @ COST-SOFTWARE</v>
      </c>
      <c r="C44" s="11"/>
      <c r="D44" s="2">
        <v>3394.72</v>
      </c>
      <c r="E44" s="2"/>
      <c r="F44" s="19">
        <f t="shared" si="10"/>
        <v>5.6785583870025053E-2</v>
      </c>
      <c r="G44" s="2"/>
      <c r="H44" s="2">
        <v>148.36000000000001</v>
      </c>
      <c r="I44" s="2"/>
      <c r="J44" s="19">
        <f t="shared" si="11"/>
        <v>9.2447466926320551E-4</v>
      </c>
      <c r="K44" s="2"/>
      <c r="L44" s="2">
        <f t="shared" si="12"/>
        <v>3246.3599999999997</v>
      </c>
      <c r="M44" s="2"/>
      <c r="N44" s="19">
        <f t="shared" si="13"/>
        <v>21.881639255864108</v>
      </c>
      <c r="O44" s="11"/>
      <c r="P44" s="2">
        <v>24075.919999999998</v>
      </c>
      <c r="Q44" s="2"/>
      <c r="R44" s="19">
        <f t="shared" si="14"/>
        <v>2.0132002355709642E-2</v>
      </c>
      <c r="S44" s="2"/>
      <c r="T44" s="2">
        <v>7080.4</v>
      </c>
      <c r="U44" s="2"/>
      <c r="V44" s="19">
        <f t="shared" si="15"/>
        <v>4.723777598620916E-3</v>
      </c>
      <c r="W44" s="2"/>
      <c r="X44" s="2">
        <f t="shared" si="16"/>
        <v>16995.519999999997</v>
      </c>
      <c r="Y44" s="2"/>
      <c r="Z44" s="19">
        <f t="shared" si="17"/>
        <v>2.4003615614937006</v>
      </c>
    </row>
    <row r="45" spans="1:26" s="24" customFormat="1" hidden="1" outlineLevel="1" x14ac:dyDescent="0.25">
      <c r="A45" s="44"/>
      <c r="B45" s="11" t="str">
        <f>CONCATENATE("          ", "5086", " - ", "PURCHASES @ COST-COMPUTER SUPP")</f>
        <v xml:space="preserve">          5086 - PURCHASES @ COST-COMPUTER SUPP</v>
      </c>
      <c r="C45" s="11"/>
      <c r="D45" s="2">
        <v>189.17</v>
      </c>
      <c r="E45" s="2"/>
      <c r="F45" s="19">
        <f t="shared" si="10"/>
        <v>3.1643637474350283E-3</v>
      </c>
      <c r="G45" s="2"/>
      <c r="H45" s="2">
        <v>826.55</v>
      </c>
      <c r="I45" s="2"/>
      <c r="J45" s="19">
        <f t="shared" si="11"/>
        <v>5.1504754507920086E-3</v>
      </c>
      <c r="K45" s="2"/>
      <c r="L45" s="2">
        <f t="shared" si="12"/>
        <v>-637.38</v>
      </c>
      <c r="M45" s="2"/>
      <c r="N45" s="19">
        <f t="shared" si="13"/>
        <v>-0.77113302280563789</v>
      </c>
      <c r="O45" s="11"/>
      <c r="P45" s="2">
        <v>22718.609999999997</v>
      </c>
      <c r="Q45" s="2"/>
      <c r="R45" s="19">
        <f t="shared" si="14"/>
        <v>1.8997035628895948E-2</v>
      </c>
      <c r="S45" s="2"/>
      <c r="T45" s="2">
        <v>19194.649999999998</v>
      </c>
      <c r="U45" s="2"/>
      <c r="V45" s="19">
        <f t="shared" si="15"/>
        <v>1.280595131396093E-2</v>
      </c>
      <c r="W45" s="2"/>
      <c r="X45" s="2">
        <f t="shared" si="16"/>
        <v>3523.9599999999991</v>
      </c>
      <c r="Y45" s="2"/>
      <c r="Z45" s="19">
        <f t="shared" si="17"/>
        <v>0.18359074012810858</v>
      </c>
    </row>
    <row r="46" spans="1:26" s="24" customFormat="1" hidden="1" outlineLevel="1" x14ac:dyDescent="0.25">
      <c r="A46" s="44"/>
      <c r="B46" s="11" t="str">
        <f>CONCATENATE("          ", "5088", " - ", "PURCHASES @ COST-MUSIC")</f>
        <v xml:space="preserve">          5088 - PURCHASES @ COST-MUSIC</v>
      </c>
      <c r="C46" s="11"/>
      <c r="D46" s="2"/>
      <c r="E46" s="2"/>
      <c r="F46" s="19">
        <f t="shared" si="10"/>
        <v>0</v>
      </c>
      <c r="G46" s="2"/>
      <c r="H46" s="2"/>
      <c r="I46" s="2"/>
      <c r="J46" s="19">
        <f t="shared" si="11"/>
        <v>0</v>
      </c>
      <c r="K46" s="2"/>
      <c r="L46" s="2">
        <f t="shared" si="12"/>
        <v>0</v>
      </c>
      <c r="M46" s="2"/>
      <c r="N46" s="19">
        <f t="shared" si="13"/>
        <v>0</v>
      </c>
      <c r="O46" s="11"/>
      <c r="P46" s="2"/>
      <c r="Q46" s="2"/>
      <c r="R46" s="19">
        <f t="shared" si="14"/>
        <v>0</v>
      </c>
      <c r="S46" s="2"/>
      <c r="T46" s="2">
        <v>88.75</v>
      </c>
      <c r="U46" s="2"/>
      <c r="V46" s="19">
        <f t="shared" si="15"/>
        <v>5.921067480334534E-5</v>
      </c>
      <c r="W46" s="2"/>
      <c r="X46" s="2">
        <f t="shared" si="16"/>
        <v>-88.75</v>
      </c>
      <c r="Y46" s="2"/>
      <c r="Z46" s="19">
        <f t="shared" si="17"/>
        <v>-1</v>
      </c>
    </row>
    <row r="47" spans="1:26" s="24" customFormat="1" hidden="1" outlineLevel="1" x14ac:dyDescent="0.25">
      <c r="A47" s="44"/>
      <c r="B47" s="11" t="str">
        <f>CONCATENATE("          ", "5200", " - ", "PURCHASES OFFSET")</f>
        <v xml:space="preserve">          5200 - PURCHASES OFFSET</v>
      </c>
      <c r="C47" s="11"/>
      <c r="D47" s="2">
        <v>-75868.11</v>
      </c>
      <c r="E47" s="2"/>
      <c r="F47" s="19">
        <f t="shared" si="10"/>
        <v>-1.2690928628768461</v>
      </c>
      <c r="G47" s="2"/>
      <c r="H47" s="2">
        <v>-87449</v>
      </c>
      <c r="I47" s="2"/>
      <c r="J47" s="19">
        <f t="shared" si="11"/>
        <v>-0.54492036500672725</v>
      </c>
      <c r="K47" s="2"/>
      <c r="L47" s="2">
        <f t="shared" si="12"/>
        <v>11580.89</v>
      </c>
      <c r="M47" s="2"/>
      <c r="N47" s="19">
        <f t="shared" si="13"/>
        <v>-0.13243021646902767</v>
      </c>
      <c r="O47" s="11"/>
      <c r="P47" s="2">
        <v>-1103420.28</v>
      </c>
      <c r="Q47" s="2"/>
      <c r="R47" s="19">
        <f t="shared" si="14"/>
        <v>-0.92266711620149067</v>
      </c>
      <c r="S47" s="2"/>
      <c r="T47" s="2">
        <v>-1221498</v>
      </c>
      <c r="U47" s="2"/>
      <c r="V47" s="19">
        <f t="shared" si="15"/>
        <v>-0.81493769972886454</v>
      </c>
      <c r="W47" s="2"/>
      <c r="X47" s="2">
        <f t="shared" si="16"/>
        <v>118077.71999999997</v>
      </c>
      <c r="Y47" s="2"/>
      <c r="Z47" s="19">
        <f t="shared" si="17"/>
        <v>-9.6666322826562123E-2</v>
      </c>
    </row>
    <row r="48" spans="1:26" s="24" customFormat="1" hidden="1" outlineLevel="1" x14ac:dyDescent="0.25">
      <c r="A48" s="44"/>
      <c r="B48" s="11" t="str">
        <f>CONCATENATE("          ", "5300", " - ", "COG$ OFFSET")</f>
        <v xml:space="preserve">          5300 - COG$ OFFSET</v>
      </c>
      <c r="C48" s="11"/>
      <c r="D48" s="2">
        <v>56418</v>
      </c>
      <c r="E48" s="2"/>
      <c r="F48" s="19">
        <f t="shared" si="10"/>
        <v>0.94373882699576805</v>
      </c>
      <c r="G48" s="2"/>
      <c r="H48" s="2">
        <v>136420</v>
      </c>
      <c r="I48" s="2"/>
      <c r="J48" s="19">
        <f t="shared" si="11"/>
        <v>0.85007302764145654</v>
      </c>
      <c r="K48" s="2"/>
      <c r="L48" s="2">
        <f t="shared" si="12"/>
        <v>-80002</v>
      </c>
      <c r="M48" s="2"/>
      <c r="N48" s="19">
        <f t="shared" si="13"/>
        <v>-0.58643893857205687</v>
      </c>
      <c r="O48" s="11"/>
      <c r="P48" s="2">
        <v>1137693</v>
      </c>
      <c r="Q48" s="2"/>
      <c r="R48" s="19">
        <f t="shared" si="14"/>
        <v>0.95132556330451212</v>
      </c>
      <c r="S48" s="2"/>
      <c r="T48" s="2">
        <v>1336499</v>
      </c>
      <c r="U48" s="2"/>
      <c r="V48" s="19">
        <f t="shared" si="15"/>
        <v>0.89166205818587319</v>
      </c>
      <c r="W48" s="2"/>
      <c r="X48" s="2">
        <f t="shared" si="16"/>
        <v>-198806</v>
      </c>
      <c r="Y48" s="2"/>
      <c r="Z48" s="19">
        <f t="shared" si="17"/>
        <v>-0.14875132716148684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/>
      <c r="E49" s="2"/>
      <c r="F49" s="19">
        <f t="shared" si="10"/>
        <v>0</v>
      </c>
      <c r="G49" s="2"/>
      <c r="H49" s="2"/>
      <c r="I49" s="2"/>
      <c r="J49" s="19">
        <f t="shared" si="11"/>
        <v>0</v>
      </c>
      <c r="K49" s="2"/>
      <c r="L49" s="2">
        <f t="shared" si="12"/>
        <v>0</v>
      </c>
      <c r="M49" s="2"/>
      <c r="N49" s="19">
        <f t="shared" si="13"/>
        <v>0</v>
      </c>
      <c r="O49" s="11"/>
      <c r="P49" s="2"/>
      <c r="Q49" s="2"/>
      <c r="R49" s="19">
        <f t="shared" si="14"/>
        <v>0</v>
      </c>
      <c r="S49" s="2"/>
      <c r="T49" s="2">
        <v>105.75</v>
      </c>
      <c r="U49" s="2"/>
      <c r="V49" s="19">
        <f t="shared" si="15"/>
        <v>7.0552437864267832E-5</v>
      </c>
      <c r="W49" s="2"/>
      <c r="X49" s="2">
        <f t="shared" si="16"/>
        <v>-105.75</v>
      </c>
      <c r="Y49" s="2"/>
      <c r="Z49" s="19">
        <f t="shared" si="17"/>
        <v>-1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/>
      <c r="E50" s="2"/>
      <c r="F50" s="19">
        <f t="shared" si="10"/>
        <v>0</v>
      </c>
      <c r="G50" s="2"/>
      <c r="H50" s="2"/>
      <c r="I50" s="2"/>
      <c r="J50" s="19">
        <f t="shared" si="11"/>
        <v>0</v>
      </c>
      <c r="K50" s="2"/>
      <c r="L50" s="2">
        <f t="shared" si="12"/>
        <v>0</v>
      </c>
      <c r="M50" s="2"/>
      <c r="N50" s="19">
        <f t="shared" si="13"/>
        <v>0</v>
      </c>
      <c r="O50" s="11"/>
      <c r="P50" s="2">
        <v>94</v>
      </c>
      <c r="Q50" s="2"/>
      <c r="R50" s="19">
        <f t="shared" si="14"/>
        <v>7.8601699184774925E-5</v>
      </c>
      <c r="S50" s="2"/>
      <c r="T50" s="2">
        <v>4.84</v>
      </c>
      <c r="U50" s="2"/>
      <c r="V50" s="19">
        <f t="shared" si="15"/>
        <v>3.2290666596979319E-6</v>
      </c>
      <c r="W50" s="2"/>
      <c r="X50" s="2">
        <f t="shared" si="16"/>
        <v>89.16</v>
      </c>
      <c r="Y50" s="2"/>
      <c r="Z50" s="19">
        <f t="shared" si="17"/>
        <v>18.421487603305785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/>
      <c r="E51" s="2"/>
      <c r="F51" s="19">
        <f t="shared" si="10"/>
        <v>0</v>
      </c>
      <c r="G51" s="2"/>
      <c r="H51" s="2"/>
      <c r="I51" s="2"/>
      <c r="J51" s="19">
        <f t="shared" si="11"/>
        <v>0</v>
      </c>
      <c r="K51" s="2"/>
      <c r="L51" s="2">
        <f t="shared" si="12"/>
        <v>0</v>
      </c>
      <c r="M51" s="2"/>
      <c r="N51" s="19">
        <f t="shared" si="13"/>
        <v>0</v>
      </c>
      <c r="O51" s="11"/>
      <c r="P51" s="2">
        <v>225.17</v>
      </c>
      <c r="Q51" s="2"/>
      <c r="R51" s="19">
        <f t="shared" si="14"/>
        <v>1.8828451707910392E-4</v>
      </c>
      <c r="S51" s="2"/>
      <c r="T51" s="2">
        <v>41</v>
      </c>
      <c r="U51" s="2"/>
      <c r="V51" s="19">
        <f t="shared" si="15"/>
        <v>2.735366385281306E-5</v>
      </c>
      <c r="W51" s="2"/>
      <c r="X51" s="2">
        <f t="shared" si="16"/>
        <v>184.17</v>
      </c>
      <c r="Y51" s="2"/>
      <c r="Z51" s="19">
        <f t="shared" si="17"/>
        <v>4.4919512195121944</v>
      </c>
    </row>
    <row r="52" spans="1:26" s="24" customFormat="1" hidden="1" outlineLevel="1" x14ac:dyDescent="0.25">
      <c r="A52" s="44"/>
      <c r="B52" s="11" t="str">
        <f>CONCATENATE("          ", "5586", " - ", "FREIGHT-IN-COMPUTER SUPPLIES")</f>
        <v xml:space="preserve">          5586 - FREIGHT-IN-COMPUTER SUPPLIES</v>
      </c>
      <c r="C52" s="11"/>
      <c r="D52" s="2"/>
      <c r="E52" s="2"/>
      <c r="F52" s="19">
        <f t="shared" si="10"/>
        <v>0</v>
      </c>
      <c r="G52" s="2"/>
      <c r="H52" s="2"/>
      <c r="I52" s="2"/>
      <c r="J52" s="19">
        <f t="shared" si="11"/>
        <v>0</v>
      </c>
      <c r="K52" s="2"/>
      <c r="L52" s="2">
        <f t="shared" si="12"/>
        <v>0</v>
      </c>
      <c r="M52" s="2"/>
      <c r="N52" s="19">
        <f t="shared" si="13"/>
        <v>0</v>
      </c>
      <c r="O52" s="11"/>
      <c r="P52" s="2">
        <v>24.12</v>
      </c>
      <c r="Q52" s="2"/>
      <c r="R52" s="19">
        <f t="shared" si="14"/>
        <v>2.0168861535497566E-5</v>
      </c>
      <c r="S52" s="2"/>
      <c r="T52" s="2">
        <v>162.51</v>
      </c>
      <c r="U52" s="2"/>
      <c r="V52" s="19">
        <f t="shared" si="15"/>
        <v>1.0842058323708902E-4</v>
      </c>
      <c r="W52" s="2"/>
      <c r="X52" s="2">
        <f t="shared" si="16"/>
        <v>-138.38999999999999</v>
      </c>
      <c r="Y52" s="2"/>
      <c r="Z52" s="19">
        <f t="shared" si="17"/>
        <v>-0.85157836440834411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6</v>
      </c>
      <c r="C54" s="28"/>
      <c r="D54" s="20">
        <f>D12-D39</f>
        <v>-582.46999999999389</v>
      </c>
      <c r="E54" s="14"/>
      <c r="F54" s="22">
        <f>IF(D$12=0,0,D54/D$12)</f>
        <v>-9.7433364273852175E-3</v>
      </c>
      <c r="G54" s="14"/>
      <c r="H54" s="20">
        <f>H12-H39</f>
        <v>24060.269999999931</v>
      </c>
      <c r="I54" s="14"/>
      <c r="J54" s="22">
        <f>IF(H$12=0,0,H54/H$12)</f>
        <v>0.14992659848094742</v>
      </c>
      <c r="K54" s="15"/>
      <c r="L54" s="20">
        <f>+D54-H54</f>
        <v>-24642.739999999925</v>
      </c>
      <c r="M54" s="15"/>
      <c r="N54" s="22">
        <f>IF(H54=0,0,L54/H54)</f>
        <v>-1.0242087890119269</v>
      </c>
      <c r="O54" s="29"/>
      <c r="P54" s="20">
        <f>P12-P39</f>
        <v>54264.060000000289</v>
      </c>
      <c r="Q54" s="14"/>
      <c r="R54" s="22">
        <f>IF(P$12=0,0,P54/P$12)</f>
        <v>4.5374971496431916E-2</v>
      </c>
      <c r="S54" s="14"/>
      <c r="T54" s="20">
        <f>T12-T39</f>
        <v>162384.07000000007</v>
      </c>
      <c r="U54" s="14"/>
      <c r="V54" s="22">
        <f>IF(T$12=0,0,T54/T$12)</f>
        <v>0.10833656745930896</v>
      </c>
      <c r="W54" s="15"/>
      <c r="X54" s="20">
        <f>+P54-T54</f>
        <v>-108120.00999999978</v>
      </c>
      <c r="Y54" s="15"/>
      <c r="Z54" s="22">
        <f>IF(T54=0,0,X54/T54)</f>
        <v>-0.66582892028756102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9</v>
      </c>
      <c r="C56" s="10"/>
      <c r="D56" s="21">
        <f>SUM(OSRRefD22x_0)</f>
        <v>12478.91</v>
      </c>
      <c r="E56" s="21"/>
      <c r="F56" s="35">
        <f t="shared" ref="F56:F66" si="18">IF(D$12=0,0,D56/D$12)</f>
        <v>0.2087424560527803</v>
      </c>
      <c r="G56" s="21"/>
      <c r="H56" s="21">
        <f>SUM(OSRRefH22x_0)</f>
        <v>-4593.2599999999984</v>
      </c>
      <c r="I56" s="21"/>
      <c r="J56" s="35">
        <f t="shared" ref="J56:J66" si="19">IF(H$12=0,0,H56/H$12)</f>
        <v>-2.8621950116877255E-2</v>
      </c>
      <c r="K56" s="4"/>
      <c r="L56" s="21">
        <f t="shared" ref="L56:L66" si="20">+D56-H56</f>
        <v>17072.169999999998</v>
      </c>
      <c r="M56" s="4"/>
      <c r="N56" s="35">
        <f t="shared" ref="N56:N66" si="21">IF(H56=0,0,L56/H56)</f>
        <v>-3.7167872056012516</v>
      </c>
      <c r="O56" s="10"/>
      <c r="P56" s="21">
        <f>SUM(OSRRefP22x_0)</f>
        <v>66383.699999999983</v>
      </c>
      <c r="Q56" s="21"/>
      <c r="R56" s="35">
        <f t="shared" ref="R56:R66" si="22">IF(P$12=0,0,P56/P$12)</f>
        <v>5.5509272533748322E-2</v>
      </c>
      <c r="S56" s="21"/>
      <c r="T56" s="21">
        <f>SUM(OSRRefT22x_0)</f>
        <v>115125.59</v>
      </c>
      <c r="U56" s="21"/>
      <c r="V56" s="35">
        <f t="shared" ref="V56:V66" si="23">IF(T$12=0,0,T56/T$12)</f>
        <v>7.6807480236994546E-2</v>
      </c>
      <c r="W56" s="4"/>
      <c r="X56" s="21">
        <f t="shared" ref="X56:X66" si="24">+P56-T56</f>
        <v>-48741.890000000014</v>
      </c>
      <c r="Y56" s="4"/>
      <c r="Z56" s="35">
        <f t="shared" ref="Z56:Z66" si="25">IF(T56=0,0,X56/T56)</f>
        <v>-0.4233801537955203</v>
      </c>
    </row>
    <row r="57" spans="1:26" s="26" customFormat="1" outlineLevel="1" collapsed="1" x14ac:dyDescent="0.25">
      <c r="A57" s="27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2874.4300000000003</v>
      </c>
      <c r="E57" s="1"/>
      <c r="F57" s="5">
        <f t="shared" si="18"/>
        <v>4.8082370812177776E-2</v>
      </c>
      <c r="G57" s="1"/>
      <c r="H57" s="1">
        <f>SUM(OSRRefH22_0x_0)</f>
        <v>2953.7200000000003</v>
      </c>
      <c r="I57" s="1"/>
      <c r="J57" s="5">
        <f t="shared" si="19"/>
        <v>1.8405495552009404E-2</v>
      </c>
      <c r="K57" s="1"/>
      <c r="L57" s="1">
        <f t="shared" si="20"/>
        <v>-79.289999999999964</v>
      </c>
      <c r="M57" s="1"/>
      <c r="N57" s="5">
        <f t="shared" si="21"/>
        <v>-2.6844115217420729E-2</v>
      </c>
      <c r="O57" s="13"/>
      <c r="P57" s="1">
        <f>SUM(OSRRefP22_0x_0)</f>
        <v>14834.34</v>
      </c>
      <c r="Q57" s="1"/>
      <c r="R57" s="5">
        <f t="shared" si="22"/>
        <v>1.2404301386007172E-2</v>
      </c>
      <c r="S57" s="1"/>
      <c r="T57" s="1">
        <f>SUM(OSRRefT22_0x_0)</f>
        <v>15230</v>
      </c>
      <c r="U57" s="1"/>
      <c r="V57" s="5">
        <f t="shared" si="23"/>
        <v>1.0160885377520558E-2</v>
      </c>
      <c r="W57" s="1"/>
      <c r="X57" s="1">
        <f t="shared" si="24"/>
        <v>-395.65999999999985</v>
      </c>
      <c r="Y57" s="1"/>
      <c r="Z57" s="5">
        <f t="shared" si="25"/>
        <v>-2.5978988837820082E-2</v>
      </c>
    </row>
    <row r="58" spans="1:26" s="24" customFormat="1" hidden="1" outlineLevel="2" x14ac:dyDescent="0.25">
      <c r="A58" s="25"/>
      <c r="B58" s="11" t="str">
        <f>CONCATENATE("          ", "6111", " - ", "F.I.C.A.")</f>
        <v xml:space="preserve">          6111 - F.I.C.A.</v>
      </c>
      <c r="C58" s="11"/>
      <c r="D58" s="6">
        <v>448.03</v>
      </c>
      <c r="E58" s="2"/>
      <c r="F58" s="7">
        <f t="shared" si="18"/>
        <v>7.4944752855279151E-3</v>
      </c>
      <c r="G58" s="2"/>
      <c r="H58" s="6">
        <v>566.58000000000004</v>
      </c>
      <c r="I58" s="2"/>
      <c r="J58" s="7">
        <f t="shared" si="19"/>
        <v>3.5305261398702278E-3</v>
      </c>
      <c r="K58" s="2"/>
      <c r="L58" s="6">
        <f t="shared" si="20"/>
        <v>-118.55000000000007</v>
      </c>
      <c r="M58" s="2"/>
      <c r="N58" s="7">
        <f t="shared" si="21"/>
        <v>-0.20923788344099697</v>
      </c>
      <c r="O58" s="11"/>
      <c r="P58" s="6">
        <v>2947.04</v>
      </c>
      <c r="Q58" s="2"/>
      <c r="R58" s="7">
        <f t="shared" si="22"/>
        <v>2.4642803358031818E-3</v>
      </c>
      <c r="S58" s="2"/>
      <c r="T58" s="6">
        <v>3701.74</v>
      </c>
      <c r="U58" s="2"/>
      <c r="V58" s="7">
        <f t="shared" si="23"/>
        <v>2.4696622348905416E-3</v>
      </c>
      <c r="W58" s="2"/>
      <c r="X58" s="6">
        <f t="shared" si="24"/>
        <v>-754.69999999999982</v>
      </c>
      <c r="Y58" s="2"/>
      <c r="Z58" s="7">
        <f t="shared" si="25"/>
        <v>-0.20387709563610623</v>
      </c>
    </row>
    <row r="59" spans="1:26" s="24" customFormat="1" hidden="1" outlineLevel="2" x14ac:dyDescent="0.25">
      <c r="A59" s="25"/>
      <c r="B59" s="11" t="str">
        <f>CONCATENATE("          ", "6112", " - ", "COMPENSATION INSURANCE")</f>
        <v xml:space="preserve">          6112 - COMPENSATION INSURANCE</v>
      </c>
      <c r="C59" s="11"/>
      <c r="D59" s="6">
        <v>256.8</v>
      </c>
      <c r="E59" s="2"/>
      <c r="F59" s="7">
        <f t="shared" si="18"/>
        <v>4.2956526422863843E-3</v>
      </c>
      <c r="G59" s="2"/>
      <c r="H59" s="6">
        <v>194.36</v>
      </c>
      <c r="I59" s="2"/>
      <c r="J59" s="7">
        <f t="shared" si="19"/>
        <v>1.2111141595982516E-3</v>
      </c>
      <c r="K59" s="2"/>
      <c r="L59" s="6">
        <f t="shared" si="20"/>
        <v>62.44</v>
      </c>
      <c r="M59" s="2"/>
      <c r="N59" s="7">
        <f t="shared" si="21"/>
        <v>0.32125951841942785</v>
      </c>
      <c r="O59" s="11"/>
      <c r="P59" s="6">
        <v>725.73</v>
      </c>
      <c r="Q59" s="2"/>
      <c r="R59" s="7">
        <f t="shared" si="22"/>
        <v>6.0684692712092243E-4</v>
      </c>
      <c r="S59" s="2"/>
      <c r="T59" s="6">
        <v>705.92</v>
      </c>
      <c r="U59" s="2"/>
      <c r="V59" s="7">
        <f t="shared" si="23"/>
        <v>4.709633752921413E-4</v>
      </c>
      <c r="W59" s="2"/>
      <c r="X59" s="6">
        <f t="shared" si="24"/>
        <v>19.810000000000059</v>
      </c>
      <c r="Y59" s="2"/>
      <c r="Z59" s="7">
        <f t="shared" si="25"/>
        <v>2.8062669990933903E-2</v>
      </c>
    </row>
    <row r="60" spans="1:26" s="24" customFormat="1" hidden="1" outlineLevel="2" x14ac:dyDescent="0.25">
      <c r="A60" s="25"/>
      <c r="B60" s="11" t="str">
        <f>CONCATENATE("          ", "6113", " - ", "GROUP INSURANCE")</f>
        <v xml:space="preserve">          6113 - GROUP INSURANCE</v>
      </c>
      <c r="C60" s="11"/>
      <c r="D60" s="6">
        <v>1035.69</v>
      </c>
      <c r="E60" s="2"/>
      <c r="F60" s="7">
        <f t="shared" si="18"/>
        <v>1.7324628057202435E-2</v>
      </c>
      <c r="G60" s="2"/>
      <c r="H60" s="6">
        <v>1287.6500000000001</v>
      </c>
      <c r="I60" s="2"/>
      <c r="J60" s="7">
        <f t="shared" si="19"/>
        <v>8.0237247767374394E-3</v>
      </c>
      <c r="K60" s="2"/>
      <c r="L60" s="6">
        <f t="shared" si="20"/>
        <v>-251.96000000000004</v>
      </c>
      <c r="M60" s="2"/>
      <c r="N60" s="7">
        <f t="shared" si="21"/>
        <v>-0.19567429037393702</v>
      </c>
      <c r="O60" s="11"/>
      <c r="P60" s="6">
        <v>5178.45</v>
      </c>
      <c r="Q60" s="2"/>
      <c r="R60" s="7">
        <f t="shared" si="22"/>
        <v>4.3301592462063583E-3</v>
      </c>
      <c r="S60" s="2"/>
      <c r="T60" s="6">
        <v>5147.17</v>
      </c>
      <c r="U60" s="2"/>
      <c r="V60" s="7">
        <f t="shared" si="23"/>
        <v>3.4339989749581413E-3</v>
      </c>
      <c r="W60" s="2"/>
      <c r="X60" s="6">
        <f t="shared" si="24"/>
        <v>31.279999999999745</v>
      </c>
      <c r="Y60" s="2"/>
      <c r="Z60" s="7">
        <f t="shared" si="25"/>
        <v>6.0771258769381515E-3</v>
      </c>
    </row>
    <row r="61" spans="1:26" s="24" customFormat="1" hidden="1" outlineLevel="2" x14ac:dyDescent="0.25">
      <c r="A61" s="25"/>
      <c r="B61" s="11" t="str">
        <f>CONCATENATE("          ", "6114", " - ", "STATE UNEMPLOYMENT INSURANCE")</f>
        <v xml:space="preserve">          6114 - STATE UNEMPLOYMENT INSURANCE</v>
      </c>
      <c r="C61" s="11"/>
      <c r="D61" s="6">
        <v>36.090000000000003</v>
      </c>
      <c r="E61" s="2"/>
      <c r="F61" s="7">
        <f t="shared" si="18"/>
        <v>6.0369978138674304E-4</v>
      </c>
      <c r="G61" s="2"/>
      <c r="H61" s="6">
        <v>28.65</v>
      </c>
      <c r="I61" s="2"/>
      <c r="J61" s="7">
        <f t="shared" si="19"/>
        <v>1.7852655213258854E-4</v>
      </c>
      <c r="K61" s="2"/>
      <c r="L61" s="6">
        <f t="shared" si="20"/>
        <v>7.4400000000000048</v>
      </c>
      <c r="M61" s="2"/>
      <c r="N61" s="7">
        <f t="shared" si="21"/>
        <v>0.25968586387434572</v>
      </c>
      <c r="O61" s="11"/>
      <c r="P61" s="6">
        <v>116.69</v>
      </c>
      <c r="Q61" s="2"/>
      <c r="R61" s="7">
        <f t="shared" si="22"/>
        <v>9.7574811466716871E-5</v>
      </c>
      <c r="S61" s="2"/>
      <c r="T61" s="6">
        <v>125.05</v>
      </c>
      <c r="U61" s="2"/>
      <c r="V61" s="7">
        <f t="shared" si="23"/>
        <v>8.3428674751079827E-5</v>
      </c>
      <c r="W61" s="2"/>
      <c r="X61" s="6">
        <f t="shared" si="24"/>
        <v>-8.36</v>
      </c>
      <c r="Y61" s="2"/>
      <c r="Z61" s="7">
        <f t="shared" si="25"/>
        <v>-6.6853258696521395E-2</v>
      </c>
    </row>
    <row r="62" spans="1:26" s="24" customFormat="1" hidden="1" outlineLevel="2" x14ac:dyDescent="0.25">
      <c r="A62" s="25"/>
      <c r="B62" s="11" t="str">
        <f>CONCATENATE("          ", "6115", " - ", "P.E.R.S.")</f>
        <v xml:space="preserve">          6115 - P.E.R.S.</v>
      </c>
      <c r="C62" s="11"/>
      <c r="D62" s="6">
        <v>176.42</v>
      </c>
      <c r="E62" s="2"/>
      <c r="F62" s="7">
        <f t="shared" si="18"/>
        <v>2.9510866010598281E-3</v>
      </c>
      <c r="G62" s="2"/>
      <c r="H62" s="6">
        <v>263.31</v>
      </c>
      <c r="I62" s="2"/>
      <c r="J62" s="7">
        <f t="shared" si="19"/>
        <v>1.6407618304374132E-3</v>
      </c>
      <c r="K62" s="2"/>
      <c r="L62" s="6">
        <f t="shared" si="20"/>
        <v>-86.890000000000015</v>
      </c>
      <c r="M62" s="2"/>
      <c r="N62" s="7">
        <f t="shared" si="21"/>
        <v>-0.32999126504880183</v>
      </c>
      <c r="O62" s="11"/>
      <c r="P62" s="6">
        <v>970.31</v>
      </c>
      <c r="Q62" s="2"/>
      <c r="R62" s="7">
        <f t="shared" si="22"/>
        <v>8.1136185889339317E-4</v>
      </c>
      <c r="S62" s="2"/>
      <c r="T62" s="6">
        <v>1022.61</v>
      </c>
      <c r="U62" s="2"/>
      <c r="V62" s="7">
        <f t="shared" si="23"/>
        <v>6.8224707786646737E-4</v>
      </c>
      <c r="W62" s="2"/>
      <c r="X62" s="6">
        <f t="shared" si="24"/>
        <v>-52.300000000000068</v>
      </c>
      <c r="Y62" s="2"/>
      <c r="Z62" s="7">
        <f t="shared" si="25"/>
        <v>-5.11436422487557E-2</v>
      </c>
    </row>
    <row r="63" spans="1:26" s="24" customFormat="1" hidden="1" outlineLevel="2" x14ac:dyDescent="0.25">
      <c r="A63" s="25"/>
      <c r="B63" s="11" t="str">
        <f>CONCATENATE("          ", "6117", " - ", "RETIREMENT STAFF HOURLY")</f>
        <v xml:space="preserve">          6117 - RETIREMENT STAFF HOURLY</v>
      </c>
      <c r="C63" s="11"/>
      <c r="D63" s="6">
        <v>154.52000000000001</v>
      </c>
      <c r="E63" s="2"/>
      <c r="F63" s="7">
        <f t="shared" si="18"/>
        <v>2.5847517378741907E-3</v>
      </c>
      <c r="G63" s="2"/>
      <c r="H63" s="6">
        <v>173.93</v>
      </c>
      <c r="I63" s="2"/>
      <c r="J63" s="7">
        <f t="shared" si="19"/>
        <v>1.0838088381298822E-3</v>
      </c>
      <c r="K63" s="2"/>
      <c r="L63" s="6">
        <f t="shared" si="20"/>
        <v>-19.409999999999997</v>
      </c>
      <c r="M63" s="2"/>
      <c r="N63" s="7">
        <f t="shared" si="21"/>
        <v>-0.11159661932961534</v>
      </c>
      <c r="O63" s="11"/>
      <c r="P63" s="6">
        <v>934.08</v>
      </c>
      <c r="Q63" s="2"/>
      <c r="R63" s="7">
        <f t="shared" si="22"/>
        <v>7.8106675717568692E-4</v>
      </c>
      <c r="S63" s="2"/>
      <c r="T63" s="6">
        <v>872.68</v>
      </c>
      <c r="U63" s="2"/>
      <c r="V63" s="7">
        <f t="shared" si="23"/>
        <v>5.8221939929446092E-4</v>
      </c>
      <c r="W63" s="2"/>
      <c r="X63" s="6">
        <f t="shared" si="24"/>
        <v>61.400000000000091</v>
      </c>
      <c r="Y63" s="2"/>
      <c r="Z63" s="7">
        <f t="shared" si="25"/>
        <v>7.0357977723793486E-2</v>
      </c>
    </row>
    <row r="64" spans="1:26" s="24" customFormat="1" hidden="1" outlineLevel="2" x14ac:dyDescent="0.25">
      <c r="A64" s="25"/>
      <c r="B64" s="11" t="str">
        <f>CONCATENATE("          ", "6118", " - ", "VACATION")</f>
        <v xml:space="preserve">          6118 - VACATION</v>
      </c>
      <c r="C64" s="11"/>
      <c r="D64" s="6">
        <v>262.39999999999998</v>
      </c>
      <c r="E64" s="2"/>
      <c r="F64" s="7">
        <f t="shared" si="18"/>
        <v>4.3893273104982367E-3</v>
      </c>
      <c r="G64" s="2"/>
      <c r="H64" s="6">
        <v>114.56</v>
      </c>
      <c r="I64" s="2"/>
      <c r="J64" s="7">
        <f t="shared" si="19"/>
        <v>7.1385695679962804E-4</v>
      </c>
      <c r="K64" s="2"/>
      <c r="L64" s="6">
        <f t="shared" si="20"/>
        <v>147.83999999999997</v>
      </c>
      <c r="M64" s="2"/>
      <c r="N64" s="7">
        <f t="shared" si="21"/>
        <v>1.2905027932960891</v>
      </c>
      <c r="O64" s="11"/>
      <c r="P64" s="6">
        <v>1422.5</v>
      </c>
      <c r="Q64" s="2"/>
      <c r="R64" s="7">
        <f t="shared" si="22"/>
        <v>1.1894778413866205E-3</v>
      </c>
      <c r="S64" s="2"/>
      <c r="T64" s="6">
        <v>1405.57</v>
      </c>
      <c r="U64" s="2"/>
      <c r="V64" s="7">
        <f t="shared" si="23"/>
        <v>9.3774364150240122E-4</v>
      </c>
      <c r="W64" s="2"/>
      <c r="X64" s="6">
        <f t="shared" si="24"/>
        <v>16.930000000000064</v>
      </c>
      <c r="Y64" s="2"/>
      <c r="Z64" s="7">
        <f t="shared" si="25"/>
        <v>1.2044935506591678E-2</v>
      </c>
    </row>
    <row r="65" spans="1:26" s="24" customFormat="1" hidden="1" outlineLevel="2" x14ac:dyDescent="0.25">
      <c r="A65" s="25"/>
      <c r="B65" s="11" t="str">
        <f>CONCATENATE("          ", "6119", " - ", "SICK LEAVE")</f>
        <v xml:space="preserve">          6119 - SICK LEAVE</v>
      </c>
      <c r="C65" s="11"/>
      <c r="D65" s="6">
        <v>262.10000000000002</v>
      </c>
      <c r="E65" s="2"/>
      <c r="F65" s="7">
        <f t="shared" si="18"/>
        <v>4.3843090247011737E-3</v>
      </c>
      <c r="G65" s="2"/>
      <c r="H65" s="6">
        <v>173.86</v>
      </c>
      <c r="I65" s="2"/>
      <c r="J65" s="7">
        <f t="shared" si="19"/>
        <v>1.0833726476011116E-3</v>
      </c>
      <c r="K65" s="2"/>
      <c r="L65" s="6">
        <f t="shared" si="20"/>
        <v>88.240000000000009</v>
      </c>
      <c r="M65" s="2"/>
      <c r="N65" s="7">
        <f t="shared" si="21"/>
        <v>0.50753479811342461</v>
      </c>
      <c r="O65" s="11"/>
      <c r="P65" s="6">
        <v>1416.66</v>
      </c>
      <c r="Q65" s="2"/>
      <c r="R65" s="7">
        <f t="shared" si="22"/>
        <v>1.1845945017776942E-3</v>
      </c>
      <c r="S65" s="2"/>
      <c r="T65" s="6">
        <v>1454.26</v>
      </c>
      <c r="U65" s="2"/>
      <c r="V65" s="7">
        <f t="shared" si="23"/>
        <v>9.702277852339492E-4</v>
      </c>
      <c r="W65" s="2"/>
      <c r="X65" s="6">
        <f t="shared" si="24"/>
        <v>-37.599999999999909</v>
      </c>
      <c r="Y65" s="2"/>
      <c r="Z65" s="7">
        <f t="shared" si="25"/>
        <v>-2.5855074058283876E-2</v>
      </c>
    </row>
    <row r="66" spans="1:26" s="24" customFormat="1" hidden="1" outlineLevel="2" x14ac:dyDescent="0.25">
      <c r="A66" s="25"/>
      <c r="B66" s="11" t="str">
        <f>CONCATENATE("          ", "6156", " - ", "EMPLOYEE MEALS")</f>
        <v xml:space="preserve">          6156 - EMPLOYEE MEALS</v>
      </c>
      <c r="C66" s="11"/>
      <c r="D66" s="6">
        <v>242.38</v>
      </c>
      <c r="E66" s="2"/>
      <c r="F66" s="7">
        <f t="shared" si="18"/>
        <v>4.0544403716408633E-3</v>
      </c>
      <c r="G66" s="2"/>
      <c r="H66" s="6">
        <v>150.82</v>
      </c>
      <c r="I66" s="2"/>
      <c r="J66" s="7">
        <f t="shared" si="19"/>
        <v>9.3980365070286227E-4</v>
      </c>
      <c r="K66" s="2"/>
      <c r="L66" s="6">
        <f t="shared" si="20"/>
        <v>91.56</v>
      </c>
      <c r="M66" s="2"/>
      <c r="N66" s="7">
        <f t="shared" si="21"/>
        <v>0.60708128895371971</v>
      </c>
      <c r="O66" s="11"/>
      <c r="P66" s="6">
        <v>1122.8800000000001</v>
      </c>
      <c r="Q66" s="2"/>
      <c r="R66" s="7">
        <f t="shared" si="22"/>
        <v>9.3893910617659656E-4</v>
      </c>
      <c r="S66" s="2"/>
      <c r="T66" s="6">
        <v>795</v>
      </c>
      <c r="U66" s="2"/>
      <c r="V66" s="7">
        <f t="shared" si="23"/>
        <v>5.3039421373137516E-4</v>
      </c>
      <c r="W66" s="2"/>
      <c r="X66" s="6">
        <f t="shared" si="24"/>
        <v>327.88000000000011</v>
      </c>
      <c r="Y66" s="2"/>
      <c r="Z66" s="7">
        <f t="shared" si="25"/>
        <v>0.41242767295597499</v>
      </c>
    </row>
    <row r="67" spans="1:26" s="26" customFormat="1" outlineLevel="1" collapsed="1" x14ac:dyDescent="0.25">
      <c r="A67" s="27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7316.2099999999991</v>
      </c>
      <c r="E67" s="1"/>
      <c r="F67" s="5">
        <f t="shared" ref="F67:F72" si="26">IF(D$12=0,0,D67/D$12)</f>
        <v>0.12238277577111396</v>
      </c>
      <c r="G67" s="1"/>
      <c r="H67" s="1">
        <f>SUM(OSRRefH22_1x_0)</f>
        <v>9624.76</v>
      </c>
      <c r="I67" s="1"/>
      <c r="J67" s="5">
        <f t="shared" ref="J67:J72" si="27">IF(H$12=0,0,H67/H$12)</f>
        <v>5.997470219558998E-2</v>
      </c>
      <c r="K67" s="1"/>
      <c r="L67" s="1">
        <f t="shared" ref="L67:L72" si="28">+D67-H67</f>
        <v>-2308.5500000000011</v>
      </c>
      <c r="M67" s="1"/>
      <c r="N67" s="5">
        <f t="shared" ref="N67:N72" si="29">IF(H67=0,0,L67/H67)</f>
        <v>-0.23985533145761567</v>
      </c>
      <c r="O67" s="13"/>
      <c r="P67" s="1">
        <f>SUM(OSRRefP22_1x_0)</f>
        <v>39479.78</v>
      </c>
      <c r="Q67" s="1"/>
      <c r="R67" s="5">
        <f t="shared" ref="R67:R72" si="30">IF(P$12=0,0,P67/P$12)</f>
        <v>3.3012529696181847E-2</v>
      </c>
      <c r="S67" s="1"/>
      <c r="T67" s="1">
        <f>SUM(OSRRefT22_1x_0)</f>
        <v>48719.140000000007</v>
      </c>
      <c r="U67" s="1"/>
      <c r="V67" s="5">
        <f t="shared" ref="V67:V72" si="31">IF(T$12=0,0,T67/T$12)</f>
        <v>3.250358484775949E-2</v>
      </c>
      <c r="W67" s="1"/>
      <c r="X67" s="1">
        <f t="shared" ref="X67:X72" si="32">+P67-T67</f>
        <v>-9239.3600000000079</v>
      </c>
      <c r="Y67" s="1"/>
      <c r="Z67" s="5">
        <f t="shared" ref="Z67:Z72" si="33">IF(T67=0,0,X67/T67)</f>
        <v>-0.18964538372393286</v>
      </c>
    </row>
    <row r="68" spans="1:26" s="24" customFormat="1" hidden="1" outlineLevel="2" x14ac:dyDescent="0.25">
      <c r="A68" s="25"/>
      <c r="B68" s="11" t="str">
        <f>CONCATENATE("          ", "6002", " - ", "STAFF SALARIES")</f>
        <v xml:space="preserve">          6002 - STAFF SALARIES</v>
      </c>
      <c r="C68" s="11"/>
      <c r="D68" s="6">
        <v>1939.96</v>
      </c>
      <c r="E68" s="2"/>
      <c r="F68" s="7">
        <f t="shared" si="26"/>
        <v>3.2450912382904575E-2</v>
      </c>
      <c r="G68" s="2"/>
      <c r="H68" s="6">
        <v>3193.56</v>
      </c>
      <c r="I68" s="2"/>
      <c r="J68" s="7">
        <f t="shared" si="27"/>
        <v>1.9900008929443262E-2</v>
      </c>
      <c r="K68" s="2"/>
      <c r="L68" s="6">
        <f t="shared" si="28"/>
        <v>-1253.5999999999999</v>
      </c>
      <c r="M68" s="2"/>
      <c r="N68" s="7">
        <f t="shared" si="29"/>
        <v>-0.39253998672328055</v>
      </c>
      <c r="O68" s="11"/>
      <c r="P68" s="6">
        <v>11297.39</v>
      </c>
      <c r="Q68" s="2"/>
      <c r="R68" s="7">
        <f t="shared" si="30"/>
        <v>9.4467452165221746E-3</v>
      </c>
      <c r="S68" s="2"/>
      <c r="T68" s="6">
        <v>15056.58</v>
      </c>
      <c r="U68" s="2"/>
      <c r="V68" s="7">
        <f t="shared" si="31"/>
        <v>1.0045186051048489E-2</v>
      </c>
      <c r="W68" s="2"/>
      <c r="X68" s="6">
        <f t="shared" si="32"/>
        <v>-3759.1900000000005</v>
      </c>
      <c r="Y68" s="2"/>
      <c r="Z68" s="7">
        <f t="shared" si="33"/>
        <v>-0.24967090800168434</v>
      </c>
    </row>
    <row r="69" spans="1:26" s="24" customFormat="1" hidden="1" outlineLevel="2" x14ac:dyDescent="0.25">
      <c r="A69" s="25"/>
      <c r="B69" s="11" t="str">
        <f>CONCATENATE("          ", "6004", " - ", "STAFF HOURLY")</f>
        <v xml:space="preserve">          6004 - STAFF HOURLY</v>
      </c>
      <c r="C69" s="11"/>
      <c r="D69" s="6">
        <v>3395.52</v>
      </c>
      <c r="E69" s="2"/>
      <c r="F69" s="7">
        <f t="shared" si="26"/>
        <v>5.6798965965483894E-2</v>
      </c>
      <c r="G69" s="2"/>
      <c r="H69" s="6"/>
      <c r="I69" s="2"/>
      <c r="J69" s="7">
        <f t="shared" si="27"/>
        <v>0</v>
      </c>
      <c r="K69" s="2"/>
      <c r="L69" s="6">
        <f t="shared" si="28"/>
        <v>3395.52</v>
      </c>
      <c r="M69" s="2"/>
      <c r="N69" s="7">
        <f t="shared" si="29"/>
        <v>0</v>
      </c>
      <c r="O69" s="11"/>
      <c r="P69" s="6">
        <v>17816.16</v>
      </c>
      <c r="Q69" s="2"/>
      <c r="R69" s="7">
        <f t="shared" si="30"/>
        <v>1.4897664350508719E-2</v>
      </c>
      <c r="S69" s="2"/>
      <c r="T69" s="6"/>
      <c r="U69" s="2"/>
      <c r="V69" s="7">
        <f t="shared" si="31"/>
        <v>0</v>
      </c>
      <c r="W69" s="2"/>
      <c r="X69" s="6">
        <f t="shared" si="32"/>
        <v>17816.16</v>
      </c>
      <c r="Y69" s="2"/>
      <c r="Z69" s="7">
        <f t="shared" si="33"/>
        <v>0</v>
      </c>
    </row>
    <row r="70" spans="1:26" s="24" customFormat="1" hidden="1" outlineLevel="2" x14ac:dyDescent="0.25">
      <c r="A70" s="25"/>
      <c r="B70" s="11" t="str">
        <f>CONCATENATE("          ", "6005", " - ", "TEMPORARY WAGES-HOURLY")</f>
        <v xml:space="preserve">          6005 - TEMPORARY WAGES-HOURLY</v>
      </c>
      <c r="C70" s="11"/>
      <c r="D70" s="6"/>
      <c r="E70" s="2"/>
      <c r="F70" s="7">
        <f t="shared" si="26"/>
        <v>0</v>
      </c>
      <c r="G70" s="2"/>
      <c r="H70" s="6">
        <v>3063.73</v>
      </c>
      <c r="I70" s="2"/>
      <c r="J70" s="7">
        <f t="shared" si="27"/>
        <v>1.9091000124438935E-2</v>
      </c>
      <c r="K70" s="2"/>
      <c r="L70" s="6">
        <f t="shared" si="28"/>
        <v>-3063.73</v>
      </c>
      <c r="M70" s="2"/>
      <c r="N70" s="7">
        <f t="shared" si="29"/>
        <v>-1</v>
      </c>
      <c r="O70" s="11"/>
      <c r="P70" s="6"/>
      <c r="Q70" s="2"/>
      <c r="R70" s="7">
        <f t="shared" si="30"/>
        <v>0</v>
      </c>
      <c r="S70" s="2"/>
      <c r="T70" s="6">
        <v>17202.25</v>
      </c>
      <c r="U70" s="2"/>
      <c r="V70" s="7">
        <f t="shared" si="31"/>
        <v>1.1476696683220817E-2</v>
      </c>
      <c r="W70" s="2"/>
      <c r="X70" s="6">
        <f t="shared" si="32"/>
        <v>-17202.25</v>
      </c>
      <c r="Y70" s="2"/>
      <c r="Z70" s="7">
        <f t="shared" si="33"/>
        <v>-1</v>
      </c>
    </row>
    <row r="71" spans="1:26" s="24" customFormat="1" hidden="1" outlineLevel="2" x14ac:dyDescent="0.25">
      <c r="A71" s="25"/>
      <c r="B71" s="11" t="str">
        <f>CONCATENATE("          ", "6006", " - ", "TEMPORARY PART TIME")</f>
        <v xml:space="preserve">          6006 - TEMPORARY PART TIME</v>
      </c>
      <c r="C71" s="11"/>
      <c r="D71" s="6"/>
      <c r="E71" s="2"/>
      <c r="F71" s="7">
        <f t="shared" si="26"/>
        <v>0</v>
      </c>
      <c r="G71" s="2"/>
      <c r="H71" s="6">
        <v>1053</v>
      </c>
      <c r="I71" s="2"/>
      <c r="J71" s="7">
        <f t="shared" si="27"/>
        <v>6.5615518113652958E-3</v>
      </c>
      <c r="K71" s="2"/>
      <c r="L71" s="6">
        <f t="shared" si="28"/>
        <v>-1053</v>
      </c>
      <c r="M71" s="2"/>
      <c r="N71" s="7">
        <f t="shared" si="29"/>
        <v>-1</v>
      </c>
      <c r="O71" s="11"/>
      <c r="P71" s="6"/>
      <c r="Q71" s="2"/>
      <c r="R71" s="7">
        <f t="shared" si="30"/>
        <v>0</v>
      </c>
      <c r="S71" s="2"/>
      <c r="T71" s="6">
        <v>7601.16</v>
      </c>
      <c r="U71" s="2"/>
      <c r="V71" s="7">
        <f t="shared" si="31"/>
        <v>5.0712091593036225E-3</v>
      </c>
      <c r="W71" s="2"/>
      <c r="X71" s="6">
        <f t="shared" si="32"/>
        <v>-7601.16</v>
      </c>
      <c r="Y71" s="2"/>
      <c r="Z71" s="7">
        <f t="shared" si="33"/>
        <v>-1</v>
      </c>
    </row>
    <row r="72" spans="1:26" s="24" customFormat="1" hidden="1" outlineLevel="2" x14ac:dyDescent="0.25">
      <c r="A72" s="25"/>
      <c r="B72" s="11" t="str">
        <f>CONCATENATE("          ", "6007", " - ", "STUDENT HOURLY")</f>
        <v xml:space="preserve">          6007 - STUDENT HOURLY</v>
      </c>
      <c r="C72" s="11"/>
      <c r="D72" s="6">
        <v>1980.73</v>
      </c>
      <c r="E72" s="2"/>
      <c r="F72" s="7">
        <f t="shared" si="26"/>
        <v>3.3132897422725509E-2</v>
      </c>
      <c r="G72" s="2"/>
      <c r="H72" s="6">
        <v>2314.4699999999998</v>
      </c>
      <c r="I72" s="2"/>
      <c r="J72" s="7">
        <f t="shared" si="27"/>
        <v>1.4422141330342484E-2</v>
      </c>
      <c r="K72" s="2"/>
      <c r="L72" s="6">
        <f t="shared" si="28"/>
        <v>-333.73999999999978</v>
      </c>
      <c r="M72" s="2"/>
      <c r="N72" s="7">
        <f t="shared" si="29"/>
        <v>-0.14419715960889526</v>
      </c>
      <c r="O72" s="11"/>
      <c r="P72" s="6">
        <v>10366.23</v>
      </c>
      <c r="Q72" s="2"/>
      <c r="R72" s="7">
        <f t="shared" si="30"/>
        <v>8.66812012915095E-3</v>
      </c>
      <c r="S72" s="2"/>
      <c r="T72" s="6">
        <v>8859.15</v>
      </c>
      <c r="U72" s="2"/>
      <c r="V72" s="7">
        <f t="shared" si="31"/>
        <v>5.910492954186556E-3</v>
      </c>
      <c r="W72" s="2"/>
      <c r="X72" s="6">
        <f t="shared" si="32"/>
        <v>1507.08</v>
      </c>
      <c r="Y72" s="2"/>
      <c r="Z72" s="7">
        <f t="shared" si="33"/>
        <v>0.17011564314860905</v>
      </c>
    </row>
    <row r="73" spans="1:26" s="26" customFormat="1" outlineLevel="1" collapsed="1" x14ac:dyDescent="0.25">
      <c r="A73" s="27"/>
      <c r="B73" s="13" t="str">
        <f>CONCATENATE("     ","Advertising/Promo                                 ")</f>
        <v xml:space="preserve">     Advertising/Promo                                 </v>
      </c>
      <c r="C73" s="13"/>
      <c r="D73" s="1">
        <f>SUM(OSRRefD22_2x_0)</f>
        <v>0</v>
      </c>
      <c r="E73" s="1"/>
      <c r="F73" s="5">
        <f t="shared" ref="F73:F81" si="34">IF(D$12=0,0,D73/D$12)</f>
        <v>0</v>
      </c>
      <c r="G73" s="1"/>
      <c r="H73" s="1">
        <f>SUM(OSRRefH22_2x_0)</f>
        <v>208.92</v>
      </c>
      <c r="I73" s="1"/>
      <c r="J73" s="5">
        <f t="shared" ref="J73:J81" si="35">IF(H$12=0,0,H73/H$12)</f>
        <v>1.3018417895825619E-3</v>
      </c>
      <c r="K73" s="1"/>
      <c r="L73" s="1">
        <f t="shared" ref="L73:L81" si="36">+D73-H73</f>
        <v>-208.92</v>
      </c>
      <c r="M73" s="1"/>
      <c r="N73" s="5">
        <f t="shared" ref="N73:N81" si="37">IF(H73=0,0,L73/H73)</f>
        <v>-1</v>
      </c>
      <c r="O73" s="13"/>
      <c r="P73" s="1">
        <f>SUM(OSRRefP22_2x_0)</f>
        <v>248.88</v>
      </c>
      <c r="Q73" s="1"/>
      <c r="R73" s="5">
        <f t="shared" ref="R73:R81" si="38">IF(P$12=0,0,P73/P$12)</f>
        <v>2.0811054141602962E-4</v>
      </c>
      <c r="S73" s="1"/>
      <c r="T73" s="1">
        <f>SUM(OSRRefT22_2x_0)</f>
        <v>1428.71</v>
      </c>
      <c r="U73" s="1"/>
      <c r="V73" s="5">
        <f t="shared" ref="V73:V81" si="39">IF(T$12=0,0,T73/T$12)</f>
        <v>9.5318178251591577E-4</v>
      </c>
      <c r="W73" s="1"/>
      <c r="X73" s="1">
        <f t="shared" ref="X73:X81" si="40">+P73-T73</f>
        <v>-1179.83</v>
      </c>
      <c r="Y73" s="1"/>
      <c r="Z73" s="5">
        <f t="shared" ref="Z73:Z81" si="41">IF(T73=0,0,X73/T73)</f>
        <v>-0.82580089731296058</v>
      </c>
    </row>
    <row r="74" spans="1:26" s="24" customFormat="1" hidden="1" outlineLevel="2" x14ac:dyDescent="0.25">
      <c r="A74" s="25"/>
      <c r="B74" s="11" t="str">
        <f>CONCATENATE("          ", "6362", " - ", "ADVERTISING EXPENSE")</f>
        <v xml:space="preserve">          6362 - ADVERTISING EXPENSE</v>
      </c>
      <c r="C74" s="11"/>
      <c r="D74" s="6"/>
      <c r="E74" s="2"/>
      <c r="F74" s="7">
        <f t="shared" si="34"/>
        <v>0</v>
      </c>
      <c r="G74" s="2"/>
      <c r="H74" s="6">
        <v>208.92</v>
      </c>
      <c r="I74" s="2"/>
      <c r="J74" s="7">
        <f t="shared" si="35"/>
        <v>1.3018417895825619E-3</v>
      </c>
      <c r="K74" s="2"/>
      <c r="L74" s="6">
        <f t="shared" si="36"/>
        <v>-208.92</v>
      </c>
      <c r="M74" s="2"/>
      <c r="N74" s="7">
        <f t="shared" si="37"/>
        <v>-1</v>
      </c>
      <c r="O74" s="11"/>
      <c r="P74" s="6">
        <v>248.88</v>
      </c>
      <c r="Q74" s="2"/>
      <c r="R74" s="7">
        <f t="shared" si="38"/>
        <v>2.0811054141602962E-4</v>
      </c>
      <c r="S74" s="2"/>
      <c r="T74" s="6">
        <v>1428.71</v>
      </c>
      <c r="U74" s="2"/>
      <c r="V74" s="7">
        <f t="shared" si="39"/>
        <v>9.5318178251591577E-4</v>
      </c>
      <c r="W74" s="2"/>
      <c r="X74" s="6">
        <f t="shared" si="40"/>
        <v>-1179.83</v>
      </c>
      <c r="Y74" s="2"/>
      <c r="Z74" s="7">
        <f t="shared" si="41"/>
        <v>-0.82580089731296058</v>
      </c>
    </row>
    <row r="75" spans="1:26" s="26" customFormat="1" outlineLevel="1" collapsed="1" x14ac:dyDescent="0.25">
      <c r="A75" s="27"/>
      <c r="B75" s="13" t="str">
        <f>CONCATENATE("     ","Depreciation                                      ")</f>
        <v xml:space="preserve">     Depreciation                                      </v>
      </c>
      <c r="C75" s="13"/>
      <c r="D75" s="1">
        <f>SUM(OSRRefD22_3x_0)</f>
        <v>280.44</v>
      </c>
      <c r="E75" s="1"/>
      <c r="F75" s="5">
        <f t="shared" si="34"/>
        <v>4.6910935630949911E-3</v>
      </c>
      <c r="G75" s="1"/>
      <c r="H75" s="1">
        <f>SUM(OSRRefH22_3x_0)</f>
        <v>280.44</v>
      </c>
      <c r="I75" s="1"/>
      <c r="J75" s="5">
        <f t="shared" si="35"/>
        <v>1.7475038841208771E-3</v>
      </c>
      <c r="K75" s="1"/>
      <c r="L75" s="1">
        <f t="shared" si="36"/>
        <v>0</v>
      </c>
      <c r="M75" s="1"/>
      <c r="N75" s="5">
        <f t="shared" si="37"/>
        <v>0</v>
      </c>
      <c r="O75" s="13"/>
      <c r="P75" s="1">
        <f>SUM(OSRRefP22_3x_0)</f>
        <v>1402.2</v>
      </c>
      <c r="Q75" s="1"/>
      <c r="R75" s="5">
        <f t="shared" si="38"/>
        <v>1.1725032191158659E-3</v>
      </c>
      <c r="S75" s="1"/>
      <c r="T75" s="1">
        <f>SUM(OSRRefT22_3x_0)</f>
        <v>1402.2</v>
      </c>
      <c r="U75" s="1"/>
      <c r="V75" s="5">
        <f t="shared" si="39"/>
        <v>9.3549530376620669E-4</v>
      </c>
      <c r="W75" s="1"/>
      <c r="X75" s="1">
        <f t="shared" si="40"/>
        <v>0</v>
      </c>
      <c r="Y75" s="1"/>
      <c r="Z75" s="5">
        <f t="shared" si="41"/>
        <v>0</v>
      </c>
    </row>
    <row r="76" spans="1:26" s="24" customFormat="1" hidden="1" outlineLevel="2" x14ac:dyDescent="0.25">
      <c r="A76" s="25"/>
      <c r="B76" s="11" t="str">
        <f>CONCATENATE("          ", "6322", " - ", "EQUIPMENT DEPRECIATION EXPENSE")</f>
        <v xml:space="preserve">          6322 - EQUIPMENT DEPRECIATION EXPENSE</v>
      </c>
      <c r="C76" s="11"/>
      <c r="D76" s="6">
        <v>280.44</v>
      </c>
      <c r="E76" s="2"/>
      <c r="F76" s="7">
        <f t="shared" si="34"/>
        <v>4.6910935630949911E-3</v>
      </c>
      <c r="G76" s="2"/>
      <c r="H76" s="6">
        <v>280.44</v>
      </c>
      <c r="I76" s="2"/>
      <c r="J76" s="7">
        <f t="shared" si="35"/>
        <v>1.7475038841208771E-3</v>
      </c>
      <c r="K76" s="2"/>
      <c r="L76" s="6">
        <f t="shared" si="36"/>
        <v>0</v>
      </c>
      <c r="M76" s="2"/>
      <c r="N76" s="7">
        <f t="shared" si="37"/>
        <v>0</v>
      </c>
      <c r="O76" s="11"/>
      <c r="P76" s="6">
        <v>1402.2</v>
      </c>
      <c r="Q76" s="2"/>
      <c r="R76" s="7">
        <f t="shared" si="38"/>
        <v>1.1725032191158659E-3</v>
      </c>
      <c r="S76" s="2"/>
      <c r="T76" s="6">
        <v>1402.2</v>
      </c>
      <c r="U76" s="2"/>
      <c r="V76" s="7">
        <f t="shared" si="39"/>
        <v>9.3549530376620669E-4</v>
      </c>
      <c r="W76" s="2"/>
      <c r="X76" s="6">
        <f t="shared" si="40"/>
        <v>0</v>
      </c>
      <c r="Y76" s="2"/>
      <c r="Z76" s="7">
        <f t="shared" si="41"/>
        <v>0</v>
      </c>
    </row>
    <row r="77" spans="1:26" s="26" customFormat="1" outlineLevel="1" collapsed="1" x14ac:dyDescent="0.25">
      <c r="A77" s="27"/>
      <c r="B77" s="13" t="str">
        <f>CONCATENATE("     ","Discounts and Markdowns                           ")</f>
        <v xml:space="preserve">     Discounts and Markdowns                           </v>
      </c>
      <c r="C77" s="13"/>
      <c r="D77" s="1">
        <f>SUM(OSRRefD22_4x_0)</f>
        <v>0</v>
      </c>
      <c r="E77" s="1"/>
      <c r="F77" s="5">
        <f t="shared" si="34"/>
        <v>0</v>
      </c>
      <c r="G77" s="1"/>
      <c r="H77" s="1">
        <f>SUM(OSRRefH22_4x_0)</f>
        <v>-20040.96</v>
      </c>
      <c r="I77" s="1"/>
      <c r="J77" s="5">
        <f t="shared" si="35"/>
        <v>-0.12488109913532711</v>
      </c>
      <c r="K77" s="1"/>
      <c r="L77" s="1">
        <f t="shared" si="36"/>
        <v>20040.96</v>
      </c>
      <c r="M77" s="1"/>
      <c r="N77" s="5">
        <f t="shared" si="37"/>
        <v>-1</v>
      </c>
      <c r="O77" s="13"/>
      <c r="P77" s="1">
        <f>SUM(OSRRefP22_4x_0)</f>
        <v>0</v>
      </c>
      <c r="Q77" s="1"/>
      <c r="R77" s="5">
        <f t="shared" si="38"/>
        <v>0</v>
      </c>
      <c r="S77" s="1"/>
      <c r="T77" s="1">
        <f>SUM(OSRRefT22_4x_0)</f>
        <v>48337.17</v>
      </c>
      <c r="U77" s="1"/>
      <c r="V77" s="5">
        <f t="shared" si="39"/>
        <v>3.2248748775031214E-2</v>
      </c>
      <c r="W77" s="1"/>
      <c r="X77" s="1">
        <f t="shared" si="40"/>
        <v>-48337.17</v>
      </c>
      <c r="Y77" s="1"/>
      <c r="Z77" s="5">
        <f t="shared" si="41"/>
        <v>-1</v>
      </c>
    </row>
    <row r="78" spans="1:26" s="24" customFormat="1" hidden="1" outlineLevel="2" x14ac:dyDescent="0.25">
      <c r="A78" s="25"/>
      <c r="B78" s="11" t="str">
        <f>CONCATENATE("          ", "6382", " - ", "DISCOUNTS/MARK DOWNS")</f>
        <v xml:space="preserve">          6382 - DISCOUNTS/MARK DOWNS</v>
      </c>
      <c r="C78" s="11"/>
      <c r="D78" s="6"/>
      <c r="E78" s="2"/>
      <c r="F78" s="7">
        <f t="shared" si="34"/>
        <v>0</v>
      </c>
      <c r="G78" s="2"/>
      <c r="H78" s="6">
        <v>-20040.96</v>
      </c>
      <c r="I78" s="2"/>
      <c r="J78" s="7">
        <f t="shared" si="35"/>
        <v>-0.12488109913532711</v>
      </c>
      <c r="K78" s="2"/>
      <c r="L78" s="6">
        <f t="shared" si="36"/>
        <v>20040.96</v>
      </c>
      <c r="M78" s="2"/>
      <c r="N78" s="7">
        <f t="shared" si="37"/>
        <v>-1</v>
      </c>
      <c r="O78" s="11"/>
      <c r="P78" s="6"/>
      <c r="Q78" s="2"/>
      <c r="R78" s="7">
        <f t="shared" si="38"/>
        <v>0</v>
      </c>
      <c r="S78" s="2"/>
      <c r="T78" s="6">
        <v>48337.17</v>
      </c>
      <c r="U78" s="2"/>
      <c r="V78" s="7">
        <f t="shared" si="39"/>
        <v>3.2248748775031214E-2</v>
      </c>
      <c r="W78" s="2"/>
      <c r="X78" s="6">
        <f t="shared" si="40"/>
        <v>-48337.17</v>
      </c>
      <c r="Y78" s="2"/>
      <c r="Z78" s="7">
        <f t="shared" si="41"/>
        <v>-1</v>
      </c>
    </row>
    <row r="79" spans="1:26" s="26" customFormat="1" outlineLevel="1" collapsed="1" x14ac:dyDescent="0.25">
      <c r="A79" s="27"/>
      <c r="B79" s="13" t="str">
        <f>CONCATENATE("     ","Freight out/Postage                               ")</f>
        <v xml:space="preserve">     Freight out/Postage                               </v>
      </c>
      <c r="C79" s="13"/>
      <c r="D79" s="1">
        <f>SUM(OSRRefD22_5x_0)</f>
        <v>277.12</v>
      </c>
      <c r="E79" s="1"/>
      <c r="F79" s="5">
        <f t="shared" si="34"/>
        <v>4.6355578669408214E-3</v>
      </c>
      <c r="G79" s="1"/>
      <c r="H79" s="1">
        <f>SUM(OSRRefH22_5x_0)</f>
        <v>30.85</v>
      </c>
      <c r="I79" s="1"/>
      <c r="J79" s="5">
        <f t="shared" si="35"/>
        <v>1.9223539732252554E-4</v>
      </c>
      <c r="K79" s="1"/>
      <c r="L79" s="1">
        <f t="shared" si="36"/>
        <v>246.27</v>
      </c>
      <c r="M79" s="1"/>
      <c r="N79" s="5">
        <f t="shared" si="37"/>
        <v>7.9828200972447325</v>
      </c>
      <c r="O79" s="13"/>
      <c r="P79" s="1">
        <f>SUM(OSRRefP22_5x_0)</f>
        <v>827.59</v>
      </c>
      <c r="Q79" s="1"/>
      <c r="R79" s="5">
        <f t="shared" si="38"/>
        <v>6.9202106625880727E-4</v>
      </c>
      <c r="S79" s="1"/>
      <c r="T79" s="1">
        <f>SUM(OSRRefT22_5x_0)</f>
        <v>41.61</v>
      </c>
      <c r="U79" s="1"/>
      <c r="V79" s="5">
        <f t="shared" si="39"/>
        <v>2.7760632997940277E-5</v>
      </c>
      <c r="W79" s="1"/>
      <c r="X79" s="1">
        <f t="shared" si="40"/>
        <v>785.98</v>
      </c>
      <c r="Y79" s="1"/>
      <c r="Z79" s="5">
        <f t="shared" si="41"/>
        <v>18.889209324681566</v>
      </c>
    </row>
    <row r="80" spans="1:26" s="24" customFormat="1" hidden="1" outlineLevel="2" x14ac:dyDescent="0.25">
      <c r="A80" s="25"/>
      <c r="B80" s="11" t="str">
        <f>CONCATENATE("          ", "6305", " - ", "FREIGHT OUT")</f>
        <v xml:space="preserve">          6305 - FREIGHT OUT</v>
      </c>
      <c r="C80" s="11"/>
      <c r="D80" s="6">
        <v>277.12</v>
      </c>
      <c r="E80" s="2"/>
      <c r="F80" s="7">
        <f t="shared" si="34"/>
        <v>4.6355578669408214E-3</v>
      </c>
      <c r="G80" s="2"/>
      <c r="H80" s="6">
        <v>30.85</v>
      </c>
      <c r="I80" s="2"/>
      <c r="J80" s="7">
        <f t="shared" si="35"/>
        <v>1.9223539732252554E-4</v>
      </c>
      <c r="K80" s="2"/>
      <c r="L80" s="6">
        <f t="shared" si="36"/>
        <v>246.27</v>
      </c>
      <c r="M80" s="2"/>
      <c r="N80" s="7">
        <f t="shared" si="37"/>
        <v>7.9828200972447325</v>
      </c>
      <c r="O80" s="11"/>
      <c r="P80" s="6">
        <v>814.99</v>
      </c>
      <c r="Q80" s="2"/>
      <c r="R80" s="7">
        <f t="shared" si="38"/>
        <v>6.8148509381489066E-4</v>
      </c>
      <c r="S80" s="2"/>
      <c r="T80" s="6">
        <v>41.61</v>
      </c>
      <c r="U80" s="2"/>
      <c r="V80" s="7">
        <f t="shared" si="39"/>
        <v>2.7760632997940277E-5</v>
      </c>
      <c r="W80" s="2"/>
      <c r="X80" s="6">
        <f t="shared" si="40"/>
        <v>773.38</v>
      </c>
      <c r="Y80" s="2"/>
      <c r="Z80" s="7">
        <f t="shared" si="41"/>
        <v>18.586397500600818</v>
      </c>
    </row>
    <row r="81" spans="1:26" s="24" customFormat="1" hidden="1" outlineLevel="2" x14ac:dyDescent="0.25">
      <c r="A81" s="25"/>
      <c r="B81" s="11" t="str">
        <f>CONCATENATE("          ", "6307", " - ", "POSTAGE")</f>
        <v xml:space="preserve">          6307 - POSTAGE</v>
      </c>
      <c r="C81" s="11"/>
      <c r="D81" s="6"/>
      <c r="E81" s="2"/>
      <c r="F81" s="7">
        <f t="shared" si="34"/>
        <v>0</v>
      </c>
      <c r="G81" s="2"/>
      <c r="H81" s="6"/>
      <c r="I81" s="2"/>
      <c r="J81" s="7">
        <f t="shared" si="35"/>
        <v>0</v>
      </c>
      <c r="K81" s="2"/>
      <c r="L81" s="6">
        <f t="shared" si="36"/>
        <v>0</v>
      </c>
      <c r="M81" s="2"/>
      <c r="N81" s="7">
        <f t="shared" si="37"/>
        <v>0</v>
      </c>
      <c r="O81" s="11"/>
      <c r="P81" s="6">
        <v>12.6</v>
      </c>
      <c r="Q81" s="2"/>
      <c r="R81" s="7">
        <f t="shared" si="38"/>
        <v>1.0535972443916639E-5</v>
      </c>
      <c r="S81" s="2"/>
      <c r="T81" s="6"/>
      <c r="U81" s="2"/>
      <c r="V81" s="7">
        <f t="shared" si="39"/>
        <v>0</v>
      </c>
      <c r="W81" s="2"/>
      <c r="X81" s="6">
        <f t="shared" si="40"/>
        <v>12.6</v>
      </c>
      <c r="Y81" s="2"/>
      <c r="Z81" s="7">
        <f t="shared" si="41"/>
        <v>0</v>
      </c>
    </row>
    <row r="82" spans="1:26" s="26" customFormat="1" outlineLevel="1" collapsed="1" x14ac:dyDescent="0.25">
      <c r="A82" s="27"/>
      <c r="B82" s="13" t="str">
        <f>CONCATENATE("     ","General                                           ")</f>
        <v xml:space="preserve">     General                                           </v>
      </c>
      <c r="C82" s="13"/>
      <c r="D82" s="1">
        <f>SUM(OSRRefD22_6x_0)</f>
        <v>0</v>
      </c>
      <c r="E82" s="1"/>
      <c r="F82" s="5">
        <f t="shared" ref="F82:F91" si="42">IF(D$12=0,0,D82/D$12)</f>
        <v>0</v>
      </c>
      <c r="G82" s="1"/>
      <c r="H82" s="1">
        <f>SUM(OSRRefH22_6x_0)</f>
        <v>0</v>
      </c>
      <c r="I82" s="1"/>
      <c r="J82" s="5">
        <f t="shared" ref="J82:J91" si="43">IF(H$12=0,0,H82/H$12)</f>
        <v>0</v>
      </c>
      <c r="K82" s="1"/>
      <c r="L82" s="1">
        <f t="shared" ref="L82:L91" si="44">+D82-H82</f>
        <v>0</v>
      </c>
      <c r="M82" s="1"/>
      <c r="N82" s="5">
        <f t="shared" ref="N82:N91" si="45">IF(H82=0,0,L82/H82)</f>
        <v>0</v>
      </c>
      <c r="O82" s="13"/>
      <c r="P82" s="1">
        <f>SUM(OSRRefP22_6x_0)</f>
        <v>-30.15</v>
      </c>
      <c r="Q82" s="1"/>
      <c r="R82" s="5">
        <f t="shared" ref="R82:R91" si="46">IF(P$12=0,0,P82/P$12)</f>
        <v>-2.5211076919371957E-5</v>
      </c>
      <c r="S82" s="1"/>
      <c r="T82" s="1">
        <f>SUM(OSRRefT22_6x_0)</f>
        <v>0</v>
      </c>
      <c r="U82" s="1"/>
      <c r="V82" s="5">
        <f t="shared" ref="V82:V91" si="47">IF(T$12=0,0,T82/T$12)</f>
        <v>0</v>
      </c>
      <c r="W82" s="1"/>
      <c r="X82" s="1">
        <f t="shared" ref="X82:X91" si="48">+P82-T82</f>
        <v>-30.15</v>
      </c>
      <c r="Y82" s="1"/>
      <c r="Z82" s="5">
        <f t="shared" ref="Z82:Z91" si="49">IF(T82=0,0,X82/T82)</f>
        <v>0</v>
      </c>
    </row>
    <row r="83" spans="1:26" s="24" customFormat="1" hidden="1" outlineLevel="2" x14ac:dyDescent="0.25">
      <c r="A83" s="25"/>
      <c r="B83" s="11" t="str">
        <f>CONCATENATE("          ", "6279", " - ", "GENERAL EXPENSE")</f>
        <v xml:space="preserve">          6279 - GENERAL EXPENSE</v>
      </c>
      <c r="C83" s="11"/>
      <c r="D83" s="6"/>
      <c r="E83" s="2"/>
      <c r="F83" s="7">
        <f t="shared" si="42"/>
        <v>0</v>
      </c>
      <c r="G83" s="2"/>
      <c r="H83" s="6"/>
      <c r="I83" s="2"/>
      <c r="J83" s="7">
        <f t="shared" si="43"/>
        <v>0</v>
      </c>
      <c r="K83" s="2"/>
      <c r="L83" s="6">
        <f t="shared" si="44"/>
        <v>0</v>
      </c>
      <c r="M83" s="2"/>
      <c r="N83" s="7">
        <f t="shared" si="45"/>
        <v>0</v>
      </c>
      <c r="O83" s="11"/>
      <c r="P83" s="6">
        <v>-30.15</v>
      </c>
      <c r="Q83" s="2"/>
      <c r="R83" s="7">
        <f t="shared" si="46"/>
        <v>-2.5211076919371957E-5</v>
      </c>
      <c r="S83" s="2"/>
      <c r="T83" s="6"/>
      <c r="U83" s="2"/>
      <c r="V83" s="7">
        <f t="shared" si="47"/>
        <v>0</v>
      </c>
      <c r="W83" s="2"/>
      <c r="X83" s="6">
        <f t="shared" si="48"/>
        <v>-30.15</v>
      </c>
      <c r="Y83" s="2"/>
      <c r="Z83" s="7">
        <f t="shared" si="49"/>
        <v>0</v>
      </c>
    </row>
    <row r="84" spans="1:26" s="26" customFormat="1" outlineLevel="1" collapsed="1" x14ac:dyDescent="0.25">
      <c r="A84" s="27"/>
      <c r="B84" s="13" t="str">
        <f>CONCATENATE("     ","Inventory Adjustment                              ")</f>
        <v xml:space="preserve">     Inventory Adjustment                              </v>
      </c>
      <c r="C84" s="13"/>
      <c r="D84" s="1">
        <f>SUM(OSRRefD22_7x_0)</f>
        <v>1250</v>
      </c>
      <c r="E84" s="1"/>
      <c r="F84" s="5">
        <f t="shared" si="42"/>
        <v>2.0909524154431387E-2</v>
      </c>
      <c r="G84" s="1"/>
      <c r="H84" s="1">
        <f>SUM(OSRRefH22_7x_0)</f>
        <v>0</v>
      </c>
      <c r="I84" s="1"/>
      <c r="J84" s="5">
        <f t="shared" si="43"/>
        <v>0</v>
      </c>
      <c r="K84" s="1"/>
      <c r="L84" s="1">
        <f t="shared" si="44"/>
        <v>1250</v>
      </c>
      <c r="M84" s="1"/>
      <c r="N84" s="5">
        <f t="shared" si="45"/>
        <v>0</v>
      </c>
      <c r="O84" s="13"/>
      <c r="P84" s="1">
        <f>SUM(OSRRefP22_7x_0)</f>
        <v>6250</v>
      </c>
      <c r="Q84" s="1"/>
      <c r="R84" s="5">
        <f t="shared" si="46"/>
        <v>5.2261768074983329E-3</v>
      </c>
      <c r="S84" s="1"/>
      <c r="T84" s="1">
        <f>SUM(OSRRefT22_7x_0)</f>
        <v>0</v>
      </c>
      <c r="U84" s="1"/>
      <c r="V84" s="5">
        <f t="shared" si="47"/>
        <v>0</v>
      </c>
      <c r="W84" s="1"/>
      <c r="X84" s="1">
        <f t="shared" si="48"/>
        <v>6250</v>
      </c>
      <c r="Y84" s="1"/>
      <c r="Z84" s="5">
        <f t="shared" si="49"/>
        <v>0</v>
      </c>
    </row>
    <row r="85" spans="1:26" s="24" customFormat="1" hidden="1" outlineLevel="2" x14ac:dyDescent="0.25">
      <c r="A85" s="25"/>
      <c r="B85" s="11" t="str">
        <f>CONCATENATE("          ", "6408", " - ", "INVENTORY ADJUSTMENT")</f>
        <v xml:space="preserve">          6408 - INVENTORY ADJUSTMENT</v>
      </c>
      <c r="C85" s="11"/>
      <c r="D85" s="6">
        <v>1250</v>
      </c>
      <c r="E85" s="2"/>
      <c r="F85" s="7">
        <f t="shared" si="42"/>
        <v>2.0909524154431387E-2</v>
      </c>
      <c r="G85" s="2"/>
      <c r="H85" s="6"/>
      <c r="I85" s="2"/>
      <c r="J85" s="7">
        <f t="shared" si="43"/>
        <v>0</v>
      </c>
      <c r="K85" s="2"/>
      <c r="L85" s="6">
        <f t="shared" si="44"/>
        <v>1250</v>
      </c>
      <c r="M85" s="2"/>
      <c r="N85" s="7">
        <f t="shared" si="45"/>
        <v>0</v>
      </c>
      <c r="O85" s="11"/>
      <c r="P85" s="6">
        <v>6250</v>
      </c>
      <c r="Q85" s="2"/>
      <c r="R85" s="7">
        <f t="shared" si="46"/>
        <v>5.2261768074983329E-3</v>
      </c>
      <c r="S85" s="2"/>
      <c r="T85" s="6"/>
      <c r="U85" s="2"/>
      <c r="V85" s="7">
        <f t="shared" si="47"/>
        <v>0</v>
      </c>
      <c r="W85" s="2"/>
      <c r="X85" s="6">
        <f t="shared" si="48"/>
        <v>6250</v>
      </c>
      <c r="Y85" s="2"/>
      <c r="Z85" s="7">
        <f t="shared" si="49"/>
        <v>0</v>
      </c>
    </row>
    <row r="86" spans="1:26" s="26" customFormat="1" outlineLevel="1" collapsed="1" x14ac:dyDescent="0.25">
      <c r="A86" s="27"/>
      <c r="B86" s="13" t="str">
        <f>CONCATENATE("     ","Subscriptions &amp; Dues                              ")</f>
        <v xml:space="preserve">     Subscriptions &amp; Dues                              </v>
      </c>
      <c r="C86" s="13"/>
      <c r="D86" s="1">
        <f>SUM(OSRRefD22_8x_0)</f>
        <v>0</v>
      </c>
      <c r="E86" s="1"/>
      <c r="F86" s="5">
        <f t="shared" si="42"/>
        <v>0</v>
      </c>
      <c r="G86" s="1"/>
      <c r="H86" s="1">
        <f>SUM(OSRRefH22_8x_0)</f>
        <v>0</v>
      </c>
      <c r="I86" s="1"/>
      <c r="J86" s="5">
        <f t="shared" si="43"/>
        <v>0</v>
      </c>
      <c r="K86" s="1"/>
      <c r="L86" s="1">
        <f t="shared" si="44"/>
        <v>0</v>
      </c>
      <c r="M86" s="1"/>
      <c r="N86" s="5">
        <f t="shared" si="45"/>
        <v>0</v>
      </c>
      <c r="O86" s="13"/>
      <c r="P86" s="1">
        <f>SUM(OSRRefP22_8x_0)</f>
        <v>0</v>
      </c>
      <c r="Q86" s="1"/>
      <c r="R86" s="5">
        <f t="shared" si="46"/>
        <v>0</v>
      </c>
      <c r="S86" s="1"/>
      <c r="T86" s="1">
        <f>SUM(OSRRefT22_8x_0)</f>
        <v>-5000</v>
      </c>
      <c r="U86" s="1"/>
      <c r="V86" s="5">
        <f t="shared" si="47"/>
        <v>-3.3358126649772023E-3</v>
      </c>
      <c r="W86" s="1"/>
      <c r="X86" s="1">
        <f t="shared" si="48"/>
        <v>5000</v>
      </c>
      <c r="Y86" s="1"/>
      <c r="Z86" s="5">
        <f t="shared" si="49"/>
        <v>-1</v>
      </c>
    </row>
    <row r="87" spans="1:26" s="24" customFormat="1" hidden="1" outlineLevel="2" x14ac:dyDescent="0.25">
      <c r="A87" s="25"/>
      <c r="B87" s="11" t="str">
        <f>CONCATENATE("          ", "6258", " - ", "MEMBERSHIP DUES")</f>
        <v xml:space="preserve">          6258 - MEMBERSHIP DUES</v>
      </c>
      <c r="C87" s="11"/>
      <c r="D87" s="6"/>
      <c r="E87" s="2"/>
      <c r="F87" s="7">
        <f t="shared" si="42"/>
        <v>0</v>
      </c>
      <c r="G87" s="2"/>
      <c r="H87" s="6"/>
      <c r="I87" s="2"/>
      <c r="J87" s="7">
        <f t="shared" si="43"/>
        <v>0</v>
      </c>
      <c r="K87" s="2"/>
      <c r="L87" s="6">
        <f t="shared" si="44"/>
        <v>0</v>
      </c>
      <c r="M87" s="2"/>
      <c r="N87" s="7">
        <f t="shared" si="45"/>
        <v>0</v>
      </c>
      <c r="O87" s="11"/>
      <c r="P87" s="6"/>
      <c r="Q87" s="2"/>
      <c r="R87" s="7">
        <f t="shared" si="46"/>
        <v>0</v>
      </c>
      <c r="S87" s="2"/>
      <c r="T87" s="6">
        <v>-5000</v>
      </c>
      <c r="U87" s="2"/>
      <c r="V87" s="7">
        <f t="shared" si="47"/>
        <v>-3.3358126649772023E-3</v>
      </c>
      <c r="W87" s="2"/>
      <c r="X87" s="6">
        <f t="shared" si="48"/>
        <v>5000</v>
      </c>
      <c r="Y87" s="2"/>
      <c r="Z87" s="7">
        <f t="shared" si="49"/>
        <v>-1</v>
      </c>
    </row>
    <row r="88" spans="1:26" s="26" customFormat="1" outlineLevel="1" collapsed="1" x14ac:dyDescent="0.25">
      <c r="A88" s="27"/>
      <c r="B88" s="13" t="str">
        <f>CONCATENATE("     ","Supplies                                          ")</f>
        <v xml:space="preserve">     Supplies                                          </v>
      </c>
      <c r="C88" s="13"/>
      <c r="D88" s="1">
        <f>SUM(OSRRefD22_9x_0)</f>
        <v>176.21</v>
      </c>
      <c r="E88" s="1"/>
      <c r="F88" s="5">
        <f t="shared" si="42"/>
        <v>2.947573801001884E-3</v>
      </c>
      <c r="G88" s="1"/>
      <c r="H88" s="1">
        <f>SUM(OSRRefH22_9x_0)</f>
        <v>1145.08</v>
      </c>
      <c r="I88" s="1"/>
      <c r="J88" s="5">
        <f t="shared" si="43"/>
        <v>7.1353292954968398E-3</v>
      </c>
      <c r="K88" s="1"/>
      <c r="L88" s="1">
        <f t="shared" si="44"/>
        <v>-968.86999999999989</v>
      </c>
      <c r="M88" s="1"/>
      <c r="N88" s="5">
        <f t="shared" si="45"/>
        <v>-0.84611555524504833</v>
      </c>
      <c r="O88" s="13"/>
      <c r="P88" s="1">
        <f>SUM(OSRRefP22_9x_0)</f>
        <v>1700.71</v>
      </c>
      <c r="Q88" s="1"/>
      <c r="R88" s="5">
        <f t="shared" si="46"/>
        <v>1.4221137853248783E-3</v>
      </c>
      <c r="S88" s="1"/>
      <c r="T88" s="1">
        <f>SUM(OSRRefT22_9x_0)</f>
        <v>2702.03</v>
      </c>
      <c r="U88" s="1"/>
      <c r="V88" s="5">
        <f t="shared" si="47"/>
        <v>1.8026931790296702E-3</v>
      </c>
      <c r="W88" s="1"/>
      <c r="X88" s="1">
        <f t="shared" si="48"/>
        <v>-1001.3200000000002</v>
      </c>
      <c r="Y88" s="1"/>
      <c r="Z88" s="5">
        <f t="shared" si="49"/>
        <v>-0.37058063752067893</v>
      </c>
    </row>
    <row r="89" spans="1:26" s="24" customFormat="1" hidden="1" outlineLevel="2" x14ac:dyDescent="0.25">
      <c r="A89" s="25"/>
      <c r="B89" s="11" t="str">
        <f>CONCATENATE("          ", "6235", " - ", "COVID-19 EXPENSES")</f>
        <v xml:space="preserve">          6235 - COVID-19 EXPENSES</v>
      </c>
      <c r="C89" s="11"/>
      <c r="D89" s="6"/>
      <c r="E89" s="2"/>
      <c r="F89" s="7">
        <f t="shared" si="42"/>
        <v>0</v>
      </c>
      <c r="G89" s="2"/>
      <c r="H89" s="6"/>
      <c r="I89" s="2"/>
      <c r="J89" s="7">
        <f t="shared" si="43"/>
        <v>0</v>
      </c>
      <c r="K89" s="2"/>
      <c r="L89" s="6">
        <f t="shared" si="44"/>
        <v>0</v>
      </c>
      <c r="M89" s="2"/>
      <c r="N89" s="7">
        <f t="shared" si="45"/>
        <v>0</v>
      </c>
      <c r="O89" s="11"/>
      <c r="P89" s="6">
        <v>668.12</v>
      </c>
      <c r="Q89" s="2"/>
      <c r="R89" s="7">
        <f t="shared" si="46"/>
        <v>5.5867411978012581E-4</v>
      </c>
      <c r="S89" s="2"/>
      <c r="T89" s="6"/>
      <c r="U89" s="2"/>
      <c r="V89" s="7">
        <f t="shared" si="47"/>
        <v>0</v>
      </c>
      <c r="W89" s="2"/>
      <c r="X89" s="6">
        <f t="shared" si="48"/>
        <v>668.12</v>
      </c>
      <c r="Y89" s="2"/>
      <c r="Z89" s="7">
        <f t="shared" si="49"/>
        <v>0</v>
      </c>
    </row>
    <row r="90" spans="1:26" s="24" customFormat="1" hidden="1" outlineLevel="2" x14ac:dyDescent="0.25">
      <c r="A90" s="25"/>
      <c r="B90" s="11" t="str">
        <f>CONCATENATE("          ", "6241", " - ", "OFFICE EXPENSE")</f>
        <v xml:space="preserve">          6241 - OFFICE EXPENSE</v>
      </c>
      <c r="C90" s="11"/>
      <c r="D90" s="6">
        <v>176.21</v>
      </c>
      <c r="E90" s="2"/>
      <c r="F90" s="7">
        <f t="shared" si="42"/>
        <v>2.947573801001884E-3</v>
      </c>
      <c r="G90" s="2"/>
      <c r="H90" s="6">
        <v>76.349999999999994</v>
      </c>
      <c r="I90" s="2"/>
      <c r="J90" s="7">
        <f t="shared" si="43"/>
        <v>4.7575924102349508E-4</v>
      </c>
      <c r="K90" s="2"/>
      <c r="L90" s="6">
        <f t="shared" si="44"/>
        <v>99.860000000000014</v>
      </c>
      <c r="M90" s="2"/>
      <c r="N90" s="7">
        <f t="shared" si="45"/>
        <v>1.3079240340537004</v>
      </c>
      <c r="O90" s="11"/>
      <c r="P90" s="6">
        <v>1032.5899999999999</v>
      </c>
      <c r="Q90" s="2"/>
      <c r="R90" s="7">
        <f t="shared" si="46"/>
        <v>8.6343966554475247E-4</v>
      </c>
      <c r="S90" s="2"/>
      <c r="T90" s="6">
        <v>692.65</v>
      </c>
      <c r="U90" s="2"/>
      <c r="V90" s="7">
        <f t="shared" si="47"/>
        <v>4.6211012847929183E-4</v>
      </c>
      <c r="W90" s="2"/>
      <c r="X90" s="6">
        <f t="shared" si="48"/>
        <v>339.93999999999994</v>
      </c>
      <c r="Y90" s="2"/>
      <c r="Z90" s="7">
        <f t="shared" si="49"/>
        <v>0.49078178011982959</v>
      </c>
    </row>
    <row r="91" spans="1:26" s="24" customFormat="1" hidden="1" outlineLevel="2" x14ac:dyDescent="0.25">
      <c r="A91" s="25"/>
      <c r="B91" s="11" t="str">
        <f>CONCATENATE("          ", "6247", " - ", "STORE SUPPLIES")</f>
        <v xml:space="preserve">          6247 - STORE SUPPLIES</v>
      </c>
      <c r="C91" s="11"/>
      <c r="D91" s="6"/>
      <c r="E91" s="2"/>
      <c r="F91" s="7">
        <f t="shared" si="42"/>
        <v>0</v>
      </c>
      <c r="G91" s="2"/>
      <c r="H91" s="6">
        <v>1068.73</v>
      </c>
      <c r="I91" s="2"/>
      <c r="J91" s="7">
        <f t="shared" si="43"/>
        <v>6.659570054473346E-3</v>
      </c>
      <c r="K91" s="2"/>
      <c r="L91" s="6">
        <f t="shared" si="44"/>
        <v>-1068.73</v>
      </c>
      <c r="M91" s="2"/>
      <c r="N91" s="7">
        <f t="shared" si="45"/>
        <v>-1</v>
      </c>
      <c r="O91" s="11"/>
      <c r="P91" s="6"/>
      <c r="Q91" s="2"/>
      <c r="R91" s="7">
        <f t="shared" si="46"/>
        <v>0</v>
      </c>
      <c r="S91" s="2"/>
      <c r="T91" s="6">
        <v>2009.38</v>
      </c>
      <c r="U91" s="2"/>
      <c r="V91" s="7">
        <f t="shared" si="47"/>
        <v>1.3405830505503783E-3</v>
      </c>
      <c r="W91" s="2"/>
      <c r="X91" s="6">
        <f t="shared" si="48"/>
        <v>-2009.38</v>
      </c>
      <c r="Y91" s="2"/>
      <c r="Z91" s="7">
        <f t="shared" si="49"/>
        <v>-1</v>
      </c>
    </row>
    <row r="92" spans="1:26" s="26" customFormat="1" outlineLevel="1" collapsed="1" x14ac:dyDescent="0.25">
      <c r="A92" s="27"/>
      <c r="B92" s="13" t="str">
        <f>CONCATENATE("     ","Telephone/Data Lines                              ")</f>
        <v xml:space="preserve">     Telephone/Data Lines                              </v>
      </c>
      <c r="C92" s="13"/>
      <c r="D92" s="1">
        <f>SUM(OSRRefD22_10x_0)</f>
        <v>304.5</v>
      </c>
      <c r="E92" s="1"/>
      <c r="F92" s="5">
        <f t="shared" ref="F92:F97" si="50">IF(D$12=0,0,D92/D$12)</f>
        <v>5.0935600840194863E-3</v>
      </c>
      <c r="G92" s="1"/>
      <c r="H92" s="1">
        <f>SUM(OSRRefH22_10x_0)</f>
        <v>258.35000000000002</v>
      </c>
      <c r="I92" s="1"/>
      <c r="J92" s="5">
        <f t="shared" ref="J92:J97" si="51">IF(H$12=0,0,H92/H$12)</f>
        <v>1.6098546158273737E-3</v>
      </c>
      <c r="K92" s="1"/>
      <c r="L92" s="1">
        <f t="shared" ref="L92:L97" si="52">+D92-H92</f>
        <v>46.149999999999977</v>
      </c>
      <c r="M92" s="1"/>
      <c r="N92" s="5">
        <f t="shared" ref="N92:N97" si="53">IF(H92=0,0,L92/H92)</f>
        <v>0.17863363653957798</v>
      </c>
      <c r="O92" s="13"/>
      <c r="P92" s="1">
        <f>SUM(OSRRefP22_10x_0)</f>
        <v>1570.35</v>
      </c>
      <c r="Q92" s="1"/>
      <c r="R92" s="5">
        <f t="shared" ref="R92:R97" si="54">IF(P$12=0,0,P92/P$12)</f>
        <v>1.313108279944801E-3</v>
      </c>
      <c r="S92" s="1"/>
      <c r="T92" s="1">
        <f>SUM(OSRRefT22_10x_0)</f>
        <v>1279.1500000000001</v>
      </c>
      <c r="U92" s="1"/>
      <c r="V92" s="5">
        <f t="shared" ref="V92:V97" si="55">IF(T$12=0,0,T92/T$12)</f>
        <v>8.5340095408111775E-4</v>
      </c>
      <c r="W92" s="1"/>
      <c r="X92" s="1">
        <f t="shared" ref="X92:X97" si="56">+P92-T92</f>
        <v>291.19999999999982</v>
      </c>
      <c r="Y92" s="1"/>
      <c r="Z92" s="5">
        <f t="shared" ref="Z92:Z97" si="57">IF(T92=0,0,X92/T92)</f>
        <v>0.22765117460813805</v>
      </c>
    </row>
    <row r="93" spans="1:26" s="24" customFormat="1" hidden="1" outlineLevel="2" x14ac:dyDescent="0.25">
      <c r="A93" s="25"/>
      <c r="B93" s="11" t="str">
        <f>CONCATENATE("          ", "6309", " - ", "TELEPHONE")</f>
        <v xml:space="preserve">          6309 - TELEPHONE</v>
      </c>
      <c r="C93" s="11"/>
      <c r="D93" s="6">
        <v>304.5</v>
      </c>
      <c r="E93" s="2"/>
      <c r="F93" s="7">
        <f t="shared" si="50"/>
        <v>5.0935600840194863E-3</v>
      </c>
      <c r="G93" s="2"/>
      <c r="H93" s="6">
        <v>258.35000000000002</v>
      </c>
      <c r="I93" s="2"/>
      <c r="J93" s="7">
        <f t="shared" si="51"/>
        <v>1.6098546158273737E-3</v>
      </c>
      <c r="K93" s="2"/>
      <c r="L93" s="6">
        <f t="shared" si="52"/>
        <v>46.149999999999977</v>
      </c>
      <c r="M93" s="2"/>
      <c r="N93" s="7">
        <f t="shared" si="53"/>
        <v>0.17863363653957798</v>
      </c>
      <c r="O93" s="11"/>
      <c r="P93" s="6">
        <v>1570.35</v>
      </c>
      <c r="Q93" s="2"/>
      <c r="R93" s="7">
        <f t="shared" si="54"/>
        <v>1.313108279944801E-3</v>
      </c>
      <c r="S93" s="2"/>
      <c r="T93" s="6">
        <v>1279.1500000000001</v>
      </c>
      <c r="U93" s="2"/>
      <c r="V93" s="7">
        <f t="shared" si="55"/>
        <v>8.5340095408111775E-4</v>
      </c>
      <c r="W93" s="2"/>
      <c r="X93" s="6">
        <f t="shared" si="56"/>
        <v>291.19999999999982</v>
      </c>
      <c r="Y93" s="2"/>
      <c r="Z93" s="7">
        <f t="shared" si="57"/>
        <v>0.22765117460813805</v>
      </c>
    </row>
    <row r="94" spans="1:26" s="26" customFormat="1" outlineLevel="1" collapsed="1" x14ac:dyDescent="0.25">
      <c r="A94" s="27"/>
      <c r="B94" s="13" t="str">
        <f>CONCATENATE("     ","Training                                          ")</f>
        <v xml:space="preserve">     Training                                          </v>
      </c>
      <c r="C94" s="13"/>
      <c r="D94" s="1">
        <f>SUM(OSRRefD22_11x_0)</f>
        <v>0</v>
      </c>
      <c r="E94" s="1"/>
      <c r="F94" s="5">
        <f t="shared" si="50"/>
        <v>0</v>
      </c>
      <c r="G94" s="1"/>
      <c r="H94" s="1">
        <f>SUM(OSRRefH22_11x_0)</f>
        <v>1123.6400000000001</v>
      </c>
      <c r="I94" s="1"/>
      <c r="J94" s="5">
        <f t="shared" si="51"/>
        <v>7.0017303678276376E-3</v>
      </c>
      <c r="K94" s="1"/>
      <c r="L94" s="1">
        <f t="shared" si="52"/>
        <v>-1123.6400000000001</v>
      </c>
      <c r="M94" s="1"/>
      <c r="N94" s="5">
        <f t="shared" si="53"/>
        <v>-1</v>
      </c>
      <c r="O94" s="13"/>
      <c r="P94" s="1">
        <f>SUM(OSRRefP22_11x_0)</f>
        <v>100</v>
      </c>
      <c r="Q94" s="1"/>
      <c r="R94" s="5">
        <f t="shared" si="54"/>
        <v>8.3618828919973322E-5</v>
      </c>
      <c r="S94" s="1"/>
      <c r="T94" s="1">
        <f>SUM(OSRRefT22_11x_0)</f>
        <v>1163.6400000000001</v>
      </c>
      <c r="U94" s="1"/>
      <c r="V94" s="5">
        <f t="shared" si="55"/>
        <v>7.7633700989481445E-4</v>
      </c>
      <c r="W94" s="1"/>
      <c r="X94" s="1">
        <f t="shared" si="56"/>
        <v>-1063.6400000000001</v>
      </c>
      <c r="Y94" s="1"/>
      <c r="Z94" s="5">
        <f t="shared" si="57"/>
        <v>-0.91406276855384827</v>
      </c>
    </row>
    <row r="95" spans="1:26" s="24" customFormat="1" hidden="1" outlineLevel="2" x14ac:dyDescent="0.25">
      <c r="A95" s="25"/>
      <c r="B95" s="11" t="str">
        <f>CONCATENATE("          ", "6376", " - ", "TRAINING")</f>
        <v xml:space="preserve">          6376 - TRAINING</v>
      </c>
      <c r="C95" s="11"/>
      <c r="D95" s="6"/>
      <c r="E95" s="2"/>
      <c r="F95" s="7">
        <f t="shared" si="50"/>
        <v>0</v>
      </c>
      <c r="G95" s="2"/>
      <c r="H95" s="6">
        <v>1123.6400000000001</v>
      </c>
      <c r="I95" s="2"/>
      <c r="J95" s="7">
        <f t="shared" si="51"/>
        <v>7.0017303678276376E-3</v>
      </c>
      <c r="K95" s="2"/>
      <c r="L95" s="6">
        <f t="shared" si="52"/>
        <v>-1123.6400000000001</v>
      </c>
      <c r="M95" s="2"/>
      <c r="N95" s="7">
        <f t="shared" si="53"/>
        <v>-1</v>
      </c>
      <c r="O95" s="11"/>
      <c r="P95" s="6">
        <v>100</v>
      </c>
      <c r="Q95" s="2"/>
      <c r="R95" s="7">
        <f t="shared" si="54"/>
        <v>8.3618828919973322E-5</v>
      </c>
      <c r="S95" s="2"/>
      <c r="T95" s="6">
        <v>1163.6400000000001</v>
      </c>
      <c r="U95" s="2"/>
      <c r="V95" s="7">
        <f t="shared" si="55"/>
        <v>7.7633700989481445E-4</v>
      </c>
      <c r="W95" s="2"/>
      <c r="X95" s="6">
        <f t="shared" si="56"/>
        <v>-1063.6400000000001</v>
      </c>
      <c r="Y95" s="2"/>
      <c r="Z95" s="7">
        <f t="shared" si="57"/>
        <v>-0.91406276855384827</v>
      </c>
    </row>
    <row r="96" spans="1:26" s="26" customFormat="1" outlineLevel="1" collapsed="1" x14ac:dyDescent="0.25">
      <c r="A96" s="27"/>
      <c r="B96" s="13" t="str">
        <f>CONCATENATE("     ","Travel                                            ")</f>
        <v xml:space="preserve">     Travel                                            </v>
      </c>
      <c r="C96" s="13"/>
      <c r="D96" s="1">
        <f>SUM(OSRRefD22_12x_0)</f>
        <v>0</v>
      </c>
      <c r="E96" s="1"/>
      <c r="F96" s="5">
        <f t="shared" si="50"/>
        <v>0</v>
      </c>
      <c r="G96" s="1"/>
      <c r="H96" s="1">
        <f>SUM(OSRRefH22_12x_0)</f>
        <v>-178.06</v>
      </c>
      <c r="I96" s="1"/>
      <c r="J96" s="5">
        <f t="shared" si="51"/>
        <v>-1.1095440793273549E-3</v>
      </c>
      <c r="K96" s="1"/>
      <c r="L96" s="1">
        <f t="shared" si="52"/>
        <v>178.06</v>
      </c>
      <c r="M96" s="1"/>
      <c r="N96" s="5">
        <f t="shared" si="53"/>
        <v>-1</v>
      </c>
      <c r="O96" s="13"/>
      <c r="P96" s="1">
        <f>SUM(OSRRefP22_12x_0)</f>
        <v>0</v>
      </c>
      <c r="Q96" s="1"/>
      <c r="R96" s="5">
        <f t="shared" si="54"/>
        <v>0</v>
      </c>
      <c r="S96" s="1"/>
      <c r="T96" s="1">
        <f>SUM(OSRRefT22_12x_0)</f>
        <v>-178.06</v>
      </c>
      <c r="U96" s="1"/>
      <c r="V96" s="5">
        <f t="shared" si="55"/>
        <v>-1.1879496062516813E-4</v>
      </c>
      <c r="W96" s="1"/>
      <c r="X96" s="1">
        <f t="shared" si="56"/>
        <v>178.06</v>
      </c>
      <c r="Y96" s="1"/>
      <c r="Z96" s="5">
        <f t="shared" si="57"/>
        <v>-1</v>
      </c>
    </row>
    <row r="97" spans="1:26" s="24" customFormat="1" hidden="1" outlineLevel="2" x14ac:dyDescent="0.25">
      <c r="A97" s="25"/>
      <c r="B97" s="11" t="str">
        <f>CONCATENATE("          ", "6292", " - ", "TRAVEL/CONFERENCE")</f>
        <v xml:space="preserve">          6292 - TRAVEL/CONFERENCE</v>
      </c>
      <c r="C97" s="11"/>
      <c r="D97" s="6"/>
      <c r="E97" s="2"/>
      <c r="F97" s="7">
        <f t="shared" si="50"/>
        <v>0</v>
      </c>
      <c r="G97" s="2"/>
      <c r="H97" s="6">
        <v>-178.06</v>
      </c>
      <c r="I97" s="2"/>
      <c r="J97" s="7">
        <f t="shared" si="51"/>
        <v>-1.1095440793273549E-3</v>
      </c>
      <c r="K97" s="2"/>
      <c r="L97" s="6">
        <f t="shared" si="52"/>
        <v>178.06</v>
      </c>
      <c r="M97" s="2"/>
      <c r="N97" s="7">
        <f t="shared" si="53"/>
        <v>-1</v>
      </c>
      <c r="O97" s="11"/>
      <c r="P97" s="6"/>
      <c r="Q97" s="2"/>
      <c r="R97" s="7">
        <f t="shared" si="54"/>
        <v>0</v>
      </c>
      <c r="S97" s="2"/>
      <c r="T97" s="6">
        <v>-178.06</v>
      </c>
      <c r="U97" s="2"/>
      <c r="V97" s="7">
        <f t="shared" si="55"/>
        <v>-1.1879496062516813E-4</v>
      </c>
      <c r="W97" s="2"/>
      <c r="X97" s="6">
        <f t="shared" si="56"/>
        <v>178.06</v>
      </c>
      <c r="Y97" s="2"/>
      <c r="Z97" s="7">
        <f t="shared" si="57"/>
        <v>-1</v>
      </c>
    </row>
    <row r="98" spans="1:26" s="53" customFormat="1" x14ac:dyDescent="0.25">
      <c r="A98" s="37"/>
      <c r="B98" s="37"/>
      <c r="C98" s="37"/>
      <c r="D98" s="1"/>
      <c r="E98" s="1"/>
      <c r="F98" s="5"/>
      <c r="G98" s="1"/>
      <c r="H98" s="1"/>
      <c r="I98" s="1"/>
      <c r="J98" s="5"/>
      <c r="K98" s="1"/>
      <c r="L98" s="1"/>
      <c r="M98" s="1"/>
      <c r="N98" s="5"/>
      <c r="O98" s="37"/>
      <c r="P98" s="1"/>
      <c r="Q98" s="1"/>
      <c r="R98" s="5"/>
      <c r="S98" s="1"/>
      <c r="T98" s="1"/>
      <c r="U98" s="1"/>
      <c r="V98" s="5"/>
      <c r="W98" s="1"/>
      <c r="X98" s="1"/>
      <c r="Y98" s="1"/>
      <c r="Z98" s="5"/>
    </row>
    <row r="99" spans="1:26" s="23" customFormat="1" collapsed="1" x14ac:dyDescent="0.25">
      <c r="A99" s="10"/>
      <c r="B99" s="29" t="s">
        <v>0</v>
      </c>
      <c r="C99" s="10"/>
      <c r="D99" s="4">
        <f>SUM(OSRRefD25x_0)</f>
        <v>-368.13</v>
      </c>
      <c r="E99" s="4"/>
      <c r="F99" s="12">
        <f t="shared" ref="F99:F102" si="58">IF(D$12=0,0,D99/D$12)</f>
        <v>-6.1579385015766612E-3</v>
      </c>
      <c r="G99" s="4"/>
      <c r="H99" s="4">
        <f>SUM(OSRRefH25x_0)</f>
        <v>942.8</v>
      </c>
      <c r="I99" s="4"/>
      <c r="J99" s="12">
        <f t="shared" ref="J99:J102" si="59">IF(H$12=0,0,H99/H$12)</f>
        <v>5.8748632932148154E-3</v>
      </c>
      <c r="K99" s="4"/>
      <c r="L99" s="4">
        <f t="shared" ref="L99:L102" si="60">+D99-H99</f>
        <v>-1310.9299999999998</v>
      </c>
      <c r="M99" s="4"/>
      <c r="N99" s="12">
        <f t="shared" ref="N99:N102" si="61">IF(H99=0,0,L99/H99)</f>
        <v>-1.3904645736105217</v>
      </c>
      <c r="O99" s="10"/>
      <c r="P99" s="4">
        <f>SUM(OSRRefP25x_0)</f>
        <v>755.11</v>
      </c>
      <c r="Q99" s="4"/>
      <c r="R99" s="12">
        <f t="shared" ref="R99:R102" si="62">IF(P$12=0,0,P99/P$12)</f>
        <v>6.3141413905761054E-4</v>
      </c>
      <c r="S99" s="4"/>
      <c r="T99" s="4">
        <f>SUM(OSRRefT25x_0)</f>
        <v>7231.7300000000005</v>
      </c>
      <c r="U99" s="4"/>
      <c r="V99" s="12">
        <f t="shared" ref="V99:V102" si="63">IF(T$12=0,0,T99/T$12)</f>
        <v>4.8247393047391174E-3</v>
      </c>
      <c r="W99" s="4"/>
      <c r="X99" s="4">
        <f t="shared" ref="X99:X102" si="64">+P99-T99</f>
        <v>-6476.6200000000008</v>
      </c>
      <c r="Y99" s="4"/>
      <c r="Z99" s="12">
        <f t="shared" ref="Z99:Z102" si="65">IF(T99=0,0,X99/T99)</f>
        <v>-0.89558376764619263</v>
      </c>
    </row>
    <row r="100" spans="1:26" s="24" customFormat="1" hidden="1" outlineLevel="1" x14ac:dyDescent="0.25">
      <c r="A100" s="44"/>
      <c r="B100" s="11" t="str">
        <f>CONCATENATE("          ", "4187", " - ", "NON-TAXABLE SALES-COMPUTER REP")</f>
        <v xml:space="preserve">          4187 - NON-TAXABLE SALES-COMPUTER REP</v>
      </c>
      <c r="C100" s="11"/>
      <c r="D100" s="2">
        <f>-374.75</f>
        <v>-374.75</v>
      </c>
      <c r="E100" s="2"/>
      <c r="F100" s="19">
        <f t="shared" si="58"/>
        <v>-6.2686753414985304E-3</v>
      </c>
      <c r="G100" s="2"/>
      <c r="H100" s="2">
        <f>--949.24</f>
        <v>949.24</v>
      </c>
      <c r="I100" s="2"/>
      <c r="J100" s="19">
        <f t="shared" si="59"/>
        <v>5.9149928218617228E-3</v>
      </c>
      <c r="K100" s="2"/>
      <c r="L100" s="2">
        <f t="shared" si="60"/>
        <v>-1323.99</v>
      </c>
      <c r="M100" s="2"/>
      <c r="N100" s="19">
        <f t="shared" si="61"/>
        <v>-1.3947895158231849</v>
      </c>
      <c r="O100" s="11"/>
      <c r="P100" s="2">
        <f>--563.21</f>
        <v>563.21</v>
      </c>
      <c r="Q100" s="2"/>
      <c r="R100" s="19">
        <f t="shared" si="62"/>
        <v>4.7094960636018181E-4</v>
      </c>
      <c r="S100" s="2"/>
      <c r="T100" s="2">
        <f>--12731.93</f>
        <v>12731.93</v>
      </c>
      <c r="U100" s="2"/>
      <c r="V100" s="19">
        <f t="shared" si="63"/>
        <v>8.4942666687206382E-3</v>
      </c>
      <c r="W100" s="2"/>
      <c r="X100" s="2">
        <f t="shared" si="64"/>
        <v>-12168.720000000001</v>
      </c>
      <c r="Y100" s="2"/>
      <c r="Z100" s="19">
        <f t="shared" si="65"/>
        <v>-0.95576397294047333</v>
      </c>
    </row>
    <row r="101" spans="1:26" s="24" customFormat="1" hidden="1" outlineLevel="1" x14ac:dyDescent="0.25">
      <c r="A101" s="44"/>
      <c r="B101" s="11" t="str">
        <f>CONCATENATE("          ", "4387", " - ", "SALES RETURN NON TAXABLE-COMPU")</f>
        <v xml:space="preserve">          4387 - SALES RETURN NON TAXABLE-COMPU</v>
      </c>
      <c r="C101" s="11"/>
      <c r="D101" s="2">
        <f>0</f>
        <v>0</v>
      </c>
      <c r="E101" s="2"/>
      <c r="F101" s="19">
        <f t="shared" si="58"/>
        <v>0</v>
      </c>
      <c r="G101" s="2"/>
      <c r="H101" s="2">
        <f>-1098.25</f>
        <v>-1098.25</v>
      </c>
      <c r="I101" s="2"/>
      <c r="J101" s="19">
        <f t="shared" si="59"/>
        <v>-6.8435178317492271E-3</v>
      </c>
      <c r="K101" s="2"/>
      <c r="L101" s="2">
        <f t="shared" si="60"/>
        <v>1098.25</v>
      </c>
      <c r="M101" s="2"/>
      <c r="N101" s="19">
        <f t="shared" si="61"/>
        <v>-1</v>
      </c>
      <c r="O101" s="11"/>
      <c r="P101" s="2">
        <f>0</f>
        <v>0</v>
      </c>
      <c r="Q101" s="2"/>
      <c r="R101" s="19">
        <f t="shared" si="62"/>
        <v>0</v>
      </c>
      <c r="S101" s="2"/>
      <c r="T101" s="2">
        <f>-7889</f>
        <v>-7889</v>
      </c>
      <c r="U101" s="2"/>
      <c r="V101" s="19">
        <f t="shared" si="63"/>
        <v>-5.26324522280103E-3</v>
      </c>
      <c r="W101" s="2"/>
      <c r="X101" s="2">
        <f t="shared" si="64"/>
        <v>7889</v>
      </c>
      <c r="Y101" s="2"/>
      <c r="Z101" s="19">
        <f t="shared" si="65"/>
        <v>-1</v>
      </c>
    </row>
    <row r="102" spans="1:26" s="24" customFormat="1" hidden="1" outlineLevel="1" x14ac:dyDescent="0.25">
      <c r="A102" s="44"/>
      <c r="B102" s="11" t="str">
        <f>CONCATENATE("          ", "9150", " - ", "MISC. INCOME")</f>
        <v xml:space="preserve">          9150 - MISC. INCOME</v>
      </c>
      <c r="C102" s="11"/>
      <c r="D102" s="2">
        <f>--6.62</f>
        <v>6.62</v>
      </c>
      <c r="E102" s="2"/>
      <c r="F102" s="19">
        <f t="shared" si="58"/>
        <v>1.1073683992186863E-4</v>
      </c>
      <c r="G102" s="2"/>
      <c r="H102" s="2">
        <f>--1091.81</f>
        <v>1091.81</v>
      </c>
      <c r="I102" s="2"/>
      <c r="J102" s="19">
        <f t="shared" si="59"/>
        <v>6.8033883031023206E-3</v>
      </c>
      <c r="K102" s="2"/>
      <c r="L102" s="2">
        <f t="shared" si="60"/>
        <v>-1085.19</v>
      </c>
      <c r="M102" s="2"/>
      <c r="N102" s="19">
        <f t="shared" si="61"/>
        <v>-0.99393667396341867</v>
      </c>
      <c r="O102" s="11"/>
      <c r="P102" s="2">
        <f>--191.9</f>
        <v>191.9</v>
      </c>
      <c r="Q102" s="2"/>
      <c r="R102" s="19">
        <f t="shared" si="62"/>
        <v>1.6046453269742881E-4</v>
      </c>
      <c r="S102" s="2"/>
      <c r="T102" s="2">
        <f>--2388.8</f>
        <v>2388.8000000000002</v>
      </c>
      <c r="U102" s="2"/>
      <c r="V102" s="19">
        <f t="shared" si="63"/>
        <v>1.5937178588195083E-3</v>
      </c>
      <c r="W102" s="2"/>
      <c r="X102" s="2">
        <f t="shared" si="64"/>
        <v>-2196.9</v>
      </c>
      <c r="Y102" s="2"/>
      <c r="Z102" s="19">
        <f t="shared" si="65"/>
        <v>-0.91966677829872734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10"/>
      <c r="B104" s="28" t="s">
        <v>3</v>
      </c>
      <c r="C104" s="28"/>
      <c r="D104" s="20">
        <f>+D54-D56+D99</f>
        <v>-13429.509999999993</v>
      </c>
      <c r="E104" s="14"/>
      <c r="F104" s="22">
        <f>IF(D$12=0,0,D104/D$12)</f>
        <v>-0.22464373098174217</v>
      </c>
      <c r="G104" s="14"/>
      <c r="H104" s="20">
        <f>+H54-H56+H99</f>
        <v>29596.329999999929</v>
      </c>
      <c r="I104" s="14"/>
      <c r="J104" s="22">
        <f>IF(H$12=0,0,H104/H$12)</f>
        <v>0.1844234118910395</v>
      </c>
      <c r="K104" s="15"/>
      <c r="L104" s="20">
        <f>+D104-H104</f>
        <v>-43025.839999999924</v>
      </c>
      <c r="M104" s="15"/>
      <c r="N104" s="22">
        <f>IF(H104=0,0,L104/H104)</f>
        <v>-1.4537559217646252</v>
      </c>
      <c r="O104" s="29"/>
      <c r="P104" s="20">
        <f>+P54-P56+P99</f>
        <v>-11364.529999999693</v>
      </c>
      <c r="Q104" s="14"/>
      <c r="R104" s="22">
        <f>IF(P$12=0,0,P104/P$12)</f>
        <v>-9.5028868982587889E-3</v>
      </c>
      <c r="S104" s="14"/>
      <c r="T104" s="20">
        <f>+T54-T56+T99</f>
        <v>54490.210000000072</v>
      </c>
      <c r="U104" s="14"/>
      <c r="V104" s="22">
        <f>IF(T$12=0,0,T104/T$12)</f>
        <v>3.6353826527053525E-2</v>
      </c>
      <c r="W104" s="15"/>
      <c r="X104" s="20">
        <f>+P104-T104</f>
        <v>-65854.739999999758</v>
      </c>
      <c r="Y104" s="15"/>
      <c r="Z104" s="22">
        <f>IF(T104=0,0,X104/T104)</f>
        <v>-1.2085609506735187</v>
      </c>
    </row>
    <row r="105" spans="1:26" x14ac:dyDescent="0.25">
      <c r="A105" s="9"/>
      <c r="B105" s="10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51"/>
      <c r="B106" s="10" t="s">
        <v>13</v>
      </c>
      <c r="C106" s="10"/>
      <c r="D106" s="4">
        <v>-56079.39</v>
      </c>
      <c r="E106" s="4"/>
      <c r="F106" s="12">
        <f>IF(D$12=0,0,D106/D$12)</f>
        <v>-0.9380746878166224</v>
      </c>
      <c r="G106" s="4"/>
      <c r="H106" s="4">
        <v>23994.560000000001</v>
      </c>
      <c r="I106" s="4"/>
      <c r="J106" s="12">
        <f>IF(H$12=0,0,H106/H$12)</f>
        <v>0.14951714020029752</v>
      </c>
      <c r="K106" s="4"/>
      <c r="L106" s="4">
        <f>+D106-H106</f>
        <v>-80073.95</v>
      </c>
      <c r="M106" s="4"/>
      <c r="N106" s="12">
        <f>IF(H106=0,0,L106/H106)</f>
        <v>-3.3371710087619859</v>
      </c>
      <c r="O106" s="10"/>
      <c r="P106" s="4">
        <v>190029</v>
      </c>
      <c r="Q106" s="4"/>
      <c r="R106" s="12">
        <f>IF(P$12=0,0,P106/P$12)</f>
        <v>0.15890002440833612</v>
      </c>
      <c r="S106" s="4"/>
      <c r="T106" s="4">
        <v>158721.79999999999</v>
      </c>
      <c r="U106" s="4"/>
      <c r="V106" s="12">
        <f>IF(T$12=0,0,T106/T$12)</f>
        <v>0.1058932381295957</v>
      </c>
      <c r="W106" s="4"/>
      <c r="X106" s="4">
        <f>+P106-T106</f>
        <v>31307.200000000012</v>
      </c>
      <c r="Y106" s="4"/>
      <c r="Z106" s="12">
        <f>IF(T106=0,0,X106/T106)</f>
        <v>0.19724574696103506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8" t="s">
        <v>4</v>
      </c>
      <c r="C108" s="28"/>
      <c r="D108" s="31">
        <f>+D104-D106</f>
        <v>42649.880000000005</v>
      </c>
      <c r="E108" s="14"/>
      <c r="F108" s="34">
        <f>IF(D$12=0,0,D108/D$12)</f>
        <v>0.71343095683488023</v>
      </c>
      <c r="G108" s="14"/>
      <c r="H108" s="31">
        <f>+H104-H106</f>
        <v>5601.7699999999277</v>
      </c>
      <c r="I108" s="14"/>
      <c r="J108" s="34">
        <f>IF(H$12=0,0,H108/H$12)</f>
        <v>3.4906271690741973E-2</v>
      </c>
      <c r="K108" s="15"/>
      <c r="L108" s="31">
        <f>D108-H108</f>
        <v>37048.110000000073</v>
      </c>
      <c r="M108" s="15"/>
      <c r="N108" s="34">
        <f>IF(H108=0,0,L108/H108)</f>
        <v>6.6136435448082569</v>
      </c>
      <c r="O108" s="29"/>
      <c r="P108" s="31">
        <f>+P104-P106</f>
        <v>-201393.52999999968</v>
      </c>
      <c r="Q108" s="14"/>
      <c r="R108" s="34">
        <f>IF(P$12=0,0,P108/P$12)</f>
        <v>-0.16840291130659488</v>
      </c>
      <c r="S108" s="14"/>
      <c r="T108" s="31">
        <f>+T104-T106</f>
        <v>-104231.58999999991</v>
      </c>
      <c r="U108" s="14"/>
      <c r="V108" s="34">
        <f>IF(T$12=0,0,T108/T$12)</f>
        <v>-6.9539411602542164E-2</v>
      </c>
      <c r="W108" s="15"/>
      <c r="X108" s="31">
        <f>P108-T108</f>
        <v>-97161.939999999769</v>
      </c>
      <c r="Y108" s="15"/>
      <c r="Z108" s="34">
        <f>IF(T108=0,0,X108/T108)</f>
        <v>0.93217363373234408</v>
      </c>
    </row>
    <row r="109" spans="1:26" ht="15.75" thickTop="1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8" t="s">
        <v>5</v>
      </c>
      <c r="C111" s="28"/>
      <c r="D111" s="32">
        <f>SUM(D108:D110)</f>
        <v>42649.880000000005</v>
      </c>
      <c r="E111" s="14"/>
      <c r="F111" s="30">
        <f>IF(D$12=0,0,D111/D$12)</f>
        <v>0.71343095683488023</v>
      </c>
      <c r="G111" s="14"/>
      <c r="H111" s="32">
        <f>SUM(H108:H110)</f>
        <v>5601.7699999999277</v>
      </c>
      <c r="I111" s="14"/>
      <c r="J111" s="30">
        <f>IF(H$12=0,0,H111/H$12)</f>
        <v>3.4906271690741973E-2</v>
      </c>
      <c r="K111" s="15"/>
      <c r="L111" s="32">
        <f>+D111-H111</f>
        <v>37048.110000000073</v>
      </c>
      <c r="M111" s="15"/>
      <c r="N111" s="30">
        <f>IF(H111=0,0,L111/H111)</f>
        <v>6.6136435448082569</v>
      </c>
      <c r="O111" s="29"/>
      <c r="P111" s="32">
        <f>SUM(P108:P110)</f>
        <v>-201393.52999999968</v>
      </c>
      <c r="Q111" s="14"/>
      <c r="R111" s="30">
        <f>IF(P$12=0,0,P111/P$12)</f>
        <v>-0.16840291130659488</v>
      </c>
      <c r="S111" s="14"/>
      <c r="T111" s="32">
        <f>SUM(T108:T110)</f>
        <v>-104231.58999999991</v>
      </c>
      <c r="U111" s="14"/>
      <c r="V111" s="30">
        <f>IF(T$12=0,0,T111/T$12)</f>
        <v>-6.9539411602542164E-2</v>
      </c>
      <c r="W111" s="15"/>
      <c r="X111" s="32">
        <f>+P111-T111</f>
        <v>-97161.939999999769</v>
      </c>
      <c r="Y111" s="15"/>
      <c r="Z111" s="30">
        <f>IF(T111=0,0,X111/T111)</f>
        <v>0.93217363373234408</v>
      </c>
    </row>
    <row r="112" spans="1:26" ht="15.75" thickTop="1" x14ac:dyDescent="0.25">
      <c r="A112" s="9"/>
      <c r="C112" s="9"/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1:24" x14ac:dyDescent="0.25">
      <c r="A113" s="9"/>
      <c r="B113" s="54">
        <v>44174.685301122685</v>
      </c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  <row r="114" spans="1:24" x14ac:dyDescent="0.25">
      <c r="A114" s="9"/>
      <c r="B114" s="56" t="s">
        <v>313</v>
      </c>
      <c r="D114" s="17"/>
      <c r="E114" s="17"/>
      <c r="G114" s="17"/>
      <c r="H114" s="17"/>
      <c r="I114" s="17"/>
      <c r="J114" s="43"/>
      <c r="K114" s="17"/>
      <c r="L114" s="17"/>
      <c r="M114" s="17"/>
      <c r="P114" s="17"/>
      <c r="Q114" s="17"/>
      <c r="R114" s="43"/>
      <c r="S114" s="17"/>
      <c r="T114" s="17"/>
      <c r="U114" s="17"/>
      <c r="V114" s="43"/>
      <c r="W114" s="17"/>
      <c r="X114" s="17"/>
    </row>
    <row r="115" spans="1:24" x14ac:dyDescent="0.25">
      <c r="A115" s="9"/>
      <c r="B115" s="61"/>
      <c r="D115" s="17"/>
      <c r="E115" s="17"/>
      <c r="G115" s="17"/>
      <c r="H115" s="17"/>
      <c r="I115" s="17"/>
      <c r="J115" s="43"/>
      <c r="K115" s="17"/>
      <c r="L115" s="17"/>
      <c r="M115" s="17"/>
      <c r="P115" s="17"/>
      <c r="Q115" s="17"/>
      <c r="R115" s="43"/>
      <c r="S115" s="17"/>
      <c r="T115" s="17"/>
      <c r="U115" s="17"/>
      <c r="V115" s="43"/>
      <c r="W115" s="17"/>
      <c r="X115" s="17"/>
    </row>
    <row r="116" spans="1:24" x14ac:dyDescent="0.25">
      <c r="D116" s="17"/>
      <c r="E116" s="17"/>
      <c r="G116" s="17"/>
      <c r="H116" s="17"/>
      <c r="I116" s="17"/>
      <c r="J116" s="43"/>
      <c r="K116" s="17"/>
      <c r="L116" s="17"/>
      <c r="M116" s="17"/>
      <c r="P116" s="17"/>
      <c r="Q116" s="17"/>
      <c r="R116" s="43"/>
      <c r="S116" s="17"/>
      <c r="T116" s="17"/>
      <c r="U116" s="17"/>
      <c r="V116" s="43"/>
      <c r="W116" s="17"/>
      <c r="X116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","317", " - ", "Computer Store")</f>
        <v>Department 317 - Computer Store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59781.37</v>
      </c>
      <c r="E12" s="4"/>
      <c r="F12" s="12"/>
      <c r="G12" s="4"/>
      <c r="H12" s="4">
        <f>SUM(OSRRefH13x_0)</f>
        <v>160480.32999999993</v>
      </c>
      <c r="I12" s="4"/>
      <c r="J12" s="12"/>
      <c r="K12" s="4"/>
      <c r="L12" s="4">
        <f t="shared" ref="L12:L37" si="0">+D12-H12</f>
        <v>-100698.95999999993</v>
      </c>
      <c r="M12" s="4"/>
      <c r="N12" s="12">
        <f t="shared" ref="N12:N37" si="1">IF(H12=0,0,L12/H12)</f>
        <v>-0.62748475155802574</v>
      </c>
      <c r="O12" s="10"/>
      <c r="P12" s="4">
        <f>SUM(OSRRefP13x_0)</f>
        <v>1195902.9000000004</v>
      </c>
      <c r="Q12" s="4"/>
      <c r="R12" s="12"/>
      <c r="S12" s="4"/>
      <c r="T12" s="4">
        <f>SUM(OSRRefT13x_0)</f>
        <v>1498885.13</v>
      </c>
      <c r="U12" s="4"/>
      <c r="V12" s="12"/>
      <c r="W12" s="4"/>
      <c r="X12" s="4">
        <f t="shared" ref="X12:X37" si="2">+P12-T12</f>
        <v>-302982.22999999952</v>
      </c>
      <c r="Y12" s="4"/>
      <c r="Z12" s="12">
        <f t="shared" ref="Z12:Z37" si="3">IF(T12=0,0,X12/T12)</f>
        <v>-0.20213839201940681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-142.02</f>
        <v>-142.02000000000001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-142.02000000000001</v>
      </c>
      <c r="M13" s="2"/>
      <c r="N13" s="19">
        <f t="shared" si="1"/>
        <v>0</v>
      </c>
      <c r="O13" s="11"/>
      <c r="P13" s="2">
        <f>-2044.11</f>
        <v>-2044.11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-2044.11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--973.93</f>
        <v>973.93</v>
      </c>
      <c r="E14" s="2"/>
      <c r="F14" s="19"/>
      <c r="G14" s="2"/>
      <c r="H14" s="2">
        <f>--16123.77</f>
        <v>16123.77</v>
      </c>
      <c r="I14" s="2"/>
      <c r="J14" s="19"/>
      <c r="K14" s="2"/>
      <c r="L14" s="2">
        <f t="shared" si="0"/>
        <v>-15149.84</v>
      </c>
      <c r="M14" s="2"/>
      <c r="N14" s="19">
        <f t="shared" si="1"/>
        <v>-0.93959663279741645</v>
      </c>
      <c r="O14" s="11"/>
      <c r="P14" s="2">
        <f>--56019.27</f>
        <v>56019.27</v>
      </c>
      <c r="Q14" s="2"/>
      <c r="R14" s="19"/>
      <c r="S14" s="2"/>
      <c r="T14" s="2">
        <f>--229580.58</f>
        <v>229580.58</v>
      </c>
      <c r="U14" s="2"/>
      <c r="V14" s="19"/>
      <c r="W14" s="2"/>
      <c r="X14" s="2">
        <f t="shared" si="2"/>
        <v>-173561.31</v>
      </c>
      <c r="Y14" s="2"/>
      <c r="Z14" s="19">
        <f t="shared" si="3"/>
        <v>-0.7559929938324923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--57494.9</f>
        <v>57494.9</v>
      </c>
      <c r="E15" s="2"/>
      <c r="F15" s="19"/>
      <c r="G15" s="2"/>
      <c r="H15" s="2">
        <f>--134369.21</f>
        <v>134369.21</v>
      </c>
      <c r="I15" s="2"/>
      <c r="J15" s="19"/>
      <c r="K15" s="2"/>
      <c r="L15" s="2">
        <f t="shared" si="0"/>
        <v>-76874.31</v>
      </c>
      <c r="M15" s="2"/>
      <c r="N15" s="19">
        <f t="shared" si="1"/>
        <v>-0.57211253977008569</v>
      </c>
      <c r="O15" s="11"/>
      <c r="P15" s="2">
        <f>--949594.89</f>
        <v>949594.89</v>
      </c>
      <c r="Q15" s="2"/>
      <c r="R15" s="19"/>
      <c r="S15" s="2"/>
      <c r="T15" s="2">
        <f>--1282768.84</f>
        <v>1282768.8400000001</v>
      </c>
      <c r="U15" s="2"/>
      <c r="V15" s="19"/>
      <c r="W15" s="2"/>
      <c r="X15" s="2">
        <f t="shared" si="2"/>
        <v>-333173.95000000007</v>
      </c>
      <c r="Y15" s="2"/>
      <c r="Z15" s="19">
        <f t="shared" si="3"/>
        <v>-0.25973031119153162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--4805.85</f>
        <v>4805.8500000000004</v>
      </c>
      <c r="E16" s="2"/>
      <c r="F16" s="19"/>
      <c r="G16" s="2"/>
      <c r="H16" s="2">
        <f>--9897.8</f>
        <v>9897.7999999999993</v>
      </c>
      <c r="I16" s="2"/>
      <c r="J16" s="19"/>
      <c r="K16" s="2"/>
      <c r="L16" s="2">
        <f t="shared" si="0"/>
        <v>-5091.9499999999989</v>
      </c>
      <c r="M16" s="2"/>
      <c r="N16" s="19">
        <f t="shared" si="1"/>
        <v>-0.51445270666208642</v>
      </c>
      <c r="O16" s="11"/>
      <c r="P16" s="2">
        <f>--76850.95</f>
        <v>76850.95</v>
      </c>
      <c r="Q16" s="2"/>
      <c r="R16" s="19"/>
      <c r="S16" s="2"/>
      <c r="T16" s="2">
        <f>--63504.02</f>
        <v>63504.02</v>
      </c>
      <c r="U16" s="2"/>
      <c r="V16" s="19"/>
      <c r="W16" s="2"/>
      <c r="X16" s="2">
        <f t="shared" si="2"/>
        <v>13346.93</v>
      </c>
      <c r="Y16" s="2"/>
      <c r="Z16" s="19">
        <f t="shared" si="3"/>
        <v>0.21017456847613744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>0</f>
        <v>0</v>
      </c>
      <c r="E17" s="2"/>
      <c r="F17" s="19"/>
      <c r="G17" s="2"/>
      <c r="H17" s="2">
        <f t="shared" ref="H17:H18" si="4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>--378.99</f>
        <v>378.99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378.99</v>
      </c>
      <c r="M18" s="2"/>
      <c r="N18" s="19">
        <f t="shared" si="1"/>
        <v>0</v>
      </c>
      <c r="O18" s="11"/>
      <c r="P18" s="2">
        <f>--1499.95</f>
        <v>1499.95</v>
      </c>
      <c r="Q18" s="2"/>
      <c r="R18" s="19"/>
      <c r="S18" s="2"/>
      <c r="T18" s="2">
        <f>--4407.94</f>
        <v>4407.9399999999996</v>
      </c>
      <c r="U18" s="2"/>
      <c r="V18" s="19"/>
      <c r="W18" s="2"/>
      <c r="X18" s="2">
        <f t="shared" si="2"/>
        <v>-2907.99</v>
      </c>
      <c r="Y18" s="2"/>
      <c r="Z18" s="19">
        <f t="shared" si="3"/>
        <v>-0.65971633007708819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--260.94</f>
        <v>260.94</v>
      </c>
      <c r="E19" s="2"/>
      <c r="F19" s="19"/>
      <c r="G19" s="2"/>
      <c r="H19" s="2">
        <f>--3769.61</f>
        <v>3769.61</v>
      </c>
      <c r="I19" s="2"/>
      <c r="J19" s="19"/>
      <c r="K19" s="2"/>
      <c r="L19" s="2">
        <f t="shared" si="0"/>
        <v>-3508.67</v>
      </c>
      <c r="M19" s="2"/>
      <c r="N19" s="19">
        <f t="shared" si="1"/>
        <v>-0.93077798499048969</v>
      </c>
      <c r="O19" s="11"/>
      <c r="P19" s="2">
        <f>--29627.6</f>
        <v>29627.599999999999</v>
      </c>
      <c r="Q19" s="2"/>
      <c r="R19" s="19"/>
      <c r="S19" s="2"/>
      <c r="T19" s="2">
        <f>--30367.91</f>
        <v>30367.91</v>
      </c>
      <c r="U19" s="2"/>
      <c r="V19" s="19"/>
      <c r="W19" s="2"/>
      <c r="X19" s="2">
        <f t="shared" si="2"/>
        <v>-740.31000000000131</v>
      </c>
      <c r="Y19" s="2"/>
      <c r="Z19" s="19">
        <f t="shared" si="3"/>
        <v>-2.437803589381032E-2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0</f>
        <v>0</v>
      </c>
      <c r="E20" s="2"/>
      <c r="F20" s="19"/>
      <c r="G20" s="2"/>
      <c r="H20" s="2">
        <f>--118.97</f>
        <v>118.97</v>
      </c>
      <c r="I20" s="2"/>
      <c r="J20" s="19"/>
      <c r="K20" s="2"/>
      <c r="L20" s="2">
        <f t="shared" si="0"/>
        <v>-118.97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f>--936.91</f>
        <v>936.91</v>
      </c>
      <c r="U20" s="2"/>
      <c r="V20" s="19"/>
      <c r="W20" s="2"/>
      <c r="X20" s="2">
        <f t="shared" si="2"/>
        <v>-936.91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"4181", " - ", "NON-TAXABLE SALES-ELECTRONICS")</f>
        <v xml:space="preserve">          4181 - NON-TAXABLE SALES-ELECTRONICS</v>
      </c>
      <c r="C21" s="11"/>
      <c r="D21" s="2">
        <f>--29.99</f>
        <v>29.99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29.99</v>
      </c>
      <c r="M21" s="2"/>
      <c r="N21" s="19">
        <f t="shared" si="1"/>
        <v>0</v>
      </c>
      <c r="O21" s="11"/>
      <c r="P21" s="2">
        <f>--3534.12</f>
        <v>3534.12</v>
      </c>
      <c r="Q21" s="2"/>
      <c r="R21" s="19"/>
      <c r="S21" s="2"/>
      <c r="T21" s="2">
        <f>--1462.51</f>
        <v>1462.51</v>
      </c>
      <c r="U21" s="2"/>
      <c r="V21" s="19"/>
      <c r="W21" s="2"/>
      <c r="X21" s="2">
        <f t="shared" si="2"/>
        <v>2071.6099999999997</v>
      </c>
      <c r="Y21" s="2"/>
      <c r="Z21" s="19">
        <f t="shared" si="3"/>
        <v>1.4164757847809586</v>
      </c>
    </row>
    <row r="22" spans="1:26" s="24" customFormat="1" hidden="1" outlineLevel="1" x14ac:dyDescent="0.25">
      <c r="A22" s="44"/>
      <c r="B22" s="11" t="str">
        <f>CONCATENATE("          ", "4182", " - ", "NON-TAXABLE SALES-COMPUTER HAR")</f>
        <v xml:space="preserve">          4182 - NON-TAXABLE SALES-COMPUTER HAR</v>
      </c>
      <c r="C22" s="11"/>
      <c r="D22" s="2">
        <f>--9499.97</f>
        <v>9499.9699999999993</v>
      </c>
      <c r="E22" s="2"/>
      <c r="F22" s="19"/>
      <c r="G22" s="2"/>
      <c r="H22" s="2">
        <f>--5749</f>
        <v>5749</v>
      </c>
      <c r="I22" s="2"/>
      <c r="J22" s="19"/>
      <c r="K22" s="2"/>
      <c r="L22" s="2">
        <f t="shared" si="0"/>
        <v>3750.9699999999993</v>
      </c>
      <c r="M22" s="2"/>
      <c r="N22" s="19">
        <f t="shared" si="1"/>
        <v>0.6524560793181422</v>
      </c>
      <c r="O22" s="11"/>
      <c r="P22" s="2">
        <f>--154794.35</f>
        <v>154794.35</v>
      </c>
      <c r="Q22" s="2"/>
      <c r="R22" s="19"/>
      <c r="S22" s="2"/>
      <c r="T22" s="2">
        <f>--62309</f>
        <v>62309</v>
      </c>
      <c r="U22" s="2"/>
      <c r="V22" s="19"/>
      <c r="W22" s="2"/>
      <c r="X22" s="2">
        <f t="shared" si="2"/>
        <v>92485.35</v>
      </c>
      <c r="Y22" s="2"/>
      <c r="Z22" s="19">
        <f t="shared" si="3"/>
        <v>1.4843016257683481</v>
      </c>
    </row>
    <row r="23" spans="1:26" s="24" customFormat="1" hidden="1" outlineLevel="1" x14ac:dyDescent="0.25">
      <c r="A23" s="44"/>
      <c r="B23" s="11" t="str">
        <f>CONCATENATE("          ", "4183", " - ", "NON-TAXABLE SALES-COMPUTER EQU")</f>
        <v xml:space="preserve">          4183 - NON-TAXABLE SALES-COMPUTER EQU</v>
      </c>
      <c r="C23" s="11"/>
      <c r="D23" s="2">
        <f>--1033.89</f>
        <v>1033.8900000000001</v>
      </c>
      <c r="E23" s="2"/>
      <c r="F23" s="19"/>
      <c r="G23" s="2"/>
      <c r="H23" s="2">
        <f>--249.96</f>
        <v>249.96</v>
      </c>
      <c r="I23" s="2"/>
      <c r="J23" s="19"/>
      <c r="K23" s="2"/>
      <c r="L23" s="2">
        <f t="shared" si="0"/>
        <v>783.93000000000006</v>
      </c>
      <c r="M23" s="2"/>
      <c r="N23" s="19">
        <f t="shared" si="1"/>
        <v>3.1362217954872782</v>
      </c>
      <c r="O23" s="11"/>
      <c r="P23" s="2">
        <f>--7370.28</f>
        <v>7370.28</v>
      </c>
      <c r="Q23" s="2"/>
      <c r="R23" s="19"/>
      <c r="S23" s="2"/>
      <c r="T23" s="2">
        <f>--3304.88</f>
        <v>3304.88</v>
      </c>
      <c r="U23" s="2"/>
      <c r="V23" s="19"/>
      <c r="W23" s="2"/>
      <c r="X23" s="2">
        <f t="shared" si="2"/>
        <v>4065.3999999999996</v>
      </c>
      <c r="Y23" s="2"/>
      <c r="Z23" s="19">
        <f t="shared" si="3"/>
        <v>1.2301203069400399</v>
      </c>
    </row>
    <row r="24" spans="1:26" s="24" customFormat="1" hidden="1" outlineLevel="1" x14ac:dyDescent="0.25">
      <c r="A24" s="44"/>
      <c r="B24" s="11" t="str">
        <f>CONCATENATE("          ", "4184", " - ", "NON-TAXABLE SALES-SOFTWARE LIC")</f>
        <v xml:space="preserve">          4184 - NON-TAXABLE SALES-SOFTWARE LIC</v>
      </c>
      <c r="C24" s="11"/>
      <c r="D24" s="2">
        <f>0</f>
        <v>0</v>
      </c>
      <c r="E24" s="2"/>
      <c r="F24" s="19"/>
      <c r="G24" s="2"/>
      <c r="H24" s="2">
        <f>--1206</f>
        <v>1206</v>
      </c>
      <c r="I24" s="2"/>
      <c r="J24" s="19"/>
      <c r="K24" s="2"/>
      <c r="L24" s="2">
        <f t="shared" si="0"/>
        <v>-1206</v>
      </c>
      <c r="M24" s="2"/>
      <c r="N24" s="19">
        <f t="shared" si="1"/>
        <v>-1</v>
      </c>
      <c r="O24" s="11"/>
      <c r="P24" s="2">
        <f>0</f>
        <v>0</v>
      </c>
      <c r="Q24" s="2"/>
      <c r="R24" s="19"/>
      <c r="S24" s="2"/>
      <c r="T24" s="2">
        <f>--2728</f>
        <v>2728</v>
      </c>
      <c r="U24" s="2"/>
      <c r="V24" s="19"/>
      <c r="W24" s="2"/>
      <c r="X24" s="2">
        <f t="shared" si="2"/>
        <v>-2728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"4185", " - ", "NON-TAXABLE SALES-SOFTWARE")</f>
        <v xml:space="preserve">          4185 - NON-TAXABLE SALES-SOFTWARE</v>
      </c>
      <c r="C25" s="11"/>
      <c r="D25" s="2">
        <f>--1989.89</f>
        <v>1989.89</v>
      </c>
      <c r="E25" s="2"/>
      <c r="F25" s="19"/>
      <c r="G25" s="2"/>
      <c r="H25" s="2">
        <f>--495.98</f>
        <v>495.98</v>
      </c>
      <c r="I25" s="2"/>
      <c r="J25" s="19"/>
      <c r="K25" s="2"/>
      <c r="L25" s="2">
        <f t="shared" si="0"/>
        <v>1493.91</v>
      </c>
      <c r="M25" s="2"/>
      <c r="N25" s="19">
        <f t="shared" si="1"/>
        <v>3.0120367756764388</v>
      </c>
      <c r="O25" s="11"/>
      <c r="P25" s="2">
        <f>--25806.74</f>
        <v>25806.74</v>
      </c>
      <c r="Q25" s="2"/>
      <c r="R25" s="19"/>
      <c r="S25" s="2"/>
      <c r="T25" s="2">
        <f>--8963.87</f>
        <v>8963.8700000000008</v>
      </c>
      <c r="U25" s="2"/>
      <c r="V25" s="19"/>
      <c r="W25" s="2"/>
      <c r="X25" s="2">
        <f t="shared" si="2"/>
        <v>16842.870000000003</v>
      </c>
      <c r="Y25" s="2"/>
      <c r="Z25" s="19">
        <f t="shared" si="3"/>
        <v>1.8789730328529977</v>
      </c>
    </row>
    <row r="26" spans="1:26" s="24" customFormat="1" hidden="1" outlineLevel="1" x14ac:dyDescent="0.25">
      <c r="A26" s="44"/>
      <c r="B26" s="11" t="str">
        <f>CONCATENATE("          ", "4186", " - ", "NON-TAXABLE SALES-COMPUTER SUP")</f>
        <v xml:space="preserve">          4186 - NON-TAXABLE SALES-COMPUTER SUP</v>
      </c>
      <c r="C26" s="11"/>
      <c r="D26" s="2">
        <f>--44</f>
        <v>44</v>
      </c>
      <c r="E26" s="2"/>
      <c r="F26" s="19"/>
      <c r="G26" s="2"/>
      <c r="H26" s="2">
        <f>--49.99</f>
        <v>49.99</v>
      </c>
      <c r="I26" s="2"/>
      <c r="J26" s="19"/>
      <c r="K26" s="2"/>
      <c r="L26" s="2">
        <f t="shared" si="0"/>
        <v>-5.990000000000002</v>
      </c>
      <c r="M26" s="2"/>
      <c r="N26" s="19">
        <f t="shared" si="1"/>
        <v>-0.11982396479295862</v>
      </c>
      <c r="O26" s="11"/>
      <c r="P26" s="2">
        <f>--1773.77</f>
        <v>1773.77</v>
      </c>
      <c r="Q26" s="2"/>
      <c r="R26" s="19"/>
      <c r="S26" s="2"/>
      <c r="T26" s="2">
        <f>--1603.37</f>
        <v>1603.37</v>
      </c>
      <c r="U26" s="2"/>
      <c r="V26" s="19"/>
      <c r="W26" s="2"/>
      <c r="X26" s="2">
        <f t="shared" si="2"/>
        <v>170.40000000000009</v>
      </c>
      <c r="Y26" s="2"/>
      <c r="Z26" s="19">
        <f t="shared" si="3"/>
        <v>0.10627615584674785</v>
      </c>
    </row>
    <row r="27" spans="1:26" s="24" customFormat="1" hidden="1" outlineLevel="1" x14ac:dyDescent="0.25">
      <c r="A27" s="44"/>
      <c r="B27" s="11" t="str">
        <f>CONCATENATE("          ", "4188", " - ", "NON-TAXABLE SALES-MUSIC")</f>
        <v xml:space="preserve">          4188 - NON-TAXABLE SALES-MUSIC</v>
      </c>
      <c r="C27" s="11"/>
      <c r="D27" s="2">
        <f t="shared" ref="D27:D28" si="5">0</f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0</f>
        <v>0</v>
      </c>
      <c r="Q27" s="2"/>
      <c r="R27" s="19"/>
      <c r="S27" s="2"/>
      <c r="T27" s="2">
        <f>--219.96</f>
        <v>219.96</v>
      </c>
      <c r="U27" s="2"/>
      <c r="V27" s="19"/>
      <c r="W27" s="2"/>
      <c r="X27" s="2">
        <f t="shared" si="2"/>
        <v>-219.96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"4281", " - ", "SALES RETURN TAXABLE-ELECTRONI")</f>
        <v xml:space="preserve">          4281 - SALES RETURN TAXABLE-ELECTRONI</v>
      </c>
      <c r="C28" s="11"/>
      <c r="D28" s="2">
        <f t="shared" si="5"/>
        <v>0</v>
      </c>
      <c r="E28" s="2"/>
      <c r="F28" s="19"/>
      <c r="G28" s="2"/>
      <c r="H28" s="2">
        <f>-445.93</f>
        <v>-445.93</v>
      </c>
      <c r="I28" s="2"/>
      <c r="J28" s="19"/>
      <c r="K28" s="2"/>
      <c r="L28" s="2">
        <f t="shared" si="0"/>
        <v>445.93</v>
      </c>
      <c r="M28" s="2"/>
      <c r="N28" s="19">
        <f t="shared" si="1"/>
        <v>-1</v>
      </c>
      <c r="O28" s="11"/>
      <c r="P28" s="2">
        <f>-14632.15</f>
        <v>-14632.15</v>
      </c>
      <c r="Q28" s="2"/>
      <c r="R28" s="19"/>
      <c r="S28" s="2"/>
      <c r="T28" s="2">
        <f>-5002.08</f>
        <v>-5002.08</v>
      </c>
      <c r="U28" s="2"/>
      <c r="V28" s="19"/>
      <c r="W28" s="2"/>
      <c r="X28" s="2">
        <f t="shared" si="2"/>
        <v>-9630.07</v>
      </c>
      <c r="Y28" s="2"/>
      <c r="Z28" s="19">
        <f t="shared" si="3"/>
        <v>1.9252131113456801</v>
      </c>
    </row>
    <row r="29" spans="1:26" s="24" customFormat="1" hidden="1" outlineLevel="1" x14ac:dyDescent="0.25">
      <c r="A29" s="44"/>
      <c r="B29" s="11" t="str">
        <f>CONCATENATE("          ", "4282", " - ", "SALES RETURN TAXABLE-COMPUTER")</f>
        <v xml:space="preserve">          4282 - SALES RETURN TAXABLE-COMPUTER</v>
      </c>
      <c r="C29" s="11"/>
      <c r="D29" s="2">
        <f>-15761.01</f>
        <v>-15761.01</v>
      </c>
      <c r="E29" s="2"/>
      <c r="F29" s="19"/>
      <c r="G29" s="2"/>
      <c r="H29" s="2">
        <f>-10339.73</f>
        <v>-10339.73</v>
      </c>
      <c r="I29" s="2"/>
      <c r="J29" s="19"/>
      <c r="K29" s="2"/>
      <c r="L29" s="2">
        <f t="shared" si="0"/>
        <v>-5421.2800000000007</v>
      </c>
      <c r="M29" s="2"/>
      <c r="N29" s="19">
        <f t="shared" si="1"/>
        <v>0.52431543183429363</v>
      </c>
      <c r="O29" s="11"/>
      <c r="P29" s="2">
        <f>-84084.01</f>
        <v>-84084.01</v>
      </c>
      <c r="Q29" s="2"/>
      <c r="R29" s="19"/>
      <c r="S29" s="2"/>
      <c r="T29" s="2">
        <f>-180477.59</f>
        <v>-180477.59</v>
      </c>
      <c r="U29" s="2"/>
      <c r="V29" s="19"/>
      <c r="W29" s="2"/>
      <c r="X29" s="2">
        <f t="shared" si="2"/>
        <v>96393.58</v>
      </c>
      <c r="Y29" s="2"/>
      <c r="Z29" s="19">
        <f t="shared" si="3"/>
        <v>-0.53410276588910566</v>
      </c>
    </row>
    <row r="30" spans="1:26" s="24" customFormat="1" hidden="1" outlineLevel="1" x14ac:dyDescent="0.25">
      <c r="A30" s="44"/>
      <c r="B30" s="11" t="str">
        <f>CONCATENATE("          ", "4283", " - ", "SALES RETURN TAXABLE-COMPUTER")</f>
        <v xml:space="preserve">          4283 - SALES RETURN TAXABLE-COMPUTER</v>
      </c>
      <c r="C30" s="11"/>
      <c r="D30" s="2">
        <f>-678.96</f>
        <v>-678.96</v>
      </c>
      <c r="E30" s="2"/>
      <c r="F30" s="19"/>
      <c r="G30" s="2"/>
      <c r="H30" s="2">
        <f>-423.91</f>
        <v>-423.91</v>
      </c>
      <c r="I30" s="2"/>
      <c r="J30" s="19"/>
      <c r="K30" s="2"/>
      <c r="L30" s="2">
        <f t="shared" si="0"/>
        <v>-255.05</v>
      </c>
      <c r="M30" s="2"/>
      <c r="N30" s="19">
        <f t="shared" si="1"/>
        <v>0.60166072987190677</v>
      </c>
      <c r="O30" s="11"/>
      <c r="P30" s="2">
        <f>-3311.27</f>
        <v>-3311.27</v>
      </c>
      <c r="Q30" s="2"/>
      <c r="R30" s="19"/>
      <c r="S30" s="2"/>
      <c r="T30" s="2">
        <f>-2956.24</f>
        <v>-2956.24</v>
      </c>
      <c r="U30" s="2"/>
      <c r="V30" s="19"/>
      <c r="W30" s="2"/>
      <c r="X30" s="2">
        <f t="shared" si="2"/>
        <v>-355.0300000000002</v>
      </c>
      <c r="Y30" s="2"/>
      <c r="Z30" s="19">
        <f t="shared" si="3"/>
        <v>0.12009512082916145</v>
      </c>
    </row>
    <row r="31" spans="1:26" s="24" customFormat="1" hidden="1" outlineLevel="1" x14ac:dyDescent="0.25">
      <c r="A31" s="44"/>
      <c r="B31" s="11" t="str">
        <f>CONCATENATE("          ", "4284", " - ", "SALES RETURN TAXABLE-SOFTWARE")</f>
        <v xml:space="preserve">          4284 - SALES RETURN TAXABLE-SOFTWARE</v>
      </c>
      <c r="C31" s="11"/>
      <c r="D31" s="2">
        <f>0</f>
        <v>0</v>
      </c>
      <c r="E31" s="2"/>
      <c r="F31" s="19"/>
      <c r="G31" s="2"/>
      <c r="H31" s="2">
        <f t="shared" ref="H31:H32" si="6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-129</f>
        <v>-129</v>
      </c>
      <c r="U31" s="2"/>
      <c r="V31" s="19"/>
      <c r="W31" s="2"/>
      <c r="X31" s="2">
        <f t="shared" si="2"/>
        <v>129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"4285", " - ", "SALES RETURN TAXABLE-SOFTWARE")</f>
        <v xml:space="preserve">          4285 - SALES RETURN TAXABLE-SOFTWARE</v>
      </c>
      <c r="C32" s="11"/>
      <c r="D32" s="2">
        <f>-139</f>
        <v>-139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-139</v>
      </c>
      <c r="M32" s="2"/>
      <c r="N32" s="19">
        <f t="shared" si="1"/>
        <v>0</v>
      </c>
      <c r="O32" s="11"/>
      <c r="P32" s="2">
        <f>-691.98</f>
        <v>-691.98</v>
      </c>
      <c r="Q32" s="2"/>
      <c r="R32" s="19"/>
      <c r="S32" s="2"/>
      <c r="T32" s="2">
        <f>-655.98</f>
        <v>-655.98</v>
      </c>
      <c r="U32" s="2"/>
      <c r="V32" s="19"/>
      <c r="W32" s="2"/>
      <c r="X32" s="2">
        <f t="shared" si="2"/>
        <v>-36</v>
      </c>
      <c r="Y32" s="2"/>
      <c r="Z32" s="19">
        <f t="shared" si="3"/>
        <v>5.4879721942742155E-2</v>
      </c>
    </row>
    <row r="33" spans="1:26" s="24" customFormat="1" hidden="1" outlineLevel="1" x14ac:dyDescent="0.25">
      <c r="A33" s="44"/>
      <c r="B33" s="11" t="str">
        <f>CONCATENATE("          ", "4286", " - ", "SALES RETURN TAXABLE-COMPUTER")</f>
        <v xml:space="preserve">          4286 - SALES RETURN TAXABLE-COMPUTER</v>
      </c>
      <c r="C33" s="11"/>
      <c r="D33" s="2">
        <f>-9.99</f>
        <v>-9.99</v>
      </c>
      <c r="E33" s="2"/>
      <c r="F33" s="19"/>
      <c r="G33" s="2"/>
      <c r="H33" s="2">
        <f>-340.39</f>
        <v>-340.39</v>
      </c>
      <c r="I33" s="2"/>
      <c r="J33" s="19"/>
      <c r="K33" s="2"/>
      <c r="L33" s="2">
        <f t="shared" si="0"/>
        <v>330.4</v>
      </c>
      <c r="M33" s="2"/>
      <c r="N33" s="19">
        <f t="shared" si="1"/>
        <v>-0.97065131173066188</v>
      </c>
      <c r="O33" s="11"/>
      <c r="P33" s="2">
        <f>-581.35</f>
        <v>-581.35</v>
      </c>
      <c r="Q33" s="2"/>
      <c r="R33" s="19"/>
      <c r="S33" s="2"/>
      <c r="T33" s="2">
        <f>-2791.99</f>
        <v>-2791.99</v>
      </c>
      <c r="U33" s="2"/>
      <c r="V33" s="19"/>
      <c r="W33" s="2"/>
      <c r="X33" s="2">
        <f t="shared" si="2"/>
        <v>2210.64</v>
      </c>
      <c r="Y33" s="2"/>
      <c r="Z33" s="19">
        <f t="shared" si="3"/>
        <v>-0.79177934018388318</v>
      </c>
    </row>
    <row r="34" spans="1:26" s="24" customFormat="1" hidden="1" outlineLevel="1" x14ac:dyDescent="0.25">
      <c r="A34" s="44"/>
      <c r="B34" s="11" t="str">
        <f>CONCATENATE("          ", "4288", " - ", "TAXABLE SALES RETURN-MUSIC")</f>
        <v xml:space="preserve">          4288 - TAXABLE SALES RETURN-MUSIC</v>
      </c>
      <c r="C34" s="11"/>
      <c r="D34" s="2">
        <f t="shared" ref="D34:D37" si="7">0</f>
        <v>0</v>
      </c>
      <c r="E34" s="2"/>
      <c r="F34" s="19"/>
      <c r="G34" s="2"/>
      <c r="H34" s="2">
        <f t="shared" ref="H34:H37" si="8"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0</f>
        <v>0</v>
      </c>
      <c r="Q34" s="2"/>
      <c r="R34" s="19"/>
      <c r="S34" s="2"/>
      <c r="T34" s="2">
        <f>-3.99</f>
        <v>-3.99</v>
      </c>
      <c r="U34" s="2"/>
      <c r="V34" s="19"/>
      <c r="W34" s="2"/>
      <c r="X34" s="2">
        <f t="shared" si="2"/>
        <v>3.99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"4381", " - ", "SALES RETURN NON TAXABLE-ELECT")</f>
        <v xml:space="preserve">          4381 - SALES RETURN NON TAXABLE-ELECT</v>
      </c>
      <c r="C35" s="11"/>
      <c r="D35" s="2">
        <f t="shared" si="7"/>
        <v>0</v>
      </c>
      <c r="E35" s="2"/>
      <c r="F35" s="19"/>
      <c r="G35" s="2"/>
      <c r="H35" s="2">
        <f t="shared" si="8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-5624.15</f>
        <v>-5624.15</v>
      </c>
      <c r="Q35" s="2"/>
      <c r="R35" s="19"/>
      <c r="S35" s="2"/>
      <c r="T35" s="2">
        <f>-1279.84</f>
        <v>-1279.8399999999999</v>
      </c>
      <c r="U35" s="2"/>
      <c r="V35" s="19"/>
      <c r="W35" s="2"/>
      <c r="X35" s="2">
        <f t="shared" si="2"/>
        <v>-4344.3099999999995</v>
      </c>
      <c r="Y35" s="2"/>
      <c r="Z35" s="19">
        <f t="shared" si="3"/>
        <v>3.3944164895611948</v>
      </c>
    </row>
    <row r="36" spans="1:26" s="24" customFormat="1" hidden="1" outlineLevel="1" x14ac:dyDescent="0.25">
      <c r="A36" s="44"/>
      <c r="B36" s="11" t="str">
        <f>CONCATENATE("          ", "4383", " - ", "SALES RETURN NON TAXABLE-COMPU")</f>
        <v xml:space="preserve">          4383 - SALES RETURN NON TAXABLE-COMPU</v>
      </c>
      <c r="C36" s="11"/>
      <c r="D36" s="2">
        <f t="shared" si="7"/>
        <v>0</v>
      </c>
      <c r="E36" s="2"/>
      <c r="F36" s="19"/>
      <c r="G36" s="2"/>
      <c r="H36" s="2">
        <f t="shared" si="8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 t="shared" ref="P36:P37" si="9">0</f>
        <v>0</v>
      </c>
      <c r="Q36" s="2"/>
      <c r="R36" s="19"/>
      <c r="S36" s="2"/>
      <c r="T36" s="2">
        <f>-49.98</f>
        <v>-49.98</v>
      </c>
      <c r="U36" s="2"/>
      <c r="V36" s="19"/>
      <c r="W36" s="2"/>
      <c r="X36" s="2">
        <f t="shared" si="2"/>
        <v>49.98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"4386", " - ", "SALES RETURN NON TAXABLE-COMPU")</f>
        <v xml:space="preserve">          4386 - SALES RETURN NON TAXABLE-COMPU</v>
      </c>
      <c r="C37" s="11"/>
      <c r="D37" s="2">
        <f t="shared" si="7"/>
        <v>0</v>
      </c>
      <c r="E37" s="2"/>
      <c r="F37" s="19"/>
      <c r="G37" s="2"/>
      <c r="H37" s="2">
        <f t="shared" si="8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 t="shared" si="9"/>
        <v>0</v>
      </c>
      <c r="Q37" s="2"/>
      <c r="R37" s="19"/>
      <c r="S37" s="2"/>
      <c r="T37" s="2">
        <f>-54.97</f>
        <v>-54.97</v>
      </c>
      <c r="U37" s="2"/>
      <c r="V37" s="19"/>
      <c r="W37" s="2"/>
      <c r="X37" s="2">
        <f t="shared" si="2"/>
        <v>54.97</v>
      </c>
      <c r="Y37" s="2"/>
      <c r="Z37" s="19">
        <f t="shared" si="3"/>
        <v>-1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collapsed="1" x14ac:dyDescent="0.25">
      <c r="A39" s="10"/>
      <c r="B39" s="29" t="s">
        <v>8</v>
      </c>
      <c r="C39" s="10"/>
      <c r="D39" s="4">
        <f>SUM(OSRRefD16x_0)</f>
        <v>60363.839999999997</v>
      </c>
      <c r="E39" s="4"/>
      <c r="F39" s="12">
        <f t="shared" ref="F39:F52" si="10">IF(D$12=0,0,D39/D$12)</f>
        <v>1.0097433364273851</v>
      </c>
      <c r="G39" s="4"/>
      <c r="H39" s="4">
        <f>SUM(OSRRefH16x_0)</f>
        <v>136420.06</v>
      </c>
      <c r="I39" s="4"/>
      <c r="J39" s="12">
        <f t="shared" ref="J39:J52" si="11">IF(H$12=0,0,H39/H$12)</f>
        <v>0.85007340151905253</v>
      </c>
      <c r="K39" s="4"/>
      <c r="L39" s="4">
        <f t="shared" ref="L39:L52" si="12">+D39-H39</f>
        <v>-76056.22</v>
      </c>
      <c r="M39" s="4"/>
      <c r="N39" s="12">
        <f t="shared" ref="N39:N52" si="13">IF(H39=0,0,L39/H39)</f>
        <v>-0.55751492852297535</v>
      </c>
      <c r="O39" s="10"/>
      <c r="P39" s="4">
        <f>SUM(OSRRefP16x_0)</f>
        <v>1141638.8400000001</v>
      </c>
      <c r="Q39" s="4"/>
      <c r="R39" s="12">
        <f t="shared" ref="R39:R52" si="14">IF(P$12=0,0,P39/P$12)</f>
        <v>0.95462502850356812</v>
      </c>
      <c r="S39" s="4"/>
      <c r="T39" s="4">
        <f>SUM(OSRRefT16x_0)</f>
        <v>1336501.0599999998</v>
      </c>
      <c r="U39" s="4"/>
      <c r="V39" s="12">
        <f t="shared" ref="V39:V52" si="15">IF(T$12=0,0,T39/T$12)</f>
        <v>0.89166343254069103</v>
      </c>
      <c r="W39" s="4"/>
      <c r="X39" s="4">
        <f t="shared" ref="X39:X52" si="16">+P39-T39</f>
        <v>-194862.21999999974</v>
      </c>
      <c r="Y39" s="4"/>
      <c r="Z39" s="12">
        <f t="shared" ref="Z39:Z52" si="17">IF(T39=0,0,X39/T39)</f>
        <v>-0.14580027343936394</v>
      </c>
    </row>
    <row r="40" spans="1:26" s="24" customFormat="1" hidden="1" outlineLevel="1" x14ac:dyDescent="0.25">
      <c r="A40" s="44"/>
      <c r="B40" s="11" t="str">
        <f>CONCATENATE("          ", "5081", " - ", "PURCHASES @ COST-ELECTRONICS")</f>
        <v xml:space="preserve">          5081 - PURCHASES @ COST-ELECTRONICS</v>
      </c>
      <c r="C40" s="11"/>
      <c r="D40" s="2">
        <v>2367.86</v>
      </c>
      <c r="E40" s="2"/>
      <c r="F40" s="19">
        <f t="shared" si="10"/>
        <v>3.9608660691449527E-2</v>
      </c>
      <c r="G40" s="2"/>
      <c r="H40" s="2">
        <v>16634.11</v>
      </c>
      <c r="I40" s="2"/>
      <c r="J40" s="19">
        <f t="shared" si="11"/>
        <v>0.10365201766471946</v>
      </c>
      <c r="K40" s="2"/>
      <c r="L40" s="2">
        <f t="shared" si="12"/>
        <v>-14266.25</v>
      </c>
      <c r="M40" s="2"/>
      <c r="N40" s="19">
        <f t="shared" si="13"/>
        <v>-0.85765033416275349</v>
      </c>
      <c r="O40" s="11"/>
      <c r="P40" s="2">
        <v>24315.070000000003</v>
      </c>
      <c r="Q40" s="2"/>
      <c r="R40" s="19">
        <f t="shared" si="14"/>
        <v>2.0331976785071763E-2</v>
      </c>
      <c r="S40" s="2"/>
      <c r="T40" s="2">
        <v>184807.73</v>
      </c>
      <c r="U40" s="2"/>
      <c r="V40" s="19">
        <f t="shared" si="15"/>
        <v>0.12329679326393746</v>
      </c>
      <c r="W40" s="2"/>
      <c r="X40" s="2">
        <f t="shared" si="16"/>
        <v>-160492.66</v>
      </c>
      <c r="Y40" s="2"/>
      <c r="Z40" s="19">
        <f t="shared" si="17"/>
        <v>-0.8684304493107512</v>
      </c>
    </row>
    <row r="41" spans="1:26" s="24" customFormat="1" hidden="1" outlineLevel="1" x14ac:dyDescent="0.25">
      <c r="A41" s="44"/>
      <c r="B41" s="11" t="str">
        <f>CONCATENATE("          ", "5082", " - ", "PURCHASES @ COST-COMPUTER HARD")</f>
        <v xml:space="preserve">          5082 - PURCHASES @ COST-COMPUTER HARD</v>
      </c>
      <c r="C41" s="11"/>
      <c r="D41" s="2">
        <v>71242.03</v>
      </c>
      <c r="E41" s="2"/>
      <c r="F41" s="19">
        <f t="shared" si="10"/>
        <v>1.1917095576765804</v>
      </c>
      <c r="G41" s="2"/>
      <c r="H41" s="2">
        <v>62712.56</v>
      </c>
      <c r="I41" s="2"/>
      <c r="J41" s="19">
        <f t="shared" si="11"/>
        <v>0.39078035295665225</v>
      </c>
      <c r="K41" s="2"/>
      <c r="L41" s="2">
        <f t="shared" si="12"/>
        <v>8529.4700000000012</v>
      </c>
      <c r="M41" s="2"/>
      <c r="N41" s="19">
        <f t="shared" si="13"/>
        <v>0.13600895897089835</v>
      </c>
      <c r="O41" s="11"/>
      <c r="P41" s="2">
        <v>960020.1100000001</v>
      </c>
      <c r="Q41" s="2"/>
      <c r="R41" s="19">
        <f t="shared" si="14"/>
        <v>0.80275757337823983</v>
      </c>
      <c r="S41" s="2"/>
      <c r="T41" s="2">
        <v>958350.26</v>
      </c>
      <c r="U41" s="2"/>
      <c r="V41" s="19">
        <f t="shared" si="15"/>
        <v>0.63937538695843898</v>
      </c>
      <c r="W41" s="2"/>
      <c r="X41" s="2">
        <f t="shared" si="16"/>
        <v>1669.8500000000931</v>
      </c>
      <c r="Y41" s="2"/>
      <c r="Z41" s="19">
        <f t="shared" si="17"/>
        <v>1.7424213982058013E-3</v>
      </c>
    </row>
    <row r="42" spans="1:26" s="24" customFormat="1" hidden="1" outlineLevel="1" x14ac:dyDescent="0.25">
      <c r="A42" s="44"/>
      <c r="B42" s="11" t="str">
        <f>CONCATENATE("          ", "5083", " - ", "PURCHASES @ COST-COMPUTER EQUI")</f>
        <v xml:space="preserve">          5083 - PURCHASES @ COST-COMPUTER EQUI</v>
      </c>
      <c r="C42" s="11"/>
      <c r="D42" s="2">
        <v>2620.17</v>
      </c>
      <c r="E42" s="2"/>
      <c r="F42" s="19">
        <f t="shared" si="10"/>
        <v>4.3829206322973192E-2</v>
      </c>
      <c r="G42" s="2"/>
      <c r="H42" s="2">
        <v>7127.48</v>
      </c>
      <c r="I42" s="2"/>
      <c r="J42" s="19">
        <f t="shared" si="11"/>
        <v>4.4413418142896406E-2</v>
      </c>
      <c r="K42" s="2"/>
      <c r="L42" s="2">
        <f t="shared" si="12"/>
        <v>-4507.3099999999995</v>
      </c>
      <c r="M42" s="2"/>
      <c r="N42" s="19">
        <f t="shared" si="13"/>
        <v>-0.63238479799311953</v>
      </c>
      <c r="O42" s="11"/>
      <c r="P42" s="2">
        <v>75893.119999999995</v>
      </c>
      <c r="Q42" s="2"/>
      <c r="R42" s="19">
        <f t="shared" si="14"/>
        <v>6.3460938174830062E-2</v>
      </c>
      <c r="S42" s="2"/>
      <c r="T42" s="2">
        <v>48936.17</v>
      </c>
      <c r="U42" s="2"/>
      <c r="V42" s="19">
        <f t="shared" si="15"/>
        <v>3.2648379132295485E-2</v>
      </c>
      <c r="W42" s="2"/>
      <c r="X42" s="2">
        <f t="shared" si="16"/>
        <v>26956.949999999997</v>
      </c>
      <c r="Y42" s="2"/>
      <c r="Z42" s="19">
        <f t="shared" si="17"/>
        <v>0.55085941543851913</v>
      </c>
    </row>
    <row r="43" spans="1:26" s="24" customFormat="1" hidden="1" outlineLevel="1" x14ac:dyDescent="0.25">
      <c r="A43" s="44"/>
      <c r="B43" s="11" t="str">
        <f>CONCATENATE("          ", "5084", " - ", "PURCHASES @ COST-SOFTWARE LICE")</f>
        <v xml:space="preserve">          5084 - PURCHASES @ COST-SOFTWARE LICE</v>
      </c>
      <c r="C43" s="11"/>
      <c r="D43" s="2"/>
      <c r="E43" s="2"/>
      <c r="F43" s="19">
        <f t="shared" si="10"/>
        <v>0</v>
      </c>
      <c r="G43" s="2"/>
      <c r="H43" s="2"/>
      <c r="I43" s="2"/>
      <c r="J43" s="19">
        <f t="shared" si="11"/>
        <v>0</v>
      </c>
      <c r="K43" s="2"/>
      <c r="L43" s="2">
        <f t="shared" si="12"/>
        <v>0</v>
      </c>
      <c r="M43" s="2"/>
      <c r="N43" s="19">
        <f t="shared" si="13"/>
        <v>0</v>
      </c>
      <c r="O43" s="11"/>
      <c r="P43" s="2"/>
      <c r="Q43" s="2"/>
      <c r="R43" s="19">
        <f t="shared" si="14"/>
        <v>0</v>
      </c>
      <c r="S43" s="2"/>
      <c r="T43" s="2">
        <v>2728</v>
      </c>
      <c r="U43" s="2"/>
      <c r="V43" s="19">
        <f t="shared" si="15"/>
        <v>1.8200193900115617E-3</v>
      </c>
      <c r="W43" s="2"/>
      <c r="X43" s="2">
        <f t="shared" si="16"/>
        <v>-2728</v>
      </c>
      <c r="Y43" s="2"/>
      <c r="Z43" s="19">
        <f t="shared" si="17"/>
        <v>-1</v>
      </c>
    </row>
    <row r="44" spans="1:26" s="24" customFormat="1" hidden="1" outlineLevel="1" x14ac:dyDescent="0.25">
      <c r="A44" s="44"/>
      <c r="B44" s="11" t="str">
        <f>CONCATENATE("          ", "5085", " - ", "PURCHASES @ COST-SOFTWARE")</f>
        <v xml:space="preserve">          5085 - PURCHASES @ COST-SOFTWARE</v>
      </c>
      <c r="C44" s="11"/>
      <c r="D44" s="2">
        <v>3394.72</v>
      </c>
      <c r="E44" s="2"/>
      <c r="F44" s="19">
        <f t="shared" si="10"/>
        <v>5.6785583870025053E-2</v>
      </c>
      <c r="G44" s="2"/>
      <c r="H44" s="2">
        <v>148.36000000000001</v>
      </c>
      <c r="I44" s="2"/>
      <c r="J44" s="19">
        <f t="shared" si="11"/>
        <v>9.2447466926320551E-4</v>
      </c>
      <c r="K44" s="2"/>
      <c r="L44" s="2">
        <f t="shared" si="12"/>
        <v>3246.3599999999997</v>
      </c>
      <c r="M44" s="2"/>
      <c r="N44" s="19">
        <f t="shared" si="13"/>
        <v>21.881639255864108</v>
      </c>
      <c r="O44" s="11"/>
      <c r="P44" s="2">
        <v>24075.919999999998</v>
      </c>
      <c r="Q44" s="2"/>
      <c r="R44" s="19">
        <f t="shared" si="14"/>
        <v>2.0132002355709642E-2</v>
      </c>
      <c r="S44" s="2"/>
      <c r="T44" s="2">
        <v>7080.4</v>
      </c>
      <c r="U44" s="2"/>
      <c r="V44" s="19">
        <f t="shared" si="15"/>
        <v>4.723777598620916E-3</v>
      </c>
      <c r="W44" s="2"/>
      <c r="X44" s="2">
        <f t="shared" si="16"/>
        <v>16995.519999999997</v>
      </c>
      <c r="Y44" s="2"/>
      <c r="Z44" s="19">
        <f t="shared" si="17"/>
        <v>2.4003615614937006</v>
      </c>
    </row>
    <row r="45" spans="1:26" s="24" customFormat="1" hidden="1" outlineLevel="1" x14ac:dyDescent="0.25">
      <c r="A45" s="44"/>
      <c r="B45" s="11" t="str">
        <f>CONCATENATE("          ", "5086", " - ", "PURCHASES @ COST-COMPUTER SUPP")</f>
        <v xml:space="preserve">          5086 - PURCHASES @ COST-COMPUTER SUPP</v>
      </c>
      <c r="C45" s="11"/>
      <c r="D45" s="2">
        <v>189.17</v>
      </c>
      <c r="E45" s="2"/>
      <c r="F45" s="19">
        <f t="shared" si="10"/>
        <v>3.1643637474350283E-3</v>
      </c>
      <c r="G45" s="2"/>
      <c r="H45" s="2">
        <v>826.55</v>
      </c>
      <c r="I45" s="2"/>
      <c r="J45" s="19">
        <f t="shared" si="11"/>
        <v>5.1504754507920086E-3</v>
      </c>
      <c r="K45" s="2"/>
      <c r="L45" s="2">
        <f t="shared" si="12"/>
        <v>-637.38</v>
      </c>
      <c r="M45" s="2"/>
      <c r="N45" s="19">
        <f t="shared" si="13"/>
        <v>-0.77113302280563789</v>
      </c>
      <c r="O45" s="11"/>
      <c r="P45" s="2">
        <v>22718.609999999997</v>
      </c>
      <c r="Q45" s="2"/>
      <c r="R45" s="19">
        <f t="shared" si="14"/>
        <v>1.8997035628895948E-2</v>
      </c>
      <c r="S45" s="2"/>
      <c r="T45" s="2">
        <v>19194.649999999998</v>
      </c>
      <c r="U45" s="2"/>
      <c r="V45" s="19">
        <f t="shared" si="15"/>
        <v>1.280595131396093E-2</v>
      </c>
      <c r="W45" s="2"/>
      <c r="X45" s="2">
        <f t="shared" si="16"/>
        <v>3523.9599999999991</v>
      </c>
      <c r="Y45" s="2"/>
      <c r="Z45" s="19">
        <f t="shared" si="17"/>
        <v>0.18359074012810858</v>
      </c>
    </row>
    <row r="46" spans="1:26" s="24" customFormat="1" hidden="1" outlineLevel="1" x14ac:dyDescent="0.25">
      <c r="A46" s="44"/>
      <c r="B46" s="11" t="str">
        <f>CONCATENATE("          ", "5088", " - ", "PURCHASES @ COST-MUSIC")</f>
        <v xml:space="preserve">          5088 - PURCHASES @ COST-MUSIC</v>
      </c>
      <c r="C46" s="11"/>
      <c r="D46" s="2"/>
      <c r="E46" s="2"/>
      <c r="F46" s="19">
        <f t="shared" si="10"/>
        <v>0</v>
      </c>
      <c r="G46" s="2"/>
      <c r="H46" s="2"/>
      <c r="I46" s="2"/>
      <c r="J46" s="19">
        <f t="shared" si="11"/>
        <v>0</v>
      </c>
      <c r="K46" s="2"/>
      <c r="L46" s="2">
        <f t="shared" si="12"/>
        <v>0</v>
      </c>
      <c r="M46" s="2"/>
      <c r="N46" s="19">
        <f t="shared" si="13"/>
        <v>0</v>
      </c>
      <c r="O46" s="11"/>
      <c r="P46" s="2"/>
      <c r="Q46" s="2"/>
      <c r="R46" s="19">
        <f t="shared" si="14"/>
        <v>0</v>
      </c>
      <c r="S46" s="2"/>
      <c r="T46" s="2">
        <v>88.75</v>
      </c>
      <c r="U46" s="2"/>
      <c r="V46" s="19">
        <f t="shared" si="15"/>
        <v>5.921067480334534E-5</v>
      </c>
      <c r="W46" s="2"/>
      <c r="X46" s="2">
        <f t="shared" si="16"/>
        <v>-88.75</v>
      </c>
      <c r="Y46" s="2"/>
      <c r="Z46" s="19">
        <f t="shared" si="17"/>
        <v>-1</v>
      </c>
    </row>
    <row r="47" spans="1:26" s="24" customFormat="1" hidden="1" outlineLevel="1" x14ac:dyDescent="0.25">
      <c r="A47" s="44"/>
      <c r="B47" s="11" t="str">
        <f>CONCATENATE("          ", "5200", " - ", "PURCHASES OFFSET")</f>
        <v xml:space="preserve">          5200 - PURCHASES OFFSET</v>
      </c>
      <c r="C47" s="11"/>
      <c r="D47" s="2">
        <v>-75868.11</v>
      </c>
      <c r="E47" s="2"/>
      <c r="F47" s="19">
        <f t="shared" si="10"/>
        <v>-1.2690928628768461</v>
      </c>
      <c r="G47" s="2"/>
      <c r="H47" s="2">
        <v>-87449</v>
      </c>
      <c r="I47" s="2"/>
      <c r="J47" s="19">
        <f t="shared" si="11"/>
        <v>-0.54492036500672725</v>
      </c>
      <c r="K47" s="2"/>
      <c r="L47" s="2">
        <f t="shared" si="12"/>
        <v>11580.89</v>
      </c>
      <c r="M47" s="2"/>
      <c r="N47" s="19">
        <f t="shared" si="13"/>
        <v>-0.13243021646902767</v>
      </c>
      <c r="O47" s="11"/>
      <c r="P47" s="2">
        <v>-1103420.28</v>
      </c>
      <c r="Q47" s="2"/>
      <c r="R47" s="19">
        <f t="shared" si="14"/>
        <v>-0.92266711620149067</v>
      </c>
      <c r="S47" s="2"/>
      <c r="T47" s="2">
        <v>-1221498</v>
      </c>
      <c r="U47" s="2"/>
      <c r="V47" s="19">
        <f t="shared" si="15"/>
        <v>-0.81493769972886454</v>
      </c>
      <c r="W47" s="2"/>
      <c r="X47" s="2">
        <f t="shared" si="16"/>
        <v>118077.71999999997</v>
      </c>
      <c r="Y47" s="2"/>
      <c r="Z47" s="19">
        <f t="shared" si="17"/>
        <v>-9.6666322826562123E-2</v>
      </c>
    </row>
    <row r="48" spans="1:26" s="24" customFormat="1" hidden="1" outlineLevel="1" x14ac:dyDescent="0.25">
      <c r="A48" s="44"/>
      <c r="B48" s="11" t="str">
        <f>CONCATENATE("          ", "5300", " - ", "COG$ OFFSET")</f>
        <v xml:space="preserve">          5300 - COG$ OFFSET</v>
      </c>
      <c r="C48" s="11"/>
      <c r="D48" s="2">
        <v>56418</v>
      </c>
      <c r="E48" s="2"/>
      <c r="F48" s="19">
        <f t="shared" si="10"/>
        <v>0.94373882699576805</v>
      </c>
      <c r="G48" s="2"/>
      <c r="H48" s="2">
        <v>136420</v>
      </c>
      <c r="I48" s="2"/>
      <c r="J48" s="19">
        <f t="shared" si="11"/>
        <v>0.85007302764145654</v>
      </c>
      <c r="K48" s="2"/>
      <c r="L48" s="2">
        <f t="shared" si="12"/>
        <v>-80002</v>
      </c>
      <c r="M48" s="2"/>
      <c r="N48" s="19">
        <f t="shared" si="13"/>
        <v>-0.58643893857205687</v>
      </c>
      <c r="O48" s="11"/>
      <c r="P48" s="2">
        <v>1137693</v>
      </c>
      <c r="Q48" s="2"/>
      <c r="R48" s="19">
        <f t="shared" si="14"/>
        <v>0.95132556330451212</v>
      </c>
      <c r="S48" s="2"/>
      <c r="T48" s="2">
        <v>1336499</v>
      </c>
      <c r="U48" s="2"/>
      <c r="V48" s="19">
        <f t="shared" si="15"/>
        <v>0.89166205818587319</v>
      </c>
      <c r="W48" s="2"/>
      <c r="X48" s="2">
        <f t="shared" si="16"/>
        <v>-198806</v>
      </c>
      <c r="Y48" s="2"/>
      <c r="Z48" s="19">
        <f t="shared" si="17"/>
        <v>-0.14875132716148684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/>
      <c r="E49" s="2"/>
      <c r="F49" s="19">
        <f t="shared" si="10"/>
        <v>0</v>
      </c>
      <c r="G49" s="2"/>
      <c r="H49" s="2"/>
      <c r="I49" s="2"/>
      <c r="J49" s="19">
        <f t="shared" si="11"/>
        <v>0</v>
      </c>
      <c r="K49" s="2"/>
      <c r="L49" s="2">
        <f t="shared" si="12"/>
        <v>0</v>
      </c>
      <c r="M49" s="2"/>
      <c r="N49" s="19">
        <f t="shared" si="13"/>
        <v>0</v>
      </c>
      <c r="O49" s="11"/>
      <c r="P49" s="2"/>
      <c r="Q49" s="2"/>
      <c r="R49" s="19">
        <f t="shared" si="14"/>
        <v>0</v>
      </c>
      <c r="S49" s="2"/>
      <c r="T49" s="2">
        <v>105.75</v>
      </c>
      <c r="U49" s="2"/>
      <c r="V49" s="19">
        <f t="shared" si="15"/>
        <v>7.0552437864267832E-5</v>
      </c>
      <c r="W49" s="2"/>
      <c r="X49" s="2">
        <f t="shared" si="16"/>
        <v>-105.75</v>
      </c>
      <c r="Y49" s="2"/>
      <c r="Z49" s="19">
        <f t="shared" si="17"/>
        <v>-1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/>
      <c r="E50" s="2"/>
      <c r="F50" s="19">
        <f t="shared" si="10"/>
        <v>0</v>
      </c>
      <c r="G50" s="2"/>
      <c r="H50" s="2"/>
      <c r="I50" s="2"/>
      <c r="J50" s="19">
        <f t="shared" si="11"/>
        <v>0</v>
      </c>
      <c r="K50" s="2"/>
      <c r="L50" s="2">
        <f t="shared" si="12"/>
        <v>0</v>
      </c>
      <c r="M50" s="2"/>
      <c r="N50" s="19">
        <f t="shared" si="13"/>
        <v>0</v>
      </c>
      <c r="O50" s="11"/>
      <c r="P50" s="2">
        <v>94</v>
      </c>
      <c r="Q50" s="2"/>
      <c r="R50" s="19">
        <f t="shared" si="14"/>
        <v>7.8601699184774925E-5</v>
      </c>
      <c r="S50" s="2"/>
      <c r="T50" s="2">
        <v>4.84</v>
      </c>
      <c r="U50" s="2"/>
      <c r="V50" s="19">
        <f t="shared" si="15"/>
        <v>3.2290666596979319E-6</v>
      </c>
      <c r="W50" s="2"/>
      <c r="X50" s="2">
        <f t="shared" si="16"/>
        <v>89.16</v>
      </c>
      <c r="Y50" s="2"/>
      <c r="Z50" s="19">
        <f t="shared" si="17"/>
        <v>18.421487603305785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/>
      <c r="E51" s="2"/>
      <c r="F51" s="19">
        <f t="shared" si="10"/>
        <v>0</v>
      </c>
      <c r="G51" s="2"/>
      <c r="H51" s="2"/>
      <c r="I51" s="2"/>
      <c r="J51" s="19">
        <f t="shared" si="11"/>
        <v>0</v>
      </c>
      <c r="K51" s="2"/>
      <c r="L51" s="2">
        <f t="shared" si="12"/>
        <v>0</v>
      </c>
      <c r="M51" s="2"/>
      <c r="N51" s="19">
        <f t="shared" si="13"/>
        <v>0</v>
      </c>
      <c r="O51" s="11"/>
      <c r="P51" s="2">
        <v>225.17</v>
      </c>
      <c r="Q51" s="2"/>
      <c r="R51" s="19">
        <f t="shared" si="14"/>
        <v>1.8828451707910392E-4</v>
      </c>
      <c r="S51" s="2"/>
      <c r="T51" s="2">
        <v>41</v>
      </c>
      <c r="U51" s="2"/>
      <c r="V51" s="19">
        <f t="shared" si="15"/>
        <v>2.735366385281306E-5</v>
      </c>
      <c r="W51" s="2"/>
      <c r="X51" s="2">
        <f t="shared" si="16"/>
        <v>184.17</v>
      </c>
      <c r="Y51" s="2"/>
      <c r="Z51" s="19">
        <f t="shared" si="17"/>
        <v>4.4919512195121944</v>
      </c>
    </row>
    <row r="52" spans="1:26" s="24" customFormat="1" hidden="1" outlineLevel="1" x14ac:dyDescent="0.25">
      <c r="A52" s="44"/>
      <c r="B52" s="11" t="str">
        <f>CONCATENATE("          ", "5586", " - ", "FREIGHT-IN-COMPUTER SUPPLIES")</f>
        <v xml:space="preserve">          5586 - FREIGHT-IN-COMPUTER SUPPLIES</v>
      </c>
      <c r="C52" s="11"/>
      <c r="D52" s="2"/>
      <c r="E52" s="2"/>
      <c r="F52" s="19">
        <f t="shared" si="10"/>
        <v>0</v>
      </c>
      <c r="G52" s="2"/>
      <c r="H52" s="2"/>
      <c r="I52" s="2"/>
      <c r="J52" s="19">
        <f t="shared" si="11"/>
        <v>0</v>
      </c>
      <c r="K52" s="2"/>
      <c r="L52" s="2">
        <f t="shared" si="12"/>
        <v>0</v>
      </c>
      <c r="M52" s="2"/>
      <c r="N52" s="19">
        <f t="shared" si="13"/>
        <v>0</v>
      </c>
      <c r="O52" s="11"/>
      <c r="P52" s="2">
        <v>24.12</v>
      </c>
      <c r="Q52" s="2"/>
      <c r="R52" s="19">
        <f t="shared" si="14"/>
        <v>2.0168861535497566E-5</v>
      </c>
      <c r="S52" s="2"/>
      <c r="T52" s="2">
        <v>162.51</v>
      </c>
      <c r="U52" s="2"/>
      <c r="V52" s="19">
        <f t="shared" si="15"/>
        <v>1.0842058323708902E-4</v>
      </c>
      <c r="W52" s="2"/>
      <c r="X52" s="2">
        <f t="shared" si="16"/>
        <v>-138.38999999999999</v>
      </c>
      <c r="Y52" s="2"/>
      <c r="Z52" s="19">
        <f t="shared" si="17"/>
        <v>-0.85157836440834411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6</v>
      </c>
      <c r="C54" s="28"/>
      <c r="D54" s="20">
        <f>D12-D39</f>
        <v>-582.46999999999389</v>
      </c>
      <c r="E54" s="14"/>
      <c r="F54" s="22">
        <f>IF(D$12=0,0,D54/D$12)</f>
        <v>-9.7433364273852175E-3</v>
      </c>
      <c r="G54" s="14"/>
      <c r="H54" s="20">
        <f>H12-H39</f>
        <v>24060.269999999931</v>
      </c>
      <c r="I54" s="14"/>
      <c r="J54" s="22">
        <f>IF(H$12=0,0,H54/H$12)</f>
        <v>0.14992659848094742</v>
      </c>
      <c r="K54" s="15"/>
      <c r="L54" s="20">
        <f>+D54-H54</f>
        <v>-24642.739999999925</v>
      </c>
      <c r="M54" s="15"/>
      <c r="N54" s="22">
        <f>IF(H54=0,0,L54/H54)</f>
        <v>-1.0242087890119269</v>
      </c>
      <c r="O54" s="29"/>
      <c r="P54" s="20">
        <f>P12-P39</f>
        <v>54264.060000000289</v>
      </c>
      <c r="Q54" s="14"/>
      <c r="R54" s="22">
        <f>IF(P$12=0,0,P54/P$12)</f>
        <v>4.5374971496431916E-2</v>
      </c>
      <c r="S54" s="14"/>
      <c r="T54" s="20">
        <f>T12-T39</f>
        <v>162384.07000000007</v>
      </c>
      <c r="U54" s="14"/>
      <c r="V54" s="22">
        <f>IF(T$12=0,0,T54/T$12)</f>
        <v>0.10833656745930896</v>
      </c>
      <c r="W54" s="15"/>
      <c r="X54" s="20">
        <f>+P54-T54</f>
        <v>-108120.00999999978</v>
      </c>
      <c r="Y54" s="15"/>
      <c r="Z54" s="22">
        <f>IF(T54=0,0,X54/T54)</f>
        <v>-0.66582892028756102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9</v>
      </c>
      <c r="C56" s="10"/>
      <c r="D56" s="21">
        <f>SUM(OSRRefD22x_0)</f>
        <v>12478.91</v>
      </c>
      <c r="E56" s="21"/>
      <c r="F56" s="35">
        <f t="shared" ref="F56:F66" si="18">IF(D$12=0,0,D56/D$12)</f>
        <v>0.2087424560527803</v>
      </c>
      <c r="G56" s="21"/>
      <c r="H56" s="21">
        <f>SUM(OSRRefH22x_0)</f>
        <v>-4593.2599999999984</v>
      </c>
      <c r="I56" s="21"/>
      <c r="J56" s="35">
        <f t="shared" ref="J56:J66" si="19">IF(H$12=0,0,H56/H$12)</f>
        <v>-2.8621950116877255E-2</v>
      </c>
      <c r="K56" s="4"/>
      <c r="L56" s="21">
        <f t="shared" ref="L56:L66" si="20">+D56-H56</f>
        <v>17072.169999999998</v>
      </c>
      <c r="M56" s="4"/>
      <c r="N56" s="35">
        <f t="shared" ref="N56:N66" si="21">IF(H56=0,0,L56/H56)</f>
        <v>-3.7167872056012516</v>
      </c>
      <c r="O56" s="10"/>
      <c r="P56" s="21">
        <f>SUM(OSRRefP22x_0)</f>
        <v>66383.699999999983</v>
      </c>
      <c r="Q56" s="21"/>
      <c r="R56" s="35">
        <f t="shared" ref="R56:R66" si="22">IF(P$12=0,0,P56/P$12)</f>
        <v>5.5509272533748322E-2</v>
      </c>
      <c r="S56" s="21"/>
      <c r="T56" s="21">
        <f>SUM(OSRRefT22x_0)</f>
        <v>115125.59</v>
      </c>
      <c r="U56" s="21"/>
      <c r="V56" s="35">
        <f t="shared" ref="V56:V66" si="23">IF(T$12=0,0,T56/T$12)</f>
        <v>7.6807480236994546E-2</v>
      </c>
      <c r="W56" s="4"/>
      <c r="X56" s="21">
        <f t="shared" ref="X56:X66" si="24">+P56-T56</f>
        <v>-48741.890000000014</v>
      </c>
      <c r="Y56" s="4"/>
      <c r="Z56" s="35">
        <f t="shared" ref="Z56:Z66" si="25">IF(T56=0,0,X56/T56)</f>
        <v>-0.4233801537955203</v>
      </c>
    </row>
    <row r="57" spans="1:26" s="26" customFormat="1" outlineLevel="1" collapsed="1" x14ac:dyDescent="0.25">
      <c r="A57" s="27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2874.4300000000003</v>
      </c>
      <c r="E57" s="1"/>
      <c r="F57" s="5">
        <f t="shared" si="18"/>
        <v>4.8082370812177776E-2</v>
      </c>
      <c r="G57" s="1"/>
      <c r="H57" s="1">
        <f>SUM(OSRRefH22_0x_0)</f>
        <v>2953.7200000000003</v>
      </c>
      <c r="I57" s="1"/>
      <c r="J57" s="5">
        <f t="shared" si="19"/>
        <v>1.8405495552009404E-2</v>
      </c>
      <c r="K57" s="1"/>
      <c r="L57" s="1">
        <f t="shared" si="20"/>
        <v>-79.289999999999964</v>
      </c>
      <c r="M57" s="1"/>
      <c r="N57" s="5">
        <f t="shared" si="21"/>
        <v>-2.6844115217420729E-2</v>
      </c>
      <c r="O57" s="13"/>
      <c r="P57" s="1">
        <f>SUM(OSRRefP22_0x_0)</f>
        <v>14834.34</v>
      </c>
      <c r="Q57" s="1"/>
      <c r="R57" s="5">
        <f t="shared" si="22"/>
        <v>1.2404301386007172E-2</v>
      </c>
      <c r="S57" s="1"/>
      <c r="T57" s="1">
        <f>SUM(OSRRefT22_0x_0)</f>
        <v>15230</v>
      </c>
      <c r="U57" s="1"/>
      <c r="V57" s="5">
        <f t="shared" si="23"/>
        <v>1.0160885377520558E-2</v>
      </c>
      <c r="W57" s="1"/>
      <c r="X57" s="1">
        <f t="shared" si="24"/>
        <v>-395.65999999999985</v>
      </c>
      <c r="Y57" s="1"/>
      <c r="Z57" s="5">
        <f t="shared" si="25"/>
        <v>-2.5978988837820082E-2</v>
      </c>
    </row>
    <row r="58" spans="1:26" s="24" customFormat="1" hidden="1" outlineLevel="2" x14ac:dyDescent="0.25">
      <c r="A58" s="25"/>
      <c r="B58" s="11" t="str">
        <f>CONCATENATE("          ", "6111", " - ", "F.I.C.A.")</f>
        <v xml:space="preserve">          6111 - F.I.C.A.</v>
      </c>
      <c r="C58" s="11"/>
      <c r="D58" s="6">
        <v>448.03</v>
      </c>
      <c r="E58" s="2"/>
      <c r="F58" s="7">
        <f t="shared" si="18"/>
        <v>7.4944752855279151E-3</v>
      </c>
      <c r="G58" s="2"/>
      <c r="H58" s="6">
        <v>566.58000000000004</v>
      </c>
      <c r="I58" s="2"/>
      <c r="J58" s="7">
        <f t="shared" si="19"/>
        <v>3.5305261398702278E-3</v>
      </c>
      <c r="K58" s="2"/>
      <c r="L58" s="6">
        <f t="shared" si="20"/>
        <v>-118.55000000000007</v>
      </c>
      <c r="M58" s="2"/>
      <c r="N58" s="7">
        <f t="shared" si="21"/>
        <v>-0.20923788344099697</v>
      </c>
      <c r="O58" s="11"/>
      <c r="P58" s="6">
        <v>2947.04</v>
      </c>
      <c r="Q58" s="2"/>
      <c r="R58" s="7">
        <f t="shared" si="22"/>
        <v>2.4642803358031818E-3</v>
      </c>
      <c r="S58" s="2"/>
      <c r="T58" s="6">
        <v>3701.74</v>
      </c>
      <c r="U58" s="2"/>
      <c r="V58" s="7">
        <f t="shared" si="23"/>
        <v>2.4696622348905416E-3</v>
      </c>
      <c r="W58" s="2"/>
      <c r="X58" s="6">
        <f t="shared" si="24"/>
        <v>-754.69999999999982</v>
      </c>
      <c r="Y58" s="2"/>
      <c r="Z58" s="7">
        <f t="shared" si="25"/>
        <v>-0.20387709563610623</v>
      </c>
    </row>
    <row r="59" spans="1:26" s="24" customFormat="1" hidden="1" outlineLevel="2" x14ac:dyDescent="0.25">
      <c r="A59" s="25"/>
      <c r="B59" s="11" t="str">
        <f>CONCATENATE("          ", "6112", " - ", "COMPENSATION INSURANCE")</f>
        <v xml:space="preserve">          6112 - COMPENSATION INSURANCE</v>
      </c>
      <c r="C59" s="11"/>
      <c r="D59" s="6">
        <v>256.8</v>
      </c>
      <c r="E59" s="2"/>
      <c r="F59" s="7">
        <f t="shared" si="18"/>
        <v>4.2956526422863843E-3</v>
      </c>
      <c r="G59" s="2"/>
      <c r="H59" s="6">
        <v>194.36</v>
      </c>
      <c r="I59" s="2"/>
      <c r="J59" s="7">
        <f t="shared" si="19"/>
        <v>1.2111141595982516E-3</v>
      </c>
      <c r="K59" s="2"/>
      <c r="L59" s="6">
        <f t="shared" si="20"/>
        <v>62.44</v>
      </c>
      <c r="M59" s="2"/>
      <c r="N59" s="7">
        <f t="shared" si="21"/>
        <v>0.32125951841942785</v>
      </c>
      <c r="O59" s="11"/>
      <c r="P59" s="6">
        <v>725.73</v>
      </c>
      <c r="Q59" s="2"/>
      <c r="R59" s="7">
        <f t="shared" si="22"/>
        <v>6.0684692712092243E-4</v>
      </c>
      <c r="S59" s="2"/>
      <c r="T59" s="6">
        <v>705.92</v>
      </c>
      <c r="U59" s="2"/>
      <c r="V59" s="7">
        <f t="shared" si="23"/>
        <v>4.709633752921413E-4</v>
      </c>
      <c r="W59" s="2"/>
      <c r="X59" s="6">
        <f t="shared" si="24"/>
        <v>19.810000000000059</v>
      </c>
      <c r="Y59" s="2"/>
      <c r="Z59" s="7">
        <f t="shared" si="25"/>
        <v>2.8062669990933903E-2</v>
      </c>
    </row>
    <row r="60" spans="1:26" s="24" customFormat="1" hidden="1" outlineLevel="2" x14ac:dyDescent="0.25">
      <c r="A60" s="25"/>
      <c r="B60" s="11" t="str">
        <f>CONCATENATE("          ", "6113", " - ", "GROUP INSURANCE")</f>
        <v xml:space="preserve">          6113 - GROUP INSURANCE</v>
      </c>
      <c r="C60" s="11"/>
      <c r="D60" s="6">
        <v>1035.69</v>
      </c>
      <c r="E60" s="2"/>
      <c r="F60" s="7">
        <f t="shared" si="18"/>
        <v>1.7324628057202435E-2</v>
      </c>
      <c r="G60" s="2"/>
      <c r="H60" s="6">
        <v>1287.6500000000001</v>
      </c>
      <c r="I60" s="2"/>
      <c r="J60" s="7">
        <f t="shared" si="19"/>
        <v>8.0237247767374394E-3</v>
      </c>
      <c r="K60" s="2"/>
      <c r="L60" s="6">
        <f t="shared" si="20"/>
        <v>-251.96000000000004</v>
      </c>
      <c r="M60" s="2"/>
      <c r="N60" s="7">
        <f t="shared" si="21"/>
        <v>-0.19567429037393702</v>
      </c>
      <c r="O60" s="11"/>
      <c r="P60" s="6">
        <v>5178.45</v>
      </c>
      <c r="Q60" s="2"/>
      <c r="R60" s="7">
        <f t="shared" si="22"/>
        <v>4.3301592462063583E-3</v>
      </c>
      <c r="S60" s="2"/>
      <c r="T60" s="6">
        <v>5147.17</v>
      </c>
      <c r="U60" s="2"/>
      <c r="V60" s="7">
        <f t="shared" si="23"/>
        <v>3.4339989749581413E-3</v>
      </c>
      <c r="W60" s="2"/>
      <c r="X60" s="6">
        <f t="shared" si="24"/>
        <v>31.279999999999745</v>
      </c>
      <c r="Y60" s="2"/>
      <c r="Z60" s="7">
        <f t="shared" si="25"/>
        <v>6.0771258769381515E-3</v>
      </c>
    </row>
    <row r="61" spans="1:26" s="24" customFormat="1" hidden="1" outlineLevel="2" x14ac:dyDescent="0.25">
      <c r="A61" s="25"/>
      <c r="B61" s="11" t="str">
        <f>CONCATENATE("          ", "6114", " - ", "STATE UNEMPLOYMENT INSURANCE")</f>
        <v xml:space="preserve">          6114 - STATE UNEMPLOYMENT INSURANCE</v>
      </c>
      <c r="C61" s="11"/>
      <c r="D61" s="6">
        <v>36.090000000000003</v>
      </c>
      <c r="E61" s="2"/>
      <c r="F61" s="7">
        <f t="shared" si="18"/>
        <v>6.0369978138674304E-4</v>
      </c>
      <c r="G61" s="2"/>
      <c r="H61" s="6">
        <v>28.65</v>
      </c>
      <c r="I61" s="2"/>
      <c r="J61" s="7">
        <f t="shared" si="19"/>
        <v>1.7852655213258854E-4</v>
      </c>
      <c r="K61" s="2"/>
      <c r="L61" s="6">
        <f t="shared" si="20"/>
        <v>7.4400000000000048</v>
      </c>
      <c r="M61" s="2"/>
      <c r="N61" s="7">
        <f t="shared" si="21"/>
        <v>0.25968586387434572</v>
      </c>
      <c r="O61" s="11"/>
      <c r="P61" s="6">
        <v>116.69</v>
      </c>
      <c r="Q61" s="2"/>
      <c r="R61" s="7">
        <f t="shared" si="22"/>
        <v>9.7574811466716871E-5</v>
      </c>
      <c r="S61" s="2"/>
      <c r="T61" s="6">
        <v>125.05</v>
      </c>
      <c r="U61" s="2"/>
      <c r="V61" s="7">
        <f t="shared" si="23"/>
        <v>8.3428674751079827E-5</v>
      </c>
      <c r="W61" s="2"/>
      <c r="X61" s="6">
        <f t="shared" si="24"/>
        <v>-8.36</v>
      </c>
      <c r="Y61" s="2"/>
      <c r="Z61" s="7">
        <f t="shared" si="25"/>
        <v>-6.6853258696521395E-2</v>
      </c>
    </row>
    <row r="62" spans="1:26" s="24" customFormat="1" hidden="1" outlineLevel="2" x14ac:dyDescent="0.25">
      <c r="A62" s="25"/>
      <c r="B62" s="11" t="str">
        <f>CONCATENATE("          ", "6115", " - ", "P.E.R.S.")</f>
        <v xml:space="preserve">          6115 - P.E.R.S.</v>
      </c>
      <c r="C62" s="11"/>
      <c r="D62" s="6">
        <v>176.42</v>
      </c>
      <c r="E62" s="2"/>
      <c r="F62" s="7">
        <f t="shared" si="18"/>
        <v>2.9510866010598281E-3</v>
      </c>
      <c r="G62" s="2"/>
      <c r="H62" s="6">
        <v>263.31</v>
      </c>
      <c r="I62" s="2"/>
      <c r="J62" s="7">
        <f t="shared" si="19"/>
        <v>1.6407618304374132E-3</v>
      </c>
      <c r="K62" s="2"/>
      <c r="L62" s="6">
        <f t="shared" si="20"/>
        <v>-86.890000000000015</v>
      </c>
      <c r="M62" s="2"/>
      <c r="N62" s="7">
        <f t="shared" si="21"/>
        <v>-0.32999126504880183</v>
      </c>
      <c r="O62" s="11"/>
      <c r="P62" s="6">
        <v>970.31</v>
      </c>
      <c r="Q62" s="2"/>
      <c r="R62" s="7">
        <f t="shared" si="22"/>
        <v>8.1136185889339317E-4</v>
      </c>
      <c r="S62" s="2"/>
      <c r="T62" s="6">
        <v>1022.61</v>
      </c>
      <c r="U62" s="2"/>
      <c r="V62" s="7">
        <f t="shared" si="23"/>
        <v>6.8224707786646737E-4</v>
      </c>
      <c r="W62" s="2"/>
      <c r="X62" s="6">
        <f t="shared" si="24"/>
        <v>-52.300000000000068</v>
      </c>
      <c r="Y62" s="2"/>
      <c r="Z62" s="7">
        <f t="shared" si="25"/>
        <v>-5.11436422487557E-2</v>
      </c>
    </row>
    <row r="63" spans="1:26" s="24" customFormat="1" hidden="1" outlineLevel="2" x14ac:dyDescent="0.25">
      <c r="A63" s="25"/>
      <c r="B63" s="11" t="str">
        <f>CONCATENATE("          ", "6117", " - ", "RETIREMENT STAFF HOURLY")</f>
        <v xml:space="preserve">          6117 - RETIREMENT STAFF HOURLY</v>
      </c>
      <c r="C63" s="11"/>
      <c r="D63" s="6">
        <v>154.52000000000001</v>
      </c>
      <c r="E63" s="2"/>
      <c r="F63" s="7">
        <f t="shared" si="18"/>
        <v>2.5847517378741907E-3</v>
      </c>
      <c r="G63" s="2"/>
      <c r="H63" s="6">
        <v>173.93</v>
      </c>
      <c r="I63" s="2"/>
      <c r="J63" s="7">
        <f t="shared" si="19"/>
        <v>1.0838088381298822E-3</v>
      </c>
      <c r="K63" s="2"/>
      <c r="L63" s="6">
        <f t="shared" si="20"/>
        <v>-19.409999999999997</v>
      </c>
      <c r="M63" s="2"/>
      <c r="N63" s="7">
        <f t="shared" si="21"/>
        <v>-0.11159661932961534</v>
      </c>
      <c r="O63" s="11"/>
      <c r="P63" s="6">
        <v>934.08</v>
      </c>
      <c r="Q63" s="2"/>
      <c r="R63" s="7">
        <f t="shared" si="22"/>
        <v>7.8106675717568692E-4</v>
      </c>
      <c r="S63" s="2"/>
      <c r="T63" s="6">
        <v>872.68</v>
      </c>
      <c r="U63" s="2"/>
      <c r="V63" s="7">
        <f t="shared" si="23"/>
        <v>5.8221939929446092E-4</v>
      </c>
      <c r="W63" s="2"/>
      <c r="X63" s="6">
        <f t="shared" si="24"/>
        <v>61.400000000000091</v>
      </c>
      <c r="Y63" s="2"/>
      <c r="Z63" s="7">
        <f t="shared" si="25"/>
        <v>7.0357977723793486E-2</v>
      </c>
    </row>
    <row r="64" spans="1:26" s="24" customFormat="1" hidden="1" outlineLevel="2" x14ac:dyDescent="0.25">
      <c r="A64" s="25"/>
      <c r="B64" s="11" t="str">
        <f>CONCATENATE("          ", "6118", " - ", "VACATION")</f>
        <v xml:space="preserve">          6118 - VACATION</v>
      </c>
      <c r="C64" s="11"/>
      <c r="D64" s="6">
        <v>262.39999999999998</v>
      </c>
      <c r="E64" s="2"/>
      <c r="F64" s="7">
        <f t="shared" si="18"/>
        <v>4.3893273104982367E-3</v>
      </c>
      <c r="G64" s="2"/>
      <c r="H64" s="6">
        <v>114.56</v>
      </c>
      <c r="I64" s="2"/>
      <c r="J64" s="7">
        <f t="shared" si="19"/>
        <v>7.1385695679962804E-4</v>
      </c>
      <c r="K64" s="2"/>
      <c r="L64" s="6">
        <f t="shared" si="20"/>
        <v>147.83999999999997</v>
      </c>
      <c r="M64" s="2"/>
      <c r="N64" s="7">
        <f t="shared" si="21"/>
        <v>1.2905027932960891</v>
      </c>
      <c r="O64" s="11"/>
      <c r="P64" s="6">
        <v>1422.5</v>
      </c>
      <c r="Q64" s="2"/>
      <c r="R64" s="7">
        <f t="shared" si="22"/>
        <v>1.1894778413866205E-3</v>
      </c>
      <c r="S64" s="2"/>
      <c r="T64" s="6">
        <v>1405.57</v>
      </c>
      <c r="U64" s="2"/>
      <c r="V64" s="7">
        <f t="shared" si="23"/>
        <v>9.3774364150240122E-4</v>
      </c>
      <c r="W64" s="2"/>
      <c r="X64" s="6">
        <f t="shared" si="24"/>
        <v>16.930000000000064</v>
      </c>
      <c r="Y64" s="2"/>
      <c r="Z64" s="7">
        <f t="shared" si="25"/>
        <v>1.2044935506591678E-2</v>
      </c>
    </row>
    <row r="65" spans="1:26" s="24" customFormat="1" hidden="1" outlineLevel="2" x14ac:dyDescent="0.25">
      <c r="A65" s="25"/>
      <c r="B65" s="11" t="str">
        <f>CONCATENATE("          ", "6119", " - ", "SICK LEAVE")</f>
        <v xml:space="preserve">          6119 - SICK LEAVE</v>
      </c>
      <c r="C65" s="11"/>
      <c r="D65" s="6">
        <v>262.10000000000002</v>
      </c>
      <c r="E65" s="2"/>
      <c r="F65" s="7">
        <f t="shared" si="18"/>
        <v>4.3843090247011737E-3</v>
      </c>
      <c r="G65" s="2"/>
      <c r="H65" s="6">
        <v>173.86</v>
      </c>
      <c r="I65" s="2"/>
      <c r="J65" s="7">
        <f t="shared" si="19"/>
        <v>1.0833726476011116E-3</v>
      </c>
      <c r="K65" s="2"/>
      <c r="L65" s="6">
        <f t="shared" si="20"/>
        <v>88.240000000000009</v>
      </c>
      <c r="M65" s="2"/>
      <c r="N65" s="7">
        <f t="shared" si="21"/>
        <v>0.50753479811342461</v>
      </c>
      <c r="O65" s="11"/>
      <c r="P65" s="6">
        <v>1416.66</v>
      </c>
      <c r="Q65" s="2"/>
      <c r="R65" s="7">
        <f t="shared" si="22"/>
        <v>1.1845945017776942E-3</v>
      </c>
      <c r="S65" s="2"/>
      <c r="T65" s="6">
        <v>1454.26</v>
      </c>
      <c r="U65" s="2"/>
      <c r="V65" s="7">
        <f t="shared" si="23"/>
        <v>9.702277852339492E-4</v>
      </c>
      <c r="W65" s="2"/>
      <c r="X65" s="6">
        <f t="shared" si="24"/>
        <v>-37.599999999999909</v>
      </c>
      <c r="Y65" s="2"/>
      <c r="Z65" s="7">
        <f t="shared" si="25"/>
        <v>-2.5855074058283876E-2</v>
      </c>
    </row>
    <row r="66" spans="1:26" s="24" customFormat="1" hidden="1" outlineLevel="2" x14ac:dyDescent="0.25">
      <c r="A66" s="25"/>
      <c r="B66" s="11" t="str">
        <f>CONCATENATE("          ", "6156", " - ", "EMPLOYEE MEALS")</f>
        <v xml:space="preserve">          6156 - EMPLOYEE MEALS</v>
      </c>
      <c r="C66" s="11"/>
      <c r="D66" s="6">
        <v>242.38</v>
      </c>
      <c r="E66" s="2"/>
      <c r="F66" s="7">
        <f t="shared" si="18"/>
        <v>4.0544403716408633E-3</v>
      </c>
      <c r="G66" s="2"/>
      <c r="H66" s="6">
        <v>150.82</v>
      </c>
      <c r="I66" s="2"/>
      <c r="J66" s="7">
        <f t="shared" si="19"/>
        <v>9.3980365070286227E-4</v>
      </c>
      <c r="K66" s="2"/>
      <c r="L66" s="6">
        <f t="shared" si="20"/>
        <v>91.56</v>
      </c>
      <c r="M66" s="2"/>
      <c r="N66" s="7">
        <f t="shared" si="21"/>
        <v>0.60708128895371971</v>
      </c>
      <c r="O66" s="11"/>
      <c r="P66" s="6">
        <v>1122.8800000000001</v>
      </c>
      <c r="Q66" s="2"/>
      <c r="R66" s="7">
        <f t="shared" si="22"/>
        <v>9.3893910617659656E-4</v>
      </c>
      <c r="S66" s="2"/>
      <c r="T66" s="6">
        <v>795</v>
      </c>
      <c r="U66" s="2"/>
      <c r="V66" s="7">
        <f t="shared" si="23"/>
        <v>5.3039421373137516E-4</v>
      </c>
      <c r="W66" s="2"/>
      <c r="X66" s="6">
        <f t="shared" si="24"/>
        <v>327.88000000000011</v>
      </c>
      <c r="Y66" s="2"/>
      <c r="Z66" s="7">
        <f t="shared" si="25"/>
        <v>0.41242767295597499</v>
      </c>
    </row>
    <row r="67" spans="1:26" s="26" customFormat="1" outlineLevel="1" collapsed="1" x14ac:dyDescent="0.25">
      <c r="A67" s="27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7316.2099999999991</v>
      </c>
      <c r="E67" s="1"/>
      <c r="F67" s="5">
        <f t="shared" ref="F67:F72" si="26">IF(D$12=0,0,D67/D$12)</f>
        <v>0.12238277577111396</v>
      </c>
      <c r="G67" s="1"/>
      <c r="H67" s="1">
        <f>SUM(OSRRefH22_1x_0)</f>
        <v>9624.76</v>
      </c>
      <c r="I67" s="1"/>
      <c r="J67" s="5">
        <f t="shared" ref="J67:J72" si="27">IF(H$12=0,0,H67/H$12)</f>
        <v>5.997470219558998E-2</v>
      </c>
      <c r="K67" s="1"/>
      <c r="L67" s="1">
        <f t="shared" ref="L67:L72" si="28">+D67-H67</f>
        <v>-2308.5500000000011</v>
      </c>
      <c r="M67" s="1"/>
      <c r="N67" s="5">
        <f t="shared" ref="N67:N72" si="29">IF(H67=0,0,L67/H67)</f>
        <v>-0.23985533145761567</v>
      </c>
      <c r="O67" s="13"/>
      <c r="P67" s="1">
        <f>SUM(OSRRefP22_1x_0)</f>
        <v>39479.78</v>
      </c>
      <c r="Q67" s="1"/>
      <c r="R67" s="5">
        <f t="shared" ref="R67:R72" si="30">IF(P$12=0,0,P67/P$12)</f>
        <v>3.3012529696181847E-2</v>
      </c>
      <c r="S67" s="1"/>
      <c r="T67" s="1">
        <f>SUM(OSRRefT22_1x_0)</f>
        <v>48719.140000000007</v>
      </c>
      <c r="U67" s="1"/>
      <c r="V67" s="5">
        <f t="shared" ref="V67:V72" si="31">IF(T$12=0,0,T67/T$12)</f>
        <v>3.250358484775949E-2</v>
      </c>
      <c r="W67" s="1"/>
      <c r="X67" s="1">
        <f t="shared" ref="X67:X72" si="32">+P67-T67</f>
        <v>-9239.3600000000079</v>
      </c>
      <c r="Y67" s="1"/>
      <c r="Z67" s="5">
        <f t="shared" ref="Z67:Z72" si="33">IF(T67=0,0,X67/T67)</f>
        <v>-0.18964538372393286</v>
      </c>
    </row>
    <row r="68" spans="1:26" s="24" customFormat="1" hidden="1" outlineLevel="2" x14ac:dyDescent="0.25">
      <c r="A68" s="25"/>
      <c r="B68" s="11" t="str">
        <f>CONCATENATE("          ", "6002", " - ", "STAFF SALARIES")</f>
        <v xml:space="preserve">          6002 - STAFF SALARIES</v>
      </c>
      <c r="C68" s="11"/>
      <c r="D68" s="6">
        <v>1939.96</v>
      </c>
      <c r="E68" s="2"/>
      <c r="F68" s="7">
        <f t="shared" si="26"/>
        <v>3.2450912382904575E-2</v>
      </c>
      <c r="G68" s="2"/>
      <c r="H68" s="6">
        <v>3193.56</v>
      </c>
      <c r="I68" s="2"/>
      <c r="J68" s="7">
        <f t="shared" si="27"/>
        <v>1.9900008929443262E-2</v>
      </c>
      <c r="K68" s="2"/>
      <c r="L68" s="6">
        <f t="shared" si="28"/>
        <v>-1253.5999999999999</v>
      </c>
      <c r="M68" s="2"/>
      <c r="N68" s="7">
        <f t="shared" si="29"/>
        <v>-0.39253998672328055</v>
      </c>
      <c r="O68" s="11"/>
      <c r="P68" s="6">
        <v>11297.39</v>
      </c>
      <c r="Q68" s="2"/>
      <c r="R68" s="7">
        <f t="shared" si="30"/>
        <v>9.4467452165221746E-3</v>
      </c>
      <c r="S68" s="2"/>
      <c r="T68" s="6">
        <v>15056.58</v>
      </c>
      <c r="U68" s="2"/>
      <c r="V68" s="7">
        <f t="shared" si="31"/>
        <v>1.0045186051048489E-2</v>
      </c>
      <c r="W68" s="2"/>
      <c r="X68" s="6">
        <f t="shared" si="32"/>
        <v>-3759.1900000000005</v>
      </c>
      <c r="Y68" s="2"/>
      <c r="Z68" s="7">
        <f t="shared" si="33"/>
        <v>-0.24967090800168434</v>
      </c>
    </row>
    <row r="69" spans="1:26" s="24" customFormat="1" hidden="1" outlineLevel="2" x14ac:dyDescent="0.25">
      <c r="A69" s="25"/>
      <c r="B69" s="11" t="str">
        <f>CONCATENATE("          ", "6004", " - ", "STAFF HOURLY")</f>
        <v xml:space="preserve">          6004 - STAFF HOURLY</v>
      </c>
      <c r="C69" s="11"/>
      <c r="D69" s="6">
        <v>3395.52</v>
      </c>
      <c r="E69" s="2"/>
      <c r="F69" s="7">
        <f t="shared" si="26"/>
        <v>5.6798965965483894E-2</v>
      </c>
      <c r="G69" s="2"/>
      <c r="H69" s="6"/>
      <c r="I69" s="2"/>
      <c r="J69" s="7">
        <f t="shared" si="27"/>
        <v>0</v>
      </c>
      <c r="K69" s="2"/>
      <c r="L69" s="6">
        <f t="shared" si="28"/>
        <v>3395.52</v>
      </c>
      <c r="M69" s="2"/>
      <c r="N69" s="7">
        <f t="shared" si="29"/>
        <v>0</v>
      </c>
      <c r="O69" s="11"/>
      <c r="P69" s="6">
        <v>17816.16</v>
      </c>
      <c r="Q69" s="2"/>
      <c r="R69" s="7">
        <f t="shared" si="30"/>
        <v>1.4897664350508719E-2</v>
      </c>
      <c r="S69" s="2"/>
      <c r="T69" s="6"/>
      <c r="U69" s="2"/>
      <c r="V69" s="7">
        <f t="shared" si="31"/>
        <v>0</v>
      </c>
      <c r="W69" s="2"/>
      <c r="X69" s="6">
        <f t="shared" si="32"/>
        <v>17816.16</v>
      </c>
      <c r="Y69" s="2"/>
      <c r="Z69" s="7">
        <f t="shared" si="33"/>
        <v>0</v>
      </c>
    </row>
    <row r="70" spans="1:26" s="24" customFormat="1" hidden="1" outlineLevel="2" x14ac:dyDescent="0.25">
      <c r="A70" s="25"/>
      <c r="B70" s="11" t="str">
        <f>CONCATENATE("          ", "6005", " - ", "TEMPORARY WAGES-HOURLY")</f>
        <v xml:space="preserve">          6005 - TEMPORARY WAGES-HOURLY</v>
      </c>
      <c r="C70" s="11"/>
      <c r="D70" s="6"/>
      <c r="E70" s="2"/>
      <c r="F70" s="7">
        <f t="shared" si="26"/>
        <v>0</v>
      </c>
      <c r="G70" s="2"/>
      <c r="H70" s="6">
        <v>3063.73</v>
      </c>
      <c r="I70" s="2"/>
      <c r="J70" s="7">
        <f t="shared" si="27"/>
        <v>1.9091000124438935E-2</v>
      </c>
      <c r="K70" s="2"/>
      <c r="L70" s="6">
        <f t="shared" si="28"/>
        <v>-3063.73</v>
      </c>
      <c r="M70" s="2"/>
      <c r="N70" s="7">
        <f t="shared" si="29"/>
        <v>-1</v>
      </c>
      <c r="O70" s="11"/>
      <c r="P70" s="6"/>
      <c r="Q70" s="2"/>
      <c r="R70" s="7">
        <f t="shared" si="30"/>
        <v>0</v>
      </c>
      <c r="S70" s="2"/>
      <c r="T70" s="6">
        <v>17202.25</v>
      </c>
      <c r="U70" s="2"/>
      <c r="V70" s="7">
        <f t="shared" si="31"/>
        <v>1.1476696683220817E-2</v>
      </c>
      <c r="W70" s="2"/>
      <c r="X70" s="6">
        <f t="shared" si="32"/>
        <v>-17202.25</v>
      </c>
      <c r="Y70" s="2"/>
      <c r="Z70" s="7">
        <f t="shared" si="33"/>
        <v>-1</v>
      </c>
    </row>
    <row r="71" spans="1:26" s="24" customFormat="1" hidden="1" outlineLevel="2" x14ac:dyDescent="0.25">
      <c r="A71" s="25"/>
      <c r="B71" s="11" t="str">
        <f>CONCATENATE("          ", "6006", " - ", "TEMPORARY PART TIME")</f>
        <v xml:space="preserve">          6006 - TEMPORARY PART TIME</v>
      </c>
      <c r="C71" s="11"/>
      <c r="D71" s="6"/>
      <c r="E71" s="2"/>
      <c r="F71" s="7">
        <f t="shared" si="26"/>
        <v>0</v>
      </c>
      <c r="G71" s="2"/>
      <c r="H71" s="6">
        <v>1053</v>
      </c>
      <c r="I71" s="2"/>
      <c r="J71" s="7">
        <f t="shared" si="27"/>
        <v>6.5615518113652958E-3</v>
      </c>
      <c r="K71" s="2"/>
      <c r="L71" s="6">
        <f t="shared" si="28"/>
        <v>-1053</v>
      </c>
      <c r="M71" s="2"/>
      <c r="N71" s="7">
        <f t="shared" si="29"/>
        <v>-1</v>
      </c>
      <c r="O71" s="11"/>
      <c r="P71" s="6"/>
      <c r="Q71" s="2"/>
      <c r="R71" s="7">
        <f t="shared" si="30"/>
        <v>0</v>
      </c>
      <c r="S71" s="2"/>
      <c r="T71" s="6">
        <v>7601.16</v>
      </c>
      <c r="U71" s="2"/>
      <c r="V71" s="7">
        <f t="shared" si="31"/>
        <v>5.0712091593036225E-3</v>
      </c>
      <c r="W71" s="2"/>
      <c r="X71" s="6">
        <f t="shared" si="32"/>
        <v>-7601.16</v>
      </c>
      <c r="Y71" s="2"/>
      <c r="Z71" s="7">
        <f t="shared" si="33"/>
        <v>-1</v>
      </c>
    </row>
    <row r="72" spans="1:26" s="24" customFormat="1" hidden="1" outlineLevel="2" x14ac:dyDescent="0.25">
      <c r="A72" s="25"/>
      <c r="B72" s="11" t="str">
        <f>CONCATENATE("          ", "6007", " - ", "STUDENT HOURLY")</f>
        <v xml:space="preserve">          6007 - STUDENT HOURLY</v>
      </c>
      <c r="C72" s="11"/>
      <c r="D72" s="6">
        <v>1980.73</v>
      </c>
      <c r="E72" s="2"/>
      <c r="F72" s="7">
        <f t="shared" si="26"/>
        <v>3.3132897422725509E-2</v>
      </c>
      <c r="G72" s="2"/>
      <c r="H72" s="6">
        <v>2314.4699999999998</v>
      </c>
      <c r="I72" s="2"/>
      <c r="J72" s="7">
        <f t="shared" si="27"/>
        <v>1.4422141330342484E-2</v>
      </c>
      <c r="K72" s="2"/>
      <c r="L72" s="6">
        <f t="shared" si="28"/>
        <v>-333.73999999999978</v>
      </c>
      <c r="M72" s="2"/>
      <c r="N72" s="7">
        <f t="shared" si="29"/>
        <v>-0.14419715960889526</v>
      </c>
      <c r="O72" s="11"/>
      <c r="P72" s="6">
        <v>10366.23</v>
      </c>
      <c r="Q72" s="2"/>
      <c r="R72" s="7">
        <f t="shared" si="30"/>
        <v>8.66812012915095E-3</v>
      </c>
      <c r="S72" s="2"/>
      <c r="T72" s="6">
        <v>8859.15</v>
      </c>
      <c r="U72" s="2"/>
      <c r="V72" s="7">
        <f t="shared" si="31"/>
        <v>5.910492954186556E-3</v>
      </c>
      <c r="W72" s="2"/>
      <c r="X72" s="6">
        <f t="shared" si="32"/>
        <v>1507.08</v>
      </c>
      <c r="Y72" s="2"/>
      <c r="Z72" s="7">
        <f t="shared" si="33"/>
        <v>0.17011564314860905</v>
      </c>
    </row>
    <row r="73" spans="1:26" s="26" customFormat="1" outlineLevel="1" collapsed="1" x14ac:dyDescent="0.25">
      <c r="A73" s="27"/>
      <c r="B73" s="13" t="str">
        <f>CONCATENATE("     ","Advertising/Promo                                 ")</f>
        <v xml:space="preserve">     Advertising/Promo                                 </v>
      </c>
      <c r="C73" s="13"/>
      <c r="D73" s="1">
        <f>SUM(OSRRefD22_2x_0)</f>
        <v>0</v>
      </c>
      <c r="E73" s="1"/>
      <c r="F73" s="5">
        <f t="shared" ref="F73:F81" si="34">IF(D$12=0,0,D73/D$12)</f>
        <v>0</v>
      </c>
      <c r="G73" s="1"/>
      <c r="H73" s="1">
        <f>SUM(OSRRefH22_2x_0)</f>
        <v>208.92</v>
      </c>
      <c r="I73" s="1"/>
      <c r="J73" s="5">
        <f t="shared" ref="J73:J81" si="35">IF(H$12=0,0,H73/H$12)</f>
        <v>1.3018417895825619E-3</v>
      </c>
      <c r="K73" s="1"/>
      <c r="L73" s="1">
        <f t="shared" ref="L73:L81" si="36">+D73-H73</f>
        <v>-208.92</v>
      </c>
      <c r="M73" s="1"/>
      <c r="N73" s="5">
        <f t="shared" ref="N73:N81" si="37">IF(H73=0,0,L73/H73)</f>
        <v>-1</v>
      </c>
      <c r="O73" s="13"/>
      <c r="P73" s="1">
        <f>SUM(OSRRefP22_2x_0)</f>
        <v>248.88</v>
      </c>
      <c r="Q73" s="1"/>
      <c r="R73" s="5">
        <f t="shared" ref="R73:R81" si="38">IF(P$12=0,0,P73/P$12)</f>
        <v>2.0811054141602962E-4</v>
      </c>
      <c r="S73" s="1"/>
      <c r="T73" s="1">
        <f>SUM(OSRRefT22_2x_0)</f>
        <v>1428.71</v>
      </c>
      <c r="U73" s="1"/>
      <c r="V73" s="5">
        <f t="shared" ref="V73:V81" si="39">IF(T$12=0,0,T73/T$12)</f>
        <v>9.5318178251591577E-4</v>
      </c>
      <c r="W73" s="1"/>
      <c r="X73" s="1">
        <f t="shared" ref="X73:X81" si="40">+P73-T73</f>
        <v>-1179.83</v>
      </c>
      <c r="Y73" s="1"/>
      <c r="Z73" s="5">
        <f t="shared" ref="Z73:Z81" si="41">IF(T73=0,0,X73/T73)</f>
        <v>-0.82580089731296058</v>
      </c>
    </row>
    <row r="74" spans="1:26" s="24" customFormat="1" hidden="1" outlineLevel="2" x14ac:dyDescent="0.25">
      <c r="A74" s="25"/>
      <c r="B74" s="11" t="str">
        <f>CONCATENATE("          ", "6362", " - ", "ADVERTISING EXPENSE")</f>
        <v xml:space="preserve">          6362 - ADVERTISING EXPENSE</v>
      </c>
      <c r="C74" s="11"/>
      <c r="D74" s="6"/>
      <c r="E74" s="2"/>
      <c r="F74" s="7">
        <f t="shared" si="34"/>
        <v>0</v>
      </c>
      <c r="G74" s="2"/>
      <c r="H74" s="6">
        <v>208.92</v>
      </c>
      <c r="I74" s="2"/>
      <c r="J74" s="7">
        <f t="shared" si="35"/>
        <v>1.3018417895825619E-3</v>
      </c>
      <c r="K74" s="2"/>
      <c r="L74" s="6">
        <f t="shared" si="36"/>
        <v>-208.92</v>
      </c>
      <c r="M74" s="2"/>
      <c r="N74" s="7">
        <f t="shared" si="37"/>
        <v>-1</v>
      </c>
      <c r="O74" s="11"/>
      <c r="P74" s="6">
        <v>248.88</v>
      </c>
      <c r="Q74" s="2"/>
      <c r="R74" s="7">
        <f t="shared" si="38"/>
        <v>2.0811054141602962E-4</v>
      </c>
      <c r="S74" s="2"/>
      <c r="T74" s="6">
        <v>1428.71</v>
      </c>
      <c r="U74" s="2"/>
      <c r="V74" s="7">
        <f t="shared" si="39"/>
        <v>9.5318178251591577E-4</v>
      </c>
      <c r="W74" s="2"/>
      <c r="X74" s="6">
        <f t="shared" si="40"/>
        <v>-1179.83</v>
      </c>
      <c r="Y74" s="2"/>
      <c r="Z74" s="7">
        <f t="shared" si="41"/>
        <v>-0.82580089731296058</v>
      </c>
    </row>
    <row r="75" spans="1:26" s="26" customFormat="1" outlineLevel="1" collapsed="1" x14ac:dyDescent="0.25">
      <c r="A75" s="27"/>
      <c r="B75" s="13" t="str">
        <f>CONCATENATE("     ","Depreciation                                      ")</f>
        <v xml:space="preserve">     Depreciation                                      </v>
      </c>
      <c r="C75" s="13"/>
      <c r="D75" s="1">
        <f>SUM(OSRRefD22_3x_0)</f>
        <v>280.44</v>
      </c>
      <c r="E75" s="1"/>
      <c r="F75" s="5">
        <f t="shared" si="34"/>
        <v>4.6910935630949911E-3</v>
      </c>
      <c r="G75" s="1"/>
      <c r="H75" s="1">
        <f>SUM(OSRRefH22_3x_0)</f>
        <v>280.44</v>
      </c>
      <c r="I75" s="1"/>
      <c r="J75" s="5">
        <f t="shared" si="35"/>
        <v>1.7475038841208771E-3</v>
      </c>
      <c r="K75" s="1"/>
      <c r="L75" s="1">
        <f t="shared" si="36"/>
        <v>0</v>
      </c>
      <c r="M75" s="1"/>
      <c r="N75" s="5">
        <f t="shared" si="37"/>
        <v>0</v>
      </c>
      <c r="O75" s="13"/>
      <c r="P75" s="1">
        <f>SUM(OSRRefP22_3x_0)</f>
        <v>1402.2</v>
      </c>
      <c r="Q75" s="1"/>
      <c r="R75" s="5">
        <f t="shared" si="38"/>
        <v>1.1725032191158659E-3</v>
      </c>
      <c r="S75" s="1"/>
      <c r="T75" s="1">
        <f>SUM(OSRRefT22_3x_0)</f>
        <v>1402.2</v>
      </c>
      <c r="U75" s="1"/>
      <c r="V75" s="5">
        <f t="shared" si="39"/>
        <v>9.3549530376620669E-4</v>
      </c>
      <c r="W75" s="1"/>
      <c r="X75" s="1">
        <f t="shared" si="40"/>
        <v>0</v>
      </c>
      <c r="Y75" s="1"/>
      <c r="Z75" s="5">
        <f t="shared" si="41"/>
        <v>0</v>
      </c>
    </row>
    <row r="76" spans="1:26" s="24" customFormat="1" hidden="1" outlineLevel="2" x14ac:dyDescent="0.25">
      <c r="A76" s="25"/>
      <c r="B76" s="11" t="str">
        <f>CONCATENATE("          ", "6322", " - ", "EQUIPMENT DEPRECIATION EXPENSE")</f>
        <v xml:space="preserve">          6322 - EQUIPMENT DEPRECIATION EXPENSE</v>
      </c>
      <c r="C76" s="11"/>
      <c r="D76" s="6">
        <v>280.44</v>
      </c>
      <c r="E76" s="2"/>
      <c r="F76" s="7">
        <f t="shared" si="34"/>
        <v>4.6910935630949911E-3</v>
      </c>
      <c r="G76" s="2"/>
      <c r="H76" s="6">
        <v>280.44</v>
      </c>
      <c r="I76" s="2"/>
      <c r="J76" s="7">
        <f t="shared" si="35"/>
        <v>1.7475038841208771E-3</v>
      </c>
      <c r="K76" s="2"/>
      <c r="L76" s="6">
        <f t="shared" si="36"/>
        <v>0</v>
      </c>
      <c r="M76" s="2"/>
      <c r="N76" s="7">
        <f t="shared" si="37"/>
        <v>0</v>
      </c>
      <c r="O76" s="11"/>
      <c r="P76" s="6">
        <v>1402.2</v>
      </c>
      <c r="Q76" s="2"/>
      <c r="R76" s="7">
        <f t="shared" si="38"/>
        <v>1.1725032191158659E-3</v>
      </c>
      <c r="S76" s="2"/>
      <c r="T76" s="6">
        <v>1402.2</v>
      </c>
      <c r="U76" s="2"/>
      <c r="V76" s="7">
        <f t="shared" si="39"/>
        <v>9.3549530376620669E-4</v>
      </c>
      <c r="W76" s="2"/>
      <c r="X76" s="6">
        <f t="shared" si="40"/>
        <v>0</v>
      </c>
      <c r="Y76" s="2"/>
      <c r="Z76" s="7">
        <f t="shared" si="41"/>
        <v>0</v>
      </c>
    </row>
    <row r="77" spans="1:26" s="26" customFormat="1" outlineLevel="1" collapsed="1" x14ac:dyDescent="0.25">
      <c r="A77" s="27"/>
      <c r="B77" s="13" t="str">
        <f>CONCATENATE("     ","Discounts and Markdowns                           ")</f>
        <v xml:space="preserve">     Discounts and Markdowns                           </v>
      </c>
      <c r="C77" s="13"/>
      <c r="D77" s="1">
        <f>SUM(OSRRefD22_4x_0)</f>
        <v>0</v>
      </c>
      <c r="E77" s="1"/>
      <c r="F77" s="5">
        <f t="shared" si="34"/>
        <v>0</v>
      </c>
      <c r="G77" s="1"/>
      <c r="H77" s="1">
        <f>SUM(OSRRefH22_4x_0)</f>
        <v>-20040.96</v>
      </c>
      <c r="I77" s="1"/>
      <c r="J77" s="5">
        <f t="shared" si="35"/>
        <v>-0.12488109913532711</v>
      </c>
      <c r="K77" s="1"/>
      <c r="L77" s="1">
        <f t="shared" si="36"/>
        <v>20040.96</v>
      </c>
      <c r="M77" s="1"/>
      <c r="N77" s="5">
        <f t="shared" si="37"/>
        <v>-1</v>
      </c>
      <c r="O77" s="13"/>
      <c r="P77" s="1">
        <f>SUM(OSRRefP22_4x_0)</f>
        <v>0</v>
      </c>
      <c r="Q77" s="1"/>
      <c r="R77" s="5">
        <f t="shared" si="38"/>
        <v>0</v>
      </c>
      <c r="S77" s="1"/>
      <c r="T77" s="1">
        <f>SUM(OSRRefT22_4x_0)</f>
        <v>48337.17</v>
      </c>
      <c r="U77" s="1"/>
      <c r="V77" s="5">
        <f t="shared" si="39"/>
        <v>3.2248748775031214E-2</v>
      </c>
      <c r="W77" s="1"/>
      <c r="X77" s="1">
        <f t="shared" si="40"/>
        <v>-48337.17</v>
      </c>
      <c r="Y77" s="1"/>
      <c r="Z77" s="5">
        <f t="shared" si="41"/>
        <v>-1</v>
      </c>
    </row>
    <row r="78" spans="1:26" s="24" customFormat="1" hidden="1" outlineLevel="2" x14ac:dyDescent="0.25">
      <c r="A78" s="25"/>
      <c r="B78" s="11" t="str">
        <f>CONCATENATE("          ", "6382", " - ", "DISCOUNTS/MARK DOWNS")</f>
        <v xml:space="preserve">          6382 - DISCOUNTS/MARK DOWNS</v>
      </c>
      <c r="C78" s="11"/>
      <c r="D78" s="6"/>
      <c r="E78" s="2"/>
      <c r="F78" s="7">
        <f t="shared" si="34"/>
        <v>0</v>
      </c>
      <c r="G78" s="2"/>
      <c r="H78" s="6">
        <v>-20040.96</v>
      </c>
      <c r="I78" s="2"/>
      <c r="J78" s="7">
        <f t="shared" si="35"/>
        <v>-0.12488109913532711</v>
      </c>
      <c r="K78" s="2"/>
      <c r="L78" s="6">
        <f t="shared" si="36"/>
        <v>20040.96</v>
      </c>
      <c r="M78" s="2"/>
      <c r="N78" s="7">
        <f t="shared" si="37"/>
        <v>-1</v>
      </c>
      <c r="O78" s="11"/>
      <c r="P78" s="6"/>
      <c r="Q78" s="2"/>
      <c r="R78" s="7">
        <f t="shared" si="38"/>
        <v>0</v>
      </c>
      <c r="S78" s="2"/>
      <c r="T78" s="6">
        <v>48337.17</v>
      </c>
      <c r="U78" s="2"/>
      <c r="V78" s="7">
        <f t="shared" si="39"/>
        <v>3.2248748775031214E-2</v>
      </c>
      <c r="W78" s="2"/>
      <c r="X78" s="6">
        <f t="shared" si="40"/>
        <v>-48337.17</v>
      </c>
      <c r="Y78" s="2"/>
      <c r="Z78" s="7">
        <f t="shared" si="41"/>
        <v>-1</v>
      </c>
    </row>
    <row r="79" spans="1:26" s="26" customFormat="1" outlineLevel="1" collapsed="1" x14ac:dyDescent="0.25">
      <c r="A79" s="27"/>
      <c r="B79" s="13" t="str">
        <f>CONCATENATE("     ","Freight out/Postage                               ")</f>
        <v xml:space="preserve">     Freight out/Postage                               </v>
      </c>
      <c r="C79" s="13"/>
      <c r="D79" s="1">
        <f>SUM(OSRRefD22_5x_0)</f>
        <v>277.12</v>
      </c>
      <c r="E79" s="1"/>
      <c r="F79" s="5">
        <f t="shared" si="34"/>
        <v>4.6355578669408214E-3</v>
      </c>
      <c r="G79" s="1"/>
      <c r="H79" s="1">
        <f>SUM(OSRRefH22_5x_0)</f>
        <v>30.85</v>
      </c>
      <c r="I79" s="1"/>
      <c r="J79" s="5">
        <f t="shared" si="35"/>
        <v>1.9223539732252554E-4</v>
      </c>
      <c r="K79" s="1"/>
      <c r="L79" s="1">
        <f t="shared" si="36"/>
        <v>246.27</v>
      </c>
      <c r="M79" s="1"/>
      <c r="N79" s="5">
        <f t="shared" si="37"/>
        <v>7.9828200972447325</v>
      </c>
      <c r="O79" s="13"/>
      <c r="P79" s="1">
        <f>SUM(OSRRefP22_5x_0)</f>
        <v>827.59</v>
      </c>
      <c r="Q79" s="1"/>
      <c r="R79" s="5">
        <f t="shared" si="38"/>
        <v>6.9202106625880727E-4</v>
      </c>
      <c r="S79" s="1"/>
      <c r="T79" s="1">
        <f>SUM(OSRRefT22_5x_0)</f>
        <v>41.61</v>
      </c>
      <c r="U79" s="1"/>
      <c r="V79" s="5">
        <f t="shared" si="39"/>
        <v>2.7760632997940277E-5</v>
      </c>
      <c r="W79" s="1"/>
      <c r="X79" s="1">
        <f t="shared" si="40"/>
        <v>785.98</v>
      </c>
      <c r="Y79" s="1"/>
      <c r="Z79" s="5">
        <f t="shared" si="41"/>
        <v>18.889209324681566</v>
      </c>
    </row>
    <row r="80" spans="1:26" s="24" customFormat="1" hidden="1" outlineLevel="2" x14ac:dyDescent="0.25">
      <c r="A80" s="25"/>
      <c r="B80" s="11" t="str">
        <f>CONCATENATE("          ", "6305", " - ", "FREIGHT OUT")</f>
        <v xml:space="preserve">          6305 - FREIGHT OUT</v>
      </c>
      <c r="C80" s="11"/>
      <c r="D80" s="6">
        <v>277.12</v>
      </c>
      <c r="E80" s="2"/>
      <c r="F80" s="7">
        <f t="shared" si="34"/>
        <v>4.6355578669408214E-3</v>
      </c>
      <c r="G80" s="2"/>
      <c r="H80" s="6">
        <v>30.85</v>
      </c>
      <c r="I80" s="2"/>
      <c r="J80" s="7">
        <f t="shared" si="35"/>
        <v>1.9223539732252554E-4</v>
      </c>
      <c r="K80" s="2"/>
      <c r="L80" s="6">
        <f t="shared" si="36"/>
        <v>246.27</v>
      </c>
      <c r="M80" s="2"/>
      <c r="N80" s="7">
        <f t="shared" si="37"/>
        <v>7.9828200972447325</v>
      </c>
      <c r="O80" s="11"/>
      <c r="P80" s="6">
        <v>814.99</v>
      </c>
      <c r="Q80" s="2"/>
      <c r="R80" s="7">
        <f t="shared" si="38"/>
        <v>6.8148509381489066E-4</v>
      </c>
      <c r="S80" s="2"/>
      <c r="T80" s="6">
        <v>41.61</v>
      </c>
      <c r="U80" s="2"/>
      <c r="V80" s="7">
        <f t="shared" si="39"/>
        <v>2.7760632997940277E-5</v>
      </c>
      <c r="W80" s="2"/>
      <c r="X80" s="6">
        <f t="shared" si="40"/>
        <v>773.38</v>
      </c>
      <c r="Y80" s="2"/>
      <c r="Z80" s="7">
        <f t="shared" si="41"/>
        <v>18.586397500600818</v>
      </c>
    </row>
    <row r="81" spans="1:26" s="24" customFormat="1" hidden="1" outlineLevel="2" x14ac:dyDescent="0.25">
      <c r="A81" s="25"/>
      <c r="B81" s="11" t="str">
        <f>CONCATENATE("          ", "6307", " - ", "POSTAGE")</f>
        <v xml:space="preserve">          6307 - POSTAGE</v>
      </c>
      <c r="C81" s="11"/>
      <c r="D81" s="6"/>
      <c r="E81" s="2"/>
      <c r="F81" s="7">
        <f t="shared" si="34"/>
        <v>0</v>
      </c>
      <c r="G81" s="2"/>
      <c r="H81" s="6"/>
      <c r="I81" s="2"/>
      <c r="J81" s="7">
        <f t="shared" si="35"/>
        <v>0</v>
      </c>
      <c r="K81" s="2"/>
      <c r="L81" s="6">
        <f t="shared" si="36"/>
        <v>0</v>
      </c>
      <c r="M81" s="2"/>
      <c r="N81" s="7">
        <f t="shared" si="37"/>
        <v>0</v>
      </c>
      <c r="O81" s="11"/>
      <c r="P81" s="6">
        <v>12.6</v>
      </c>
      <c r="Q81" s="2"/>
      <c r="R81" s="7">
        <f t="shared" si="38"/>
        <v>1.0535972443916639E-5</v>
      </c>
      <c r="S81" s="2"/>
      <c r="T81" s="6"/>
      <c r="U81" s="2"/>
      <c r="V81" s="7">
        <f t="shared" si="39"/>
        <v>0</v>
      </c>
      <c r="W81" s="2"/>
      <c r="X81" s="6">
        <f t="shared" si="40"/>
        <v>12.6</v>
      </c>
      <c r="Y81" s="2"/>
      <c r="Z81" s="7">
        <f t="shared" si="41"/>
        <v>0</v>
      </c>
    </row>
    <row r="82" spans="1:26" s="26" customFormat="1" outlineLevel="1" collapsed="1" x14ac:dyDescent="0.25">
      <c r="A82" s="27"/>
      <c r="B82" s="13" t="str">
        <f>CONCATENATE("     ","General                                           ")</f>
        <v xml:space="preserve">     General                                           </v>
      </c>
      <c r="C82" s="13"/>
      <c r="D82" s="1">
        <f>SUM(OSRRefD22_6x_0)</f>
        <v>0</v>
      </c>
      <c r="E82" s="1"/>
      <c r="F82" s="5">
        <f t="shared" ref="F82:F91" si="42">IF(D$12=0,0,D82/D$12)</f>
        <v>0</v>
      </c>
      <c r="G82" s="1"/>
      <c r="H82" s="1">
        <f>SUM(OSRRefH22_6x_0)</f>
        <v>0</v>
      </c>
      <c r="I82" s="1"/>
      <c r="J82" s="5">
        <f t="shared" ref="J82:J91" si="43">IF(H$12=0,0,H82/H$12)</f>
        <v>0</v>
      </c>
      <c r="K82" s="1"/>
      <c r="L82" s="1">
        <f t="shared" ref="L82:L91" si="44">+D82-H82</f>
        <v>0</v>
      </c>
      <c r="M82" s="1"/>
      <c r="N82" s="5">
        <f t="shared" ref="N82:N91" si="45">IF(H82=0,0,L82/H82)</f>
        <v>0</v>
      </c>
      <c r="O82" s="13"/>
      <c r="P82" s="1">
        <f>SUM(OSRRefP22_6x_0)</f>
        <v>-30.15</v>
      </c>
      <c r="Q82" s="1"/>
      <c r="R82" s="5">
        <f t="shared" ref="R82:R91" si="46">IF(P$12=0,0,P82/P$12)</f>
        <v>-2.5211076919371957E-5</v>
      </c>
      <c r="S82" s="1"/>
      <c r="T82" s="1">
        <f>SUM(OSRRefT22_6x_0)</f>
        <v>0</v>
      </c>
      <c r="U82" s="1"/>
      <c r="V82" s="5">
        <f t="shared" ref="V82:V91" si="47">IF(T$12=0,0,T82/T$12)</f>
        <v>0</v>
      </c>
      <c r="W82" s="1"/>
      <c r="X82" s="1">
        <f t="shared" ref="X82:X91" si="48">+P82-T82</f>
        <v>-30.15</v>
      </c>
      <c r="Y82" s="1"/>
      <c r="Z82" s="5">
        <f t="shared" ref="Z82:Z91" si="49">IF(T82=0,0,X82/T82)</f>
        <v>0</v>
      </c>
    </row>
    <row r="83" spans="1:26" s="24" customFormat="1" hidden="1" outlineLevel="2" x14ac:dyDescent="0.25">
      <c r="A83" s="25"/>
      <c r="B83" s="11" t="str">
        <f>CONCATENATE("          ", "6279", " - ", "GENERAL EXPENSE")</f>
        <v xml:space="preserve">          6279 - GENERAL EXPENSE</v>
      </c>
      <c r="C83" s="11"/>
      <c r="D83" s="6"/>
      <c r="E83" s="2"/>
      <c r="F83" s="7">
        <f t="shared" si="42"/>
        <v>0</v>
      </c>
      <c r="G83" s="2"/>
      <c r="H83" s="6"/>
      <c r="I83" s="2"/>
      <c r="J83" s="7">
        <f t="shared" si="43"/>
        <v>0</v>
      </c>
      <c r="K83" s="2"/>
      <c r="L83" s="6">
        <f t="shared" si="44"/>
        <v>0</v>
      </c>
      <c r="M83" s="2"/>
      <c r="N83" s="7">
        <f t="shared" si="45"/>
        <v>0</v>
      </c>
      <c r="O83" s="11"/>
      <c r="P83" s="6">
        <v>-30.15</v>
      </c>
      <c r="Q83" s="2"/>
      <c r="R83" s="7">
        <f t="shared" si="46"/>
        <v>-2.5211076919371957E-5</v>
      </c>
      <c r="S83" s="2"/>
      <c r="T83" s="6"/>
      <c r="U83" s="2"/>
      <c r="V83" s="7">
        <f t="shared" si="47"/>
        <v>0</v>
      </c>
      <c r="W83" s="2"/>
      <c r="X83" s="6">
        <f t="shared" si="48"/>
        <v>-30.15</v>
      </c>
      <c r="Y83" s="2"/>
      <c r="Z83" s="7">
        <f t="shared" si="49"/>
        <v>0</v>
      </c>
    </row>
    <row r="84" spans="1:26" s="26" customFormat="1" outlineLevel="1" collapsed="1" x14ac:dyDescent="0.25">
      <c r="A84" s="27"/>
      <c r="B84" s="13" t="str">
        <f>CONCATENATE("     ","Inventory Adjustment                              ")</f>
        <v xml:space="preserve">     Inventory Adjustment                              </v>
      </c>
      <c r="C84" s="13"/>
      <c r="D84" s="1">
        <f>SUM(OSRRefD22_7x_0)</f>
        <v>1250</v>
      </c>
      <c r="E84" s="1"/>
      <c r="F84" s="5">
        <f t="shared" si="42"/>
        <v>2.0909524154431387E-2</v>
      </c>
      <c r="G84" s="1"/>
      <c r="H84" s="1">
        <f>SUM(OSRRefH22_7x_0)</f>
        <v>0</v>
      </c>
      <c r="I84" s="1"/>
      <c r="J84" s="5">
        <f t="shared" si="43"/>
        <v>0</v>
      </c>
      <c r="K84" s="1"/>
      <c r="L84" s="1">
        <f t="shared" si="44"/>
        <v>1250</v>
      </c>
      <c r="M84" s="1"/>
      <c r="N84" s="5">
        <f t="shared" si="45"/>
        <v>0</v>
      </c>
      <c r="O84" s="13"/>
      <c r="P84" s="1">
        <f>SUM(OSRRefP22_7x_0)</f>
        <v>6250</v>
      </c>
      <c r="Q84" s="1"/>
      <c r="R84" s="5">
        <f t="shared" si="46"/>
        <v>5.2261768074983329E-3</v>
      </c>
      <c r="S84" s="1"/>
      <c r="T84" s="1">
        <f>SUM(OSRRefT22_7x_0)</f>
        <v>0</v>
      </c>
      <c r="U84" s="1"/>
      <c r="V84" s="5">
        <f t="shared" si="47"/>
        <v>0</v>
      </c>
      <c r="W84" s="1"/>
      <c r="X84" s="1">
        <f t="shared" si="48"/>
        <v>6250</v>
      </c>
      <c r="Y84" s="1"/>
      <c r="Z84" s="5">
        <f t="shared" si="49"/>
        <v>0</v>
      </c>
    </row>
    <row r="85" spans="1:26" s="24" customFormat="1" hidden="1" outlineLevel="2" x14ac:dyDescent="0.25">
      <c r="A85" s="25"/>
      <c r="B85" s="11" t="str">
        <f>CONCATENATE("          ", "6408", " - ", "INVENTORY ADJUSTMENT")</f>
        <v xml:space="preserve">          6408 - INVENTORY ADJUSTMENT</v>
      </c>
      <c r="C85" s="11"/>
      <c r="D85" s="6">
        <v>1250</v>
      </c>
      <c r="E85" s="2"/>
      <c r="F85" s="7">
        <f t="shared" si="42"/>
        <v>2.0909524154431387E-2</v>
      </c>
      <c r="G85" s="2"/>
      <c r="H85" s="6"/>
      <c r="I85" s="2"/>
      <c r="J85" s="7">
        <f t="shared" si="43"/>
        <v>0</v>
      </c>
      <c r="K85" s="2"/>
      <c r="L85" s="6">
        <f t="shared" si="44"/>
        <v>1250</v>
      </c>
      <c r="M85" s="2"/>
      <c r="N85" s="7">
        <f t="shared" si="45"/>
        <v>0</v>
      </c>
      <c r="O85" s="11"/>
      <c r="P85" s="6">
        <v>6250</v>
      </c>
      <c r="Q85" s="2"/>
      <c r="R85" s="7">
        <f t="shared" si="46"/>
        <v>5.2261768074983329E-3</v>
      </c>
      <c r="S85" s="2"/>
      <c r="T85" s="6"/>
      <c r="U85" s="2"/>
      <c r="V85" s="7">
        <f t="shared" si="47"/>
        <v>0</v>
      </c>
      <c r="W85" s="2"/>
      <c r="X85" s="6">
        <f t="shared" si="48"/>
        <v>6250</v>
      </c>
      <c r="Y85" s="2"/>
      <c r="Z85" s="7">
        <f t="shared" si="49"/>
        <v>0</v>
      </c>
    </row>
    <row r="86" spans="1:26" s="26" customFormat="1" outlineLevel="1" collapsed="1" x14ac:dyDescent="0.25">
      <c r="A86" s="27"/>
      <c r="B86" s="13" t="str">
        <f>CONCATENATE("     ","Subscriptions &amp; Dues                              ")</f>
        <v xml:space="preserve">     Subscriptions &amp; Dues                              </v>
      </c>
      <c r="C86" s="13"/>
      <c r="D86" s="1">
        <f>SUM(OSRRefD22_8x_0)</f>
        <v>0</v>
      </c>
      <c r="E86" s="1"/>
      <c r="F86" s="5">
        <f t="shared" si="42"/>
        <v>0</v>
      </c>
      <c r="G86" s="1"/>
      <c r="H86" s="1">
        <f>SUM(OSRRefH22_8x_0)</f>
        <v>0</v>
      </c>
      <c r="I86" s="1"/>
      <c r="J86" s="5">
        <f t="shared" si="43"/>
        <v>0</v>
      </c>
      <c r="K86" s="1"/>
      <c r="L86" s="1">
        <f t="shared" si="44"/>
        <v>0</v>
      </c>
      <c r="M86" s="1"/>
      <c r="N86" s="5">
        <f t="shared" si="45"/>
        <v>0</v>
      </c>
      <c r="O86" s="13"/>
      <c r="P86" s="1">
        <f>SUM(OSRRefP22_8x_0)</f>
        <v>0</v>
      </c>
      <c r="Q86" s="1"/>
      <c r="R86" s="5">
        <f t="shared" si="46"/>
        <v>0</v>
      </c>
      <c r="S86" s="1"/>
      <c r="T86" s="1">
        <f>SUM(OSRRefT22_8x_0)</f>
        <v>-5000</v>
      </c>
      <c r="U86" s="1"/>
      <c r="V86" s="5">
        <f t="shared" si="47"/>
        <v>-3.3358126649772023E-3</v>
      </c>
      <c r="W86" s="1"/>
      <c r="X86" s="1">
        <f t="shared" si="48"/>
        <v>5000</v>
      </c>
      <c r="Y86" s="1"/>
      <c r="Z86" s="5">
        <f t="shared" si="49"/>
        <v>-1</v>
      </c>
    </row>
    <row r="87" spans="1:26" s="24" customFormat="1" hidden="1" outlineLevel="2" x14ac:dyDescent="0.25">
      <c r="A87" s="25"/>
      <c r="B87" s="11" t="str">
        <f>CONCATENATE("          ", "6258", " - ", "MEMBERSHIP DUES")</f>
        <v xml:space="preserve">          6258 - MEMBERSHIP DUES</v>
      </c>
      <c r="C87" s="11"/>
      <c r="D87" s="6"/>
      <c r="E87" s="2"/>
      <c r="F87" s="7">
        <f t="shared" si="42"/>
        <v>0</v>
      </c>
      <c r="G87" s="2"/>
      <c r="H87" s="6"/>
      <c r="I87" s="2"/>
      <c r="J87" s="7">
        <f t="shared" si="43"/>
        <v>0</v>
      </c>
      <c r="K87" s="2"/>
      <c r="L87" s="6">
        <f t="shared" si="44"/>
        <v>0</v>
      </c>
      <c r="M87" s="2"/>
      <c r="N87" s="7">
        <f t="shared" si="45"/>
        <v>0</v>
      </c>
      <c r="O87" s="11"/>
      <c r="P87" s="6"/>
      <c r="Q87" s="2"/>
      <c r="R87" s="7">
        <f t="shared" si="46"/>
        <v>0</v>
      </c>
      <c r="S87" s="2"/>
      <c r="T87" s="6">
        <v>-5000</v>
      </c>
      <c r="U87" s="2"/>
      <c r="V87" s="7">
        <f t="shared" si="47"/>
        <v>-3.3358126649772023E-3</v>
      </c>
      <c r="W87" s="2"/>
      <c r="X87" s="6">
        <f t="shared" si="48"/>
        <v>5000</v>
      </c>
      <c r="Y87" s="2"/>
      <c r="Z87" s="7">
        <f t="shared" si="49"/>
        <v>-1</v>
      </c>
    </row>
    <row r="88" spans="1:26" s="26" customFormat="1" outlineLevel="1" collapsed="1" x14ac:dyDescent="0.25">
      <c r="A88" s="27"/>
      <c r="B88" s="13" t="str">
        <f>CONCATENATE("     ","Supplies                                          ")</f>
        <v xml:space="preserve">     Supplies                                          </v>
      </c>
      <c r="C88" s="13"/>
      <c r="D88" s="1">
        <f>SUM(OSRRefD22_9x_0)</f>
        <v>176.21</v>
      </c>
      <c r="E88" s="1"/>
      <c r="F88" s="5">
        <f t="shared" si="42"/>
        <v>2.947573801001884E-3</v>
      </c>
      <c r="G88" s="1"/>
      <c r="H88" s="1">
        <f>SUM(OSRRefH22_9x_0)</f>
        <v>1145.08</v>
      </c>
      <c r="I88" s="1"/>
      <c r="J88" s="5">
        <f t="shared" si="43"/>
        <v>7.1353292954968398E-3</v>
      </c>
      <c r="K88" s="1"/>
      <c r="L88" s="1">
        <f t="shared" si="44"/>
        <v>-968.86999999999989</v>
      </c>
      <c r="M88" s="1"/>
      <c r="N88" s="5">
        <f t="shared" si="45"/>
        <v>-0.84611555524504833</v>
      </c>
      <c r="O88" s="13"/>
      <c r="P88" s="1">
        <f>SUM(OSRRefP22_9x_0)</f>
        <v>1700.71</v>
      </c>
      <c r="Q88" s="1"/>
      <c r="R88" s="5">
        <f t="shared" si="46"/>
        <v>1.4221137853248783E-3</v>
      </c>
      <c r="S88" s="1"/>
      <c r="T88" s="1">
        <f>SUM(OSRRefT22_9x_0)</f>
        <v>2702.03</v>
      </c>
      <c r="U88" s="1"/>
      <c r="V88" s="5">
        <f t="shared" si="47"/>
        <v>1.8026931790296702E-3</v>
      </c>
      <c r="W88" s="1"/>
      <c r="X88" s="1">
        <f t="shared" si="48"/>
        <v>-1001.3200000000002</v>
      </c>
      <c r="Y88" s="1"/>
      <c r="Z88" s="5">
        <f t="shared" si="49"/>
        <v>-0.37058063752067893</v>
      </c>
    </row>
    <row r="89" spans="1:26" s="24" customFormat="1" hidden="1" outlineLevel="2" x14ac:dyDescent="0.25">
      <c r="A89" s="25"/>
      <c r="B89" s="11" t="str">
        <f>CONCATENATE("          ", "6235", " - ", "COVID-19 EXPENSES")</f>
        <v xml:space="preserve">          6235 - COVID-19 EXPENSES</v>
      </c>
      <c r="C89" s="11"/>
      <c r="D89" s="6"/>
      <c r="E89" s="2"/>
      <c r="F89" s="7">
        <f t="shared" si="42"/>
        <v>0</v>
      </c>
      <c r="G89" s="2"/>
      <c r="H89" s="6"/>
      <c r="I89" s="2"/>
      <c r="J89" s="7">
        <f t="shared" si="43"/>
        <v>0</v>
      </c>
      <c r="K89" s="2"/>
      <c r="L89" s="6">
        <f t="shared" si="44"/>
        <v>0</v>
      </c>
      <c r="M89" s="2"/>
      <c r="N89" s="7">
        <f t="shared" si="45"/>
        <v>0</v>
      </c>
      <c r="O89" s="11"/>
      <c r="P89" s="6">
        <v>668.12</v>
      </c>
      <c r="Q89" s="2"/>
      <c r="R89" s="7">
        <f t="shared" si="46"/>
        <v>5.5867411978012581E-4</v>
      </c>
      <c r="S89" s="2"/>
      <c r="T89" s="6"/>
      <c r="U89" s="2"/>
      <c r="V89" s="7">
        <f t="shared" si="47"/>
        <v>0</v>
      </c>
      <c r="W89" s="2"/>
      <c r="X89" s="6">
        <f t="shared" si="48"/>
        <v>668.12</v>
      </c>
      <c r="Y89" s="2"/>
      <c r="Z89" s="7">
        <f t="shared" si="49"/>
        <v>0</v>
      </c>
    </row>
    <row r="90" spans="1:26" s="24" customFormat="1" hidden="1" outlineLevel="2" x14ac:dyDescent="0.25">
      <c r="A90" s="25"/>
      <c r="B90" s="11" t="str">
        <f>CONCATENATE("          ", "6241", " - ", "OFFICE EXPENSE")</f>
        <v xml:space="preserve">          6241 - OFFICE EXPENSE</v>
      </c>
      <c r="C90" s="11"/>
      <c r="D90" s="6">
        <v>176.21</v>
      </c>
      <c r="E90" s="2"/>
      <c r="F90" s="7">
        <f t="shared" si="42"/>
        <v>2.947573801001884E-3</v>
      </c>
      <c r="G90" s="2"/>
      <c r="H90" s="6">
        <v>76.349999999999994</v>
      </c>
      <c r="I90" s="2"/>
      <c r="J90" s="7">
        <f t="shared" si="43"/>
        <v>4.7575924102349508E-4</v>
      </c>
      <c r="K90" s="2"/>
      <c r="L90" s="6">
        <f t="shared" si="44"/>
        <v>99.860000000000014</v>
      </c>
      <c r="M90" s="2"/>
      <c r="N90" s="7">
        <f t="shared" si="45"/>
        <v>1.3079240340537004</v>
      </c>
      <c r="O90" s="11"/>
      <c r="P90" s="6">
        <v>1032.5899999999999</v>
      </c>
      <c r="Q90" s="2"/>
      <c r="R90" s="7">
        <f t="shared" si="46"/>
        <v>8.6343966554475247E-4</v>
      </c>
      <c r="S90" s="2"/>
      <c r="T90" s="6">
        <v>692.65</v>
      </c>
      <c r="U90" s="2"/>
      <c r="V90" s="7">
        <f t="shared" si="47"/>
        <v>4.6211012847929183E-4</v>
      </c>
      <c r="W90" s="2"/>
      <c r="X90" s="6">
        <f t="shared" si="48"/>
        <v>339.93999999999994</v>
      </c>
      <c r="Y90" s="2"/>
      <c r="Z90" s="7">
        <f t="shared" si="49"/>
        <v>0.49078178011982959</v>
      </c>
    </row>
    <row r="91" spans="1:26" s="24" customFormat="1" hidden="1" outlineLevel="2" x14ac:dyDescent="0.25">
      <c r="A91" s="25"/>
      <c r="B91" s="11" t="str">
        <f>CONCATENATE("          ", "6247", " - ", "STORE SUPPLIES")</f>
        <v xml:space="preserve">          6247 - STORE SUPPLIES</v>
      </c>
      <c r="C91" s="11"/>
      <c r="D91" s="6"/>
      <c r="E91" s="2"/>
      <c r="F91" s="7">
        <f t="shared" si="42"/>
        <v>0</v>
      </c>
      <c r="G91" s="2"/>
      <c r="H91" s="6">
        <v>1068.73</v>
      </c>
      <c r="I91" s="2"/>
      <c r="J91" s="7">
        <f t="shared" si="43"/>
        <v>6.659570054473346E-3</v>
      </c>
      <c r="K91" s="2"/>
      <c r="L91" s="6">
        <f t="shared" si="44"/>
        <v>-1068.73</v>
      </c>
      <c r="M91" s="2"/>
      <c r="N91" s="7">
        <f t="shared" si="45"/>
        <v>-1</v>
      </c>
      <c r="O91" s="11"/>
      <c r="P91" s="6"/>
      <c r="Q91" s="2"/>
      <c r="R91" s="7">
        <f t="shared" si="46"/>
        <v>0</v>
      </c>
      <c r="S91" s="2"/>
      <c r="T91" s="6">
        <v>2009.38</v>
      </c>
      <c r="U91" s="2"/>
      <c r="V91" s="7">
        <f t="shared" si="47"/>
        <v>1.3405830505503783E-3</v>
      </c>
      <c r="W91" s="2"/>
      <c r="X91" s="6">
        <f t="shared" si="48"/>
        <v>-2009.38</v>
      </c>
      <c r="Y91" s="2"/>
      <c r="Z91" s="7">
        <f t="shared" si="49"/>
        <v>-1</v>
      </c>
    </row>
    <row r="92" spans="1:26" s="26" customFormat="1" outlineLevel="1" collapsed="1" x14ac:dyDescent="0.25">
      <c r="A92" s="27"/>
      <c r="B92" s="13" t="str">
        <f>CONCATENATE("     ","Telephone/Data Lines                              ")</f>
        <v xml:space="preserve">     Telephone/Data Lines                              </v>
      </c>
      <c r="C92" s="13"/>
      <c r="D92" s="1">
        <f>SUM(OSRRefD22_10x_0)</f>
        <v>304.5</v>
      </c>
      <c r="E92" s="1"/>
      <c r="F92" s="5">
        <f t="shared" ref="F92:F97" si="50">IF(D$12=0,0,D92/D$12)</f>
        <v>5.0935600840194863E-3</v>
      </c>
      <c r="G92" s="1"/>
      <c r="H92" s="1">
        <f>SUM(OSRRefH22_10x_0)</f>
        <v>258.35000000000002</v>
      </c>
      <c r="I92" s="1"/>
      <c r="J92" s="5">
        <f t="shared" ref="J92:J97" si="51">IF(H$12=0,0,H92/H$12)</f>
        <v>1.6098546158273737E-3</v>
      </c>
      <c r="K92" s="1"/>
      <c r="L92" s="1">
        <f t="shared" ref="L92:L97" si="52">+D92-H92</f>
        <v>46.149999999999977</v>
      </c>
      <c r="M92" s="1"/>
      <c r="N92" s="5">
        <f t="shared" ref="N92:N97" si="53">IF(H92=0,0,L92/H92)</f>
        <v>0.17863363653957798</v>
      </c>
      <c r="O92" s="13"/>
      <c r="P92" s="1">
        <f>SUM(OSRRefP22_10x_0)</f>
        <v>1570.35</v>
      </c>
      <c r="Q92" s="1"/>
      <c r="R92" s="5">
        <f t="shared" ref="R92:R97" si="54">IF(P$12=0,0,P92/P$12)</f>
        <v>1.313108279944801E-3</v>
      </c>
      <c r="S92" s="1"/>
      <c r="T92" s="1">
        <f>SUM(OSRRefT22_10x_0)</f>
        <v>1279.1500000000001</v>
      </c>
      <c r="U92" s="1"/>
      <c r="V92" s="5">
        <f t="shared" ref="V92:V97" si="55">IF(T$12=0,0,T92/T$12)</f>
        <v>8.5340095408111775E-4</v>
      </c>
      <c r="W92" s="1"/>
      <c r="X92" s="1">
        <f t="shared" ref="X92:X97" si="56">+P92-T92</f>
        <v>291.19999999999982</v>
      </c>
      <c r="Y92" s="1"/>
      <c r="Z92" s="5">
        <f t="shared" ref="Z92:Z97" si="57">IF(T92=0,0,X92/T92)</f>
        <v>0.22765117460813805</v>
      </c>
    </row>
    <row r="93" spans="1:26" s="24" customFormat="1" hidden="1" outlineLevel="2" x14ac:dyDescent="0.25">
      <c r="A93" s="25"/>
      <c r="B93" s="11" t="str">
        <f>CONCATENATE("          ", "6309", " - ", "TELEPHONE")</f>
        <v xml:space="preserve">          6309 - TELEPHONE</v>
      </c>
      <c r="C93" s="11"/>
      <c r="D93" s="6">
        <v>304.5</v>
      </c>
      <c r="E93" s="2"/>
      <c r="F93" s="7">
        <f t="shared" si="50"/>
        <v>5.0935600840194863E-3</v>
      </c>
      <c r="G93" s="2"/>
      <c r="H93" s="6">
        <v>258.35000000000002</v>
      </c>
      <c r="I93" s="2"/>
      <c r="J93" s="7">
        <f t="shared" si="51"/>
        <v>1.6098546158273737E-3</v>
      </c>
      <c r="K93" s="2"/>
      <c r="L93" s="6">
        <f t="shared" si="52"/>
        <v>46.149999999999977</v>
      </c>
      <c r="M93" s="2"/>
      <c r="N93" s="7">
        <f t="shared" si="53"/>
        <v>0.17863363653957798</v>
      </c>
      <c r="O93" s="11"/>
      <c r="P93" s="6">
        <v>1570.35</v>
      </c>
      <c r="Q93" s="2"/>
      <c r="R93" s="7">
        <f t="shared" si="54"/>
        <v>1.313108279944801E-3</v>
      </c>
      <c r="S93" s="2"/>
      <c r="T93" s="6">
        <v>1279.1500000000001</v>
      </c>
      <c r="U93" s="2"/>
      <c r="V93" s="7">
        <f t="shared" si="55"/>
        <v>8.5340095408111775E-4</v>
      </c>
      <c r="W93" s="2"/>
      <c r="X93" s="6">
        <f t="shared" si="56"/>
        <v>291.19999999999982</v>
      </c>
      <c r="Y93" s="2"/>
      <c r="Z93" s="7">
        <f t="shared" si="57"/>
        <v>0.22765117460813805</v>
      </c>
    </row>
    <row r="94" spans="1:26" s="26" customFormat="1" outlineLevel="1" collapsed="1" x14ac:dyDescent="0.25">
      <c r="A94" s="27"/>
      <c r="B94" s="13" t="str">
        <f>CONCATENATE("     ","Training                                          ")</f>
        <v xml:space="preserve">     Training                                          </v>
      </c>
      <c r="C94" s="13"/>
      <c r="D94" s="1">
        <f>SUM(OSRRefD22_11x_0)</f>
        <v>0</v>
      </c>
      <c r="E94" s="1"/>
      <c r="F94" s="5">
        <f t="shared" si="50"/>
        <v>0</v>
      </c>
      <c r="G94" s="1"/>
      <c r="H94" s="1">
        <f>SUM(OSRRefH22_11x_0)</f>
        <v>1123.6400000000001</v>
      </c>
      <c r="I94" s="1"/>
      <c r="J94" s="5">
        <f t="shared" si="51"/>
        <v>7.0017303678276376E-3</v>
      </c>
      <c r="K94" s="1"/>
      <c r="L94" s="1">
        <f t="shared" si="52"/>
        <v>-1123.6400000000001</v>
      </c>
      <c r="M94" s="1"/>
      <c r="N94" s="5">
        <f t="shared" si="53"/>
        <v>-1</v>
      </c>
      <c r="O94" s="13"/>
      <c r="P94" s="1">
        <f>SUM(OSRRefP22_11x_0)</f>
        <v>100</v>
      </c>
      <c r="Q94" s="1"/>
      <c r="R94" s="5">
        <f t="shared" si="54"/>
        <v>8.3618828919973322E-5</v>
      </c>
      <c r="S94" s="1"/>
      <c r="T94" s="1">
        <f>SUM(OSRRefT22_11x_0)</f>
        <v>1163.6400000000001</v>
      </c>
      <c r="U94" s="1"/>
      <c r="V94" s="5">
        <f t="shared" si="55"/>
        <v>7.7633700989481445E-4</v>
      </c>
      <c r="W94" s="1"/>
      <c r="X94" s="1">
        <f t="shared" si="56"/>
        <v>-1063.6400000000001</v>
      </c>
      <c r="Y94" s="1"/>
      <c r="Z94" s="5">
        <f t="shared" si="57"/>
        <v>-0.91406276855384827</v>
      </c>
    </row>
    <row r="95" spans="1:26" s="24" customFormat="1" hidden="1" outlineLevel="2" x14ac:dyDescent="0.25">
      <c r="A95" s="25"/>
      <c r="B95" s="11" t="str">
        <f>CONCATENATE("          ", "6376", " - ", "TRAINING")</f>
        <v xml:space="preserve">          6376 - TRAINING</v>
      </c>
      <c r="C95" s="11"/>
      <c r="D95" s="6"/>
      <c r="E95" s="2"/>
      <c r="F95" s="7">
        <f t="shared" si="50"/>
        <v>0</v>
      </c>
      <c r="G95" s="2"/>
      <c r="H95" s="6">
        <v>1123.6400000000001</v>
      </c>
      <c r="I95" s="2"/>
      <c r="J95" s="7">
        <f t="shared" si="51"/>
        <v>7.0017303678276376E-3</v>
      </c>
      <c r="K95" s="2"/>
      <c r="L95" s="6">
        <f t="shared" si="52"/>
        <v>-1123.6400000000001</v>
      </c>
      <c r="M95" s="2"/>
      <c r="N95" s="7">
        <f t="shared" si="53"/>
        <v>-1</v>
      </c>
      <c r="O95" s="11"/>
      <c r="P95" s="6">
        <v>100</v>
      </c>
      <c r="Q95" s="2"/>
      <c r="R95" s="7">
        <f t="shared" si="54"/>
        <v>8.3618828919973322E-5</v>
      </c>
      <c r="S95" s="2"/>
      <c r="T95" s="6">
        <v>1163.6400000000001</v>
      </c>
      <c r="U95" s="2"/>
      <c r="V95" s="7">
        <f t="shared" si="55"/>
        <v>7.7633700989481445E-4</v>
      </c>
      <c r="W95" s="2"/>
      <c r="X95" s="6">
        <f t="shared" si="56"/>
        <v>-1063.6400000000001</v>
      </c>
      <c r="Y95" s="2"/>
      <c r="Z95" s="7">
        <f t="shared" si="57"/>
        <v>-0.91406276855384827</v>
      </c>
    </row>
    <row r="96" spans="1:26" s="26" customFormat="1" outlineLevel="1" collapsed="1" x14ac:dyDescent="0.25">
      <c r="A96" s="27"/>
      <c r="B96" s="13" t="str">
        <f>CONCATENATE("     ","Travel                                            ")</f>
        <v xml:space="preserve">     Travel                                            </v>
      </c>
      <c r="C96" s="13"/>
      <c r="D96" s="1">
        <f>SUM(OSRRefD22_12x_0)</f>
        <v>0</v>
      </c>
      <c r="E96" s="1"/>
      <c r="F96" s="5">
        <f t="shared" si="50"/>
        <v>0</v>
      </c>
      <c r="G96" s="1"/>
      <c r="H96" s="1">
        <f>SUM(OSRRefH22_12x_0)</f>
        <v>-178.06</v>
      </c>
      <c r="I96" s="1"/>
      <c r="J96" s="5">
        <f t="shared" si="51"/>
        <v>-1.1095440793273549E-3</v>
      </c>
      <c r="K96" s="1"/>
      <c r="L96" s="1">
        <f t="shared" si="52"/>
        <v>178.06</v>
      </c>
      <c r="M96" s="1"/>
      <c r="N96" s="5">
        <f t="shared" si="53"/>
        <v>-1</v>
      </c>
      <c r="O96" s="13"/>
      <c r="P96" s="1">
        <f>SUM(OSRRefP22_12x_0)</f>
        <v>0</v>
      </c>
      <c r="Q96" s="1"/>
      <c r="R96" s="5">
        <f t="shared" si="54"/>
        <v>0</v>
      </c>
      <c r="S96" s="1"/>
      <c r="T96" s="1">
        <f>SUM(OSRRefT22_12x_0)</f>
        <v>-178.06</v>
      </c>
      <c r="U96" s="1"/>
      <c r="V96" s="5">
        <f t="shared" si="55"/>
        <v>-1.1879496062516813E-4</v>
      </c>
      <c r="W96" s="1"/>
      <c r="X96" s="1">
        <f t="shared" si="56"/>
        <v>178.06</v>
      </c>
      <c r="Y96" s="1"/>
      <c r="Z96" s="5">
        <f t="shared" si="57"/>
        <v>-1</v>
      </c>
    </row>
    <row r="97" spans="1:26" s="24" customFormat="1" hidden="1" outlineLevel="2" x14ac:dyDescent="0.25">
      <c r="A97" s="25"/>
      <c r="B97" s="11" t="str">
        <f>CONCATENATE("          ", "6292", " - ", "TRAVEL/CONFERENCE")</f>
        <v xml:space="preserve">          6292 - TRAVEL/CONFERENCE</v>
      </c>
      <c r="C97" s="11"/>
      <c r="D97" s="6"/>
      <c r="E97" s="2"/>
      <c r="F97" s="7">
        <f t="shared" si="50"/>
        <v>0</v>
      </c>
      <c r="G97" s="2"/>
      <c r="H97" s="6">
        <v>-178.06</v>
      </c>
      <c r="I97" s="2"/>
      <c r="J97" s="7">
        <f t="shared" si="51"/>
        <v>-1.1095440793273549E-3</v>
      </c>
      <c r="K97" s="2"/>
      <c r="L97" s="6">
        <f t="shared" si="52"/>
        <v>178.06</v>
      </c>
      <c r="M97" s="2"/>
      <c r="N97" s="7">
        <f t="shared" si="53"/>
        <v>-1</v>
      </c>
      <c r="O97" s="11"/>
      <c r="P97" s="6"/>
      <c r="Q97" s="2"/>
      <c r="R97" s="7">
        <f t="shared" si="54"/>
        <v>0</v>
      </c>
      <c r="S97" s="2"/>
      <c r="T97" s="6">
        <v>-178.06</v>
      </c>
      <c r="U97" s="2"/>
      <c r="V97" s="7">
        <f t="shared" si="55"/>
        <v>-1.1879496062516813E-4</v>
      </c>
      <c r="W97" s="2"/>
      <c r="X97" s="6">
        <f t="shared" si="56"/>
        <v>178.06</v>
      </c>
      <c r="Y97" s="2"/>
      <c r="Z97" s="7">
        <f t="shared" si="57"/>
        <v>-1</v>
      </c>
    </row>
    <row r="98" spans="1:26" s="53" customFormat="1" x14ac:dyDescent="0.25">
      <c r="A98" s="37"/>
      <c r="B98" s="37"/>
      <c r="C98" s="37"/>
      <c r="D98" s="1"/>
      <c r="E98" s="1"/>
      <c r="F98" s="5"/>
      <c r="G98" s="1"/>
      <c r="H98" s="1"/>
      <c r="I98" s="1"/>
      <c r="J98" s="5"/>
      <c r="K98" s="1"/>
      <c r="L98" s="1"/>
      <c r="M98" s="1"/>
      <c r="N98" s="5"/>
      <c r="O98" s="37"/>
      <c r="P98" s="1"/>
      <c r="Q98" s="1"/>
      <c r="R98" s="5"/>
      <c r="S98" s="1"/>
      <c r="T98" s="1"/>
      <c r="U98" s="1"/>
      <c r="V98" s="5"/>
      <c r="W98" s="1"/>
      <c r="X98" s="1"/>
      <c r="Y98" s="1"/>
      <c r="Z98" s="5"/>
    </row>
    <row r="99" spans="1:26" s="23" customFormat="1" collapsed="1" x14ac:dyDescent="0.25">
      <c r="A99" s="10"/>
      <c r="B99" s="29" t="s">
        <v>0</v>
      </c>
      <c r="C99" s="10"/>
      <c r="D99" s="4">
        <f>SUM(OSRRefD25x_0)</f>
        <v>-368.13</v>
      </c>
      <c r="E99" s="4"/>
      <c r="F99" s="12">
        <f t="shared" ref="F99:F102" si="58">IF(D$12=0,0,D99/D$12)</f>
        <v>-6.1579385015766612E-3</v>
      </c>
      <c r="G99" s="4"/>
      <c r="H99" s="4">
        <f>SUM(OSRRefH25x_0)</f>
        <v>942.8</v>
      </c>
      <c r="I99" s="4"/>
      <c r="J99" s="12">
        <f t="shared" ref="J99:J102" si="59">IF(H$12=0,0,H99/H$12)</f>
        <v>5.8748632932148154E-3</v>
      </c>
      <c r="K99" s="4"/>
      <c r="L99" s="4">
        <f t="shared" ref="L99:L102" si="60">+D99-H99</f>
        <v>-1310.9299999999998</v>
      </c>
      <c r="M99" s="4"/>
      <c r="N99" s="12">
        <f t="shared" ref="N99:N102" si="61">IF(H99=0,0,L99/H99)</f>
        <v>-1.3904645736105217</v>
      </c>
      <c r="O99" s="10"/>
      <c r="P99" s="4">
        <f>SUM(OSRRefP25x_0)</f>
        <v>755.11</v>
      </c>
      <c r="Q99" s="4"/>
      <c r="R99" s="12">
        <f t="shared" ref="R99:R102" si="62">IF(P$12=0,0,P99/P$12)</f>
        <v>6.3141413905761054E-4</v>
      </c>
      <c r="S99" s="4"/>
      <c r="T99" s="4">
        <f>SUM(OSRRefT25x_0)</f>
        <v>7231.7300000000005</v>
      </c>
      <c r="U99" s="4"/>
      <c r="V99" s="12">
        <f t="shared" ref="V99:V102" si="63">IF(T$12=0,0,T99/T$12)</f>
        <v>4.8247393047391174E-3</v>
      </c>
      <c r="W99" s="4"/>
      <c r="X99" s="4">
        <f t="shared" ref="X99:X102" si="64">+P99-T99</f>
        <v>-6476.6200000000008</v>
      </c>
      <c r="Y99" s="4"/>
      <c r="Z99" s="12">
        <f t="shared" ref="Z99:Z102" si="65">IF(T99=0,0,X99/T99)</f>
        <v>-0.89558376764619263</v>
      </c>
    </row>
    <row r="100" spans="1:26" s="24" customFormat="1" hidden="1" outlineLevel="1" x14ac:dyDescent="0.25">
      <c r="A100" s="44"/>
      <c r="B100" s="11" t="str">
        <f>CONCATENATE("          ", "4187", " - ", "NON-TAXABLE SALES-COMPUTER REP")</f>
        <v xml:space="preserve">          4187 - NON-TAXABLE SALES-COMPUTER REP</v>
      </c>
      <c r="C100" s="11"/>
      <c r="D100" s="2">
        <f>-374.75</f>
        <v>-374.75</v>
      </c>
      <c r="E100" s="2"/>
      <c r="F100" s="19">
        <f t="shared" si="58"/>
        <v>-6.2686753414985304E-3</v>
      </c>
      <c r="G100" s="2"/>
      <c r="H100" s="2">
        <f>--949.24</f>
        <v>949.24</v>
      </c>
      <c r="I100" s="2"/>
      <c r="J100" s="19">
        <f t="shared" si="59"/>
        <v>5.9149928218617228E-3</v>
      </c>
      <c r="K100" s="2"/>
      <c r="L100" s="2">
        <f t="shared" si="60"/>
        <v>-1323.99</v>
      </c>
      <c r="M100" s="2"/>
      <c r="N100" s="19">
        <f t="shared" si="61"/>
        <v>-1.3947895158231849</v>
      </c>
      <c r="O100" s="11"/>
      <c r="P100" s="2">
        <f>--563.21</f>
        <v>563.21</v>
      </c>
      <c r="Q100" s="2"/>
      <c r="R100" s="19">
        <f t="shared" si="62"/>
        <v>4.7094960636018181E-4</v>
      </c>
      <c r="S100" s="2"/>
      <c r="T100" s="2">
        <f>--12731.93</f>
        <v>12731.93</v>
      </c>
      <c r="U100" s="2"/>
      <c r="V100" s="19">
        <f t="shared" si="63"/>
        <v>8.4942666687206382E-3</v>
      </c>
      <c r="W100" s="2"/>
      <c r="X100" s="2">
        <f t="shared" si="64"/>
        <v>-12168.720000000001</v>
      </c>
      <c r="Y100" s="2"/>
      <c r="Z100" s="19">
        <f t="shared" si="65"/>
        <v>-0.95576397294047333</v>
      </c>
    </row>
    <row r="101" spans="1:26" s="24" customFormat="1" hidden="1" outlineLevel="1" x14ac:dyDescent="0.25">
      <c r="A101" s="44"/>
      <c r="B101" s="11" t="str">
        <f>CONCATENATE("          ", "4387", " - ", "SALES RETURN NON TAXABLE-COMPU")</f>
        <v xml:space="preserve">          4387 - SALES RETURN NON TAXABLE-COMPU</v>
      </c>
      <c r="C101" s="11"/>
      <c r="D101" s="2">
        <f>0</f>
        <v>0</v>
      </c>
      <c r="E101" s="2"/>
      <c r="F101" s="19">
        <f t="shared" si="58"/>
        <v>0</v>
      </c>
      <c r="G101" s="2"/>
      <c r="H101" s="2">
        <f>-1098.25</f>
        <v>-1098.25</v>
      </c>
      <c r="I101" s="2"/>
      <c r="J101" s="19">
        <f t="shared" si="59"/>
        <v>-6.8435178317492271E-3</v>
      </c>
      <c r="K101" s="2"/>
      <c r="L101" s="2">
        <f t="shared" si="60"/>
        <v>1098.25</v>
      </c>
      <c r="M101" s="2"/>
      <c r="N101" s="19">
        <f t="shared" si="61"/>
        <v>-1</v>
      </c>
      <c r="O101" s="11"/>
      <c r="P101" s="2">
        <f>0</f>
        <v>0</v>
      </c>
      <c r="Q101" s="2"/>
      <c r="R101" s="19">
        <f t="shared" si="62"/>
        <v>0</v>
      </c>
      <c r="S101" s="2"/>
      <c r="T101" s="2">
        <f>-7889</f>
        <v>-7889</v>
      </c>
      <c r="U101" s="2"/>
      <c r="V101" s="19">
        <f t="shared" si="63"/>
        <v>-5.26324522280103E-3</v>
      </c>
      <c r="W101" s="2"/>
      <c r="X101" s="2">
        <f t="shared" si="64"/>
        <v>7889</v>
      </c>
      <c r="Y101" s="2"/>
      <c r="Z101" s="19">
        <f t="shared" si="65"/>
        <v>-1</v>
      </c>
    </row>
    <row r="102" spans="1:26" s="24" customFormat="1" hidden="1" outlineLevel="1" x14ac:dyDescent="0.25">
      <c r="A102" s="44"/>
      <c r="B102" s="11" t="str">
        <f>CONCATENATE("          ", "9150", " - ", "MISC. INCOME")</f>
        <v xml:space="preserve">          9150 - MISC. INCOME</v>
      </c>
      <c r="C102" s="11"/>
      <c r="D102" s="2">
        <f>--6.62</f>
        <v>6.62</v>
      </c>
      <c r="E102" s="2"/>
      <c r="F102" s="19">
        <f t="shared" si="58"/>
        <v>1.1073683992186863E-4</v>
      </c>
      <c r="G102" s="2"/>
      <c r="H102" s="2">
        <f>--1091.81</f>
        <v>1091.81</v>
      </c>
      <c r="I102" s="2"/>
      <c r="J102" s="19">
        <f t="shared" si="59"/>
        <v>6.8033883031023206E-3</v>
      </c>
      <c r="K102" s="2"/>
      <c r="L102" s="2">
        <f t="shared" si="60"/>
        <v>-1085.19</v>
      </c>
      <c r="M102" s="2"/>
      <c r="N102" s="19">
        <f t="shared" si="61"/>
        <v>-0.99393667396341867</v>
      </c>
      <c r="O102" s="11"/>
      <c r="P102" s="2">
        <f>--191.9</f>
        <v>191.9</v>
      </c>
      <c r="Q102" s="2"/>
      <c r="R102" s="19">
        <f t="shared" si="62"/>
        <v>1.6046453269742881E-4</v>
      </c>
      <c r="S102" s="2"/>
      <c r="T102" s="2">
        <f>--2388.8</f>
        <v>2388.8000000000002</v>
      </c>
      <c r="U102" s="2"/>
      <c r="V102" s="19">
        <f t="shared" si="63"/>
        <v>1.5937178588195083E-3</v>
      </c>
      <c r="W102" s="2"/>
      <c r="X102" s="2">
        <f t="shared" si="64"/>
        <v>-2196.9</v>
      </c>
      <c r="Y102" s="2"/>
      <c r="Z102" s="19">
        <f t="shared" si="65"/>
        <v>-0.91966677829872734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10"/>
      <c r="B104" s="28" t="s">
        <v>3</v>
      </c>
      <c r="C104" s="28"/>
      <c r="D104" s="20">
        <f>+D54-D56+D99</f>
        <v>-13429.509999999993</v>
      </c>
      <c r="E104" s="14"/>
      <c r="F104" s="22">
        <f>IF(D$12=0,0,D104/D$12)</f>
        <v>-0.22464373098174217</v>
      </c>
      <c r="G104" s="14"/>
      <c r="H104" s="20">
        <f>+H54-H56+H99</f>
        <v>29596.329999999929</v>
      </c>
      <c r="I104" s="14"/>
      <c r="J104" s="22">
        <f>IF(H$12=0,0,H104/H$12)</f>
        <v>0.1844234118910395</v>
      </c>
      <c r="K104" s="15"/>
      <c r="L104" s="20">
        <f>+D104-H104</f>
        <v>-43025.839999999924</v>
      </c>
      <c r="M104" s="15"/>
      <c r="N104" s="22">
        <f>IF(H104=0,0,L104/H104)</f>
        <v>-1.4537559217646252</v>
      </c>
      <c r="O104" s="29"/>
      <c r="P104" s="20">
        <f>+P54-P56+P99</f>
        <v>-11364.529999999693</v>
      </c>
      <c r="Q104" s="14"/>
      <c r="R104" s="22">
        <f>IF(P$12=0,0,P104/P$12)</f>
        <v>-9.5028868982587889E-3</v>
      </c>
      <c r="S104" s="14"/>
      <c r="T104" s="20">
        <f>+T54-T56+T99</f>
        <v>54490.210000000072</v>
      </c>
      <c r="U104" s="14"/>
      <c r="V104" s="22">
        <f>IF(T$12=0,0,T104/T$12)</f>
        <v>3.6353826527053525E-2</v>
      </c>
      <c r="W104" s="15"/>
      <c r="X104" s="20">
        <f>+P104-T104</f>
        <v>-65854.739999999758</v>
      </c>
      <c r="Y104" s="15"/>
      <c r="Z104" s="22">
        <f>IF(T104=0,0,X104/T104)</f>
        <v>-1.2085609506735187</v>
      </c>
    </row>
    <row r="105" spans="1:26" x14ac:dyDescent="0.25">
      <c r="A105" s="9"/>
      <c r="B105" s="10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51"/>
      <c r="B106" s="10" t="s">
        <v>13</v>
      </c>
      <c r="C106" s="10"/>
      <c r="D106" s="4">
        <v>-56079.39</v>
      </c>
      <c r="E106" s="4"/>
      <c r="F106" s="12">
        <f>IF(D$12=0,0,D106/D$12)</f>
        <v>-0.9380746878166224</v>
      </c>
      <c r="G106" s="4"/>
      <c r="H106" s="4">
        <v>23994.560000000001</v>
      </c>
      <c r="I106" s="4"/>
      <c r="J106" s="12">
        <f>IF(H$12=0,0,H106/H$12)</f>
        <v>0.14951714020029752</v>
      </c>
      <c r="K106" s="4"/>
      <c r="L106" s="4">
        <f>+D106-H106</f>
        <v>-80073.95</v>
      </c>
      <c r="M106" s="4"/>
      <c r="N106" s="12">
        <f>IF(H106=0,0,L106/H106)</f>
        <v>-3.3371710087619859</v>
      </c>
      <c r="O106" s="10"/>
      <c r="P106" s="4">
        <v>190029</v>
      </c>
      <c r="Q106" s="4"/>
      <c r="R106" s="12">
        <f>IF(P$12=0,0,P106/P$12)</f>
        <v>0.15890002440833612</v>
      </c>
      <c r="S106" s="4"/>
      <c r="T106" s="4">
        <v>158721.79999999999</v>
      </c>
      <c r="U106" s="4"/>
      <c r="V106" s="12">
        <f>IF(T$12=0,0,T106/T$12)</f>
        <v>0.1058932381295957</v>
      </c>
      <c r="W106" s="4"/>
      <c r="X106" s="4">
        <f>+P106-T106</f>
        <v>31307.200000000012</v>
      </c>
      <c r="Y106" s="4"/>
      <c r="Z106" s="12">
        <f>IF(T106=0,0,X106/T106)</f>
        <v>0.19724574696103506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8" t="s">
        <v>4</v>
      </c>
      <c r="C108" s="28"/>
      <c r="D108" s="31">
        <f>+D104-D106</f>
        <v>42649.880000000005</v>
      </c>
      <c r="E108" s="14"/>
      <c r="F108" s="34">
        <f>IF(D$12=0,0,D108/D$12)</f>
        <v>0.71343095683488023</v>
      </c>
      <c r="G108" s="14"/>
      <c r="H108" s="31">
        <f>+H104-H106</f>
        <v>5601.7699999999277</v>
      </c>
      <c r="I108" s="14"/>
      <c r="J108" s="34">
        <f>IF(H$12=0,0,H108/H$12)</f>
        <v>3.4906271690741973E-2</v>
      </c>
      <c r="K108" s="15"/>
      <c r="L108" s="31">
        <f>D108-H108</f>
        <v>37048.110000000073</v>
      </c>
      <c r="M108" s="15"/>
      <c r="N108" s="34">
        <f>IF(H108=0,0,L108/H108)</f>
        <v>6.6136435448082569</v>
      </c>
      <c r="O108" s="29"/>
      <c r="P108" s="31">
        <f>+P104-P106</f>
        <v>-201393.52999999968</v>
      </c>
      <c r="Q108" s="14"/>
      <c r="R108" s="34">
        <f>IF(P$12=0,0,P108/P$12)</f>
        <v>-0.16840291130659488</v>
      </c>
      <c r="S108" s="14"/>
      <c r="T108" s="31">
        <f>+T104-T106</f>
        <v>-104231.58999999991</v>
      </c>
      <c r="U108" s="14"/>
      <c r="V108" s="34">
        <f>IF(T$12=0,0,T108/T$12)</f>
        <v>-6.9539411602542164E-2</v>
      </c>
      <c r="W108" s="15"/>
      <c r="X108" s="31">
        <f>P108-T108</f>
        <v>-97161.939999999769</v>
      </c>
      <c r="Y108" s="15"/>
      <c r="Z108" s="34">
        <f>IF(T108=0,0,X108/T108)</f>
        <v>0.93217363373234408</v>
      </c>
    </row>
    <row r="109" spans="1:26" ht="15.75" thickTop="1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8" t="s">
        <v>5</v>
      </c>
      <c r="C111" s="28"/>
      <c r="D111" s="32">
        <f>SUM(D108:D110)</f>
        <v>42649.880000000005</v>
      </c>
      <c r="E111" s="14"/>
      <c r="F111" s="30">
        <f>IF(D$12=0,0,D111/D$12)</f>
        <v>0.71343095683488023</v>
      </c>
      <c r="G111" s="14"/>
      <c r="H111" s="32">
        <f>SUM(H108:H110)</f>
        <v>5601.7699999999277</v>
      </c>
      <c r="I111" s="14"/>
      <c r="J111" s="30">
        <f>IF(H$12=0,0,H111/H$12)</f>
        <v>3.4906271690741973E-2</v>
      </c>
      <c r="K111" s="15"/>
      <c r="L111" s="32">
        <f>+D111-H111</f>
        <v>37048.110000000073</v>
      </c>
      <c r="M111" s="15"/>
      <c r="N111" s="30">
        <f>IF(H111=0,0,L111/H111)</f>
        <v>6.6136435448082569</v>
      </c>
      <c r="O111" s="29"/>
      <c r="P111" s="32">
        <f>SUM(P108:P110)</f>
        <v>-201393.52999999968</v>
      </c>
      <c r="Q111" s="14"/>
      <c r="R111" s="30">
        <f>IF(P$12=0,0,P111/P$12)</f>
        <v>-0.16840291130659488</v>
      </c>
      <c r="S111" s="14"/>
      <c r="T111" s="32">
        <f>SUM(T108:T110)</f>
        <v>-104231.58999999991</v>
      </c>
      <c r="U111" s="14"/>
      <c r="V111" s="30">
        <f>IF(T$12=0,0,T111/T$12)</f>
        <v>-6.9539411602542164E-2</v>
      </c>
      <c r="W111" s="15"/>
      <c r="X111" s="32">
        <f>+P111-T111</f>
        <v>-97161.939999999769</v>
      </c>
      <c r="Y111" s="15"/>
      <c r="Z111" s="30">
        <f>IF(T111=0,0,X111/T111)</f>
        <v>0.93217363373234408</v>
      </c>
    </row>
    <row r="112" spans="1:26" ht="15.75" thickTop="1" x14ac:dyDescent="0.25">
      <c r="A112" s="9"/>
      <c r="C112" s="9"/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1:24" x14ac:dyDescent="0.25">
      <c r="A113" s="9"/>
      <c r="B113" s="54">
        <v>44174.685697025459</v>
      </c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  <row r="114" spans="1:24" x14ac:dyDescent="0.25">
      <c r="A114" s="9"/>
      <c r="B114" s="56" t="s">
        <v>313</v>
      </c>
      <c r="D114" s="17"/>
      <c r="E114" s="17"/>
      <c r="G114" s="17"/>
      <c r="H114" s="17"/>
      <c r="I114" s="17"/>
      <c r="J114" s="43"/>
      <c r="K114" s="17"/>
      <c r="L114" s="17"/>
      <c r="M114" s="17"/>
      <c r="P114" s="17"/>
      <c r="Q114" s="17"/>
      <c r="R114" s="43"/>
      <c r="S114" s="17"/>
      <c r="T114" s="17"/>
      <c r="U114" s="17"/>
      <c r="V114" s="43"/>
      <c r="W114" s="17"/>
      <c r="X114" s="17"/>
    </row>
    <row r="115" spans="1:24" x14ac:dyDescent="0.25">
      <c r="A115" s="9"/>
      <c r="B115" s="61"/>
      <c r="D115" s="17"/>
      <c r="E115" s="17"/>
      <c r="G115" s="17"/>
      <c r="H115" s="17"/>
      <c r="I115" s="17"/>
      <c r="J115" s="43"/>
      <c r="K115" s="17"/>
      <c r="L115" s="17"/>
      <c r="M115" s="17"/>
      <c r="P115" s="17"/>
      <c r="Q115" s="17"/>
      <c r="R115" s="43"/>
      <c r="S115" s="17"/>
      <c r="T115" s="17"/>
      <c r="U115" s="17"/>
      <c r="V115" s="43"/>
      <c r="W115" s="17"/>
      <c r="X115" s="17"/>
    </row>
    <row r="116" spans="1:24" x14ac:dyDescent="0.25">
      <c r="D116" s="17"/>
      <c r="E116" s="17"/>
      <c r="G116" s="17"/>
      <c r="H116" s="17"/>
      <c r="I116" s="17"/>
      <c r="J116" s="43"/>
      <c r="K116" s="17"/>
      <c r="L116" s="17"/>
      <c r="M116" s="17"/>
      <c r="P116" s="17"/>
      <c r="Q116" s="17"/>
      <c r="R116" s="43"/>
      <c r="S116" s="17"/>
      <c r="T116" s="17"/>
      <c r="U116" s="17"/>
      <c r="V116" s="43"/>
      <c r="W116" s="17"/>
      <c r="X116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305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300753.08</v>
      </c>
      <c r="I12" s="4"/>
      <c r="J12" s="12"/>
      <c r="K12" s="4"/>
      <c r="L12" s="4">
        <f t="shared" ref="L12:L20" si="0">+D12-H12</f>
        <v>-300753.08</v>
      </c>
      <c r="M12" s="4"/>
      <c r="N12" s="12">
        <f t="shared" ref="N12:N20" si="1">IF(H12=0,0,L12/H12)</f>
        <v>-1</v>
      </c>
      <c r="O12" s="10"/>
      <c r="P12" s="4">
        <f>SUM(OSRRefP13x_0)</f>
        <v>2586.4700000000003</v>
      </c>
      <c r="Q12" s="4"/>
      <c r="R12" s="12"/>
      <c r="S12" s="4"/>
      <c r="T12" s="4">
        <f>SUM(OSRRefT13x_0)</f>
        <v>1418825.52</v>
      </c>
      <c r="U12" s="4"/>
      <c r="V12" s="12"/>
      <c r="W12" s="4"/>
      <c r="X12" s="4">
        <f t="shared" ref="X12:X20" si="2">+P12-T12</f>
        <v>-1416239.05</v>
      </c>
      <c r="Y12" s="4"/>
      <c r="Z12" s="12">
        <f t="shared" ref="Z12:Z20" si="3">IF(T12=0,0,X12/T12)</f>
        <v>-0.99817703448130823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20" si="4">0</f>
        <v>0</v>
      </c>
      <c r="E13" s="2"/>
      <c r="F13" s="19"/>
      <c r="G13" s="2"/>
      <c r="H13" s="2">
        <f>--29698.86</f>
        <v>29698.86</v>
      </c>
      <c r="I13" s="2"/>
      <c r="J13" s="19"/>
      <c r="K13" s="2"/>
      <c r="L13" s="2">
        <f t="shared" si="0"/>
        <v>-29698.86</v>
      </c>
      <c r="M13" s="2"/>
      <c r="N13" s="19">
        <f t="shared" si="1"/>
        <v>-1</v>
      </c>
      <c r="O13" s="11"/>
      <c r="P13" s="2">
        <f>--444.59</f>
        <v>444.59</v>
      </c>
      <c r="Q13" s="2"/>
      <c r="R13" s="19"/>
      <c r="S13" s="2"/>
      <c r="T13" s="2">
        <f>--161513.73</f>
        <v>161513.73000000001</v>
      </c>
      <c r="U13" s="2"/>
      <c r="V13" s="19"/>
      <c r="W13" s="2"/>
      <c r="X13" s="2">
        <f t="shared" si="2"/>
        <v>-161069.14000000001</v>
      </c>
      <c r="Y13" s="2"/>
      <c r="Z13" s="19">
        <f t="shared" si="3"/>
        <v>-0.99724735476049009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 t="shared" si="4"/>
        <v>0</v>
      </c>
      <c r="E14" s="2"/>
      <c r="F14" s="19"/>
      <c r="G14" s="2"/>
      <c r="H14" s="2">
        <f>--237.09</f>
        <v>237.09</v>
      </c>
      <c r="I14" s="2"/>
      <c r="J14" s="19"/>
      <c r="K14" s="2"/>
      <c r="L14" s="2">
        <f t="shared" si="0"/>
        <v>-237.09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--1919.17</f>
        <v>1919.17</v>
      </c>
      <c r="U14" s="2"/>
      <c r="V14" s="19"/>
      <c r="W14" s="2"/>
      <c r="X14" s="2">
        <f t="shared" si="2"/>
        <v>-1919.17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"4051", " - ", "TAXABLE SALES-FOOD")</f>
        <v xml:space="preserve">          4051 - TAXABLE SALES-FOOD</v>
      </c>
      <c r="C15" s="11"/>
      <c r="D15" s="2">
        <f t="shared" si="4"/>
        <v>0</v>
      </c>
      <c r="E15" s="2"/>
      <c r="F15" s="19"/>
      <c r="G15" s="2"/>
      <c r="H15" s="2">
        <f>--17577.92</f>
        <v>17577.919999999998</v>
      </c>
      <c r="I15" s="2"/>
      <c r="J15" s="19"/>
      <c r="K15" s="2"/>
      <c r="L15" s="2">
        <f t="shared" si="0"/>
        <v>-17577.919999999998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--91997.19</f>
        <v>91997.19</v>
      </c>
      <c r="U15" s="2"/>
      <c r="V15" s="19"/>
      <c r="W15" s="2"/>
      <c r="X15" s="2">
        <f t="shared" si="2"/>
        <v>-91997.19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"4132", " - ", "NON-TAXABLE SALES-JUICE")</f>
        <v xml:space="preserve">          4132 - NON-TAXABLE SALES-JUICE</v>
      </c>
      <c r="C16" s="11"/>
      <c r="D16" s="2">
        <f t="shared" si="4"/>
        <v>0</v>
      </c>
      <c r="E16" s="2"/>
      <c r="F16" s="19"/>
      <c r="G16" s="2"/>
      <c r="H16" s="2">
        <f>--139966.75</f>
        <v>139966.75</v>
      </c>
      <c r="I16" s="2"/>
      <c r="J16" s="19"/>
      <c r="K16" s="2"/>
      <c r="L16" s="2">
        <f t="shared" si="0"/>
        <v>-139966.75</v>
      </c>
      <c r="M16" s="2"/>
      <c r="N16" s="19">
        <f t="shared" si="1"/>
        <v>-1</v>
      </c>
      <c r="O16" s="11"/>
      <c r="P16" s="2">
        <f>--2031.88</f>
        <v>2031.88</v>
      </c>
      <c r="Q16" s="2"/>
      <c r="R16" s="19"/>
      <c r="S16" s="2"/>
      <c r="T16" s="2">
        <f>--655070.4</f>
        <v>655070.4</v>
      </c>
      <c r="U16" s="2"/>
      <c r="V16" s="19"/>
      <c r="W16" s="2"/>
      <c r="X16" s="2">
        <f t="shared" si="2"/>
        <v>-653038.52</v>
      </c>
      <c r="Y16" s="2"/>
      <c r="Z16" s="19">
        <f t="shared" si="3"/>
        <v>-0.99689822651122684</v>
      </c>
    </row>
    <row r="17" spans="1:26" s="24" customFormat="1" hidden="1" outlineLevel="1" x14ac:dyDescent="0.25">
      <c r="A17" s="44"/>
      <c r="B17" s="11" t="str">
        <f>CONCATENATE("          ", "4134", " - ", "NON-TAXABLE SALES-SODA")</f>
        <v xml:space="preserve">          4134 - NON-TAXABLE SALES-SODA</v>
      </c>
      <c r="C17" s="11"/>
      <c r="D17" s="2">
        <f t="shared" si="4"/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ref="P17:P19" si="6">0</f>
        <v>0</v>
      </c>
      <c r="Q17" s="2"/>
      <c r="R17" s="19"/>
      <c r="S17" s="2"/>
      <c r="T17" s="2">
        <f>--0.39</f>
        <v>0.39</v>
      </c>
      <c r="U17" s="2"/>
      <c r="V17" s="19"/>
      <c r="W17" s="2"/>
      <c r="X17" s="2">
        <f t="shared" si="2"/>
        <v>-0.39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"4137", " - ", "NON-TAXABLE SALES-WATER")</f>
        <v xml:space="preserve">          4137 - NON-TAXABLE SALES-WATER</v>
      </c>
      <c r="C18" s="11"/>
      <c r="D18" s="2">
        <f t="shared" si="4"/>
        <v>0</v>
      </c>
      <c r="E18" s="2"/>
      <c r="F18" s="19"/>
      <c r="G18" s="2"/>
      <c r="H18" s="2">
        <f>--175.69</f>
        <v>175.69</v>
      </c>
      <c r="I18" s="2"/>
      <c r="J18" s="19"/>
      <c r="K18" s="2"/>
      <c r="L18" s="2">
        <f t="shared" si="0"/>
        <v>-175.69</v>
      </c>
      <c r="M18" s="2"/>
      <c r="N18" s="19">
        <f t="shared" si="1"/>
        <v>-1</v>
      </c>
      <c r="O18" s="11"/>
      <c r="P18" s="2">
        <f t="shared" si="6"/>
        <v>0</v>
      </c>
      <c r="Q18" s="2"/>
      <c r="R18" s="19"/>
      <c r="S18" s="2"/>
      <c r="T18" s="2">
        <f>--1024.54</f>
        <v>1024.54</v>
      </c>
      <c r="U18" s="2"/>
      <c r="V18" s="19"/>
      <c r="W18" s="2"/>
      <c r="X18" s="2">
        <f t="shared" si="2"/>
        <v>-1024.54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 t="shared" si="4"/>
        <v>0</v>
      </c>
      <c r="E19" s="2"/>
      <c r="F19" s="19"/>
      <c r="G19" s="2"/>
      <c r="H19" s="2">
        <f>--111550.27</f>
        <v>111550.27</v>
      </c>
      <c r="I19" s="2"/>
      <c r="J19" s="19"/>
      <c r="K19" s="2"/>
      <c r="L19" s="2">
        <f t="shared" si="0"/>
        <v>-111550.27</v>
      </c>
      <c r="M19" s="2"/>
      <c r="N19" s="19">
        <f t="shared" si="1"/>
        <v>-1</v>
      </c>
      <c r="O19" s="11"/>
      <c r="P19" s="2">
        <f t="shared" si="6"/>
        <v>0</v>
      </c>
      <c r="Q19" s="2"/>
      <c r="R19" s="19"/>
      <c r="S19" s="2"/>
      <c r="T19" s="2">
        <f>--500473.1</f>
        <v>500473.1</v>
      </c>
      <c r="U19" s="2"/>
      <c r="V19" s="19"/>
      <c r="W19" s="2"/>
      <c r="X19" s="2">
        <f t="shared" si="2"/>
        <v>-500473.1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 t="shared" si="4"/>
        <v>0</v>
      </c>
      <c r="E20" s="2"/>
      <c r="F20" s="19"/>
      <c r="G20" s="2"/>
      <c r="H20" s="2">
        <f>--1546.5</f>
        <v>1546.5</v>
      </c>
      <c r="I20" s="2"/>
      <c r="J20" s="19"/>
      <c r="K20" s="2"/>
      <c r="L20" s="2">
        <f t="shared" si="0"/>
        <v>-1546.5</v>
      </c>
      <c r="M20" s="2"/>
      <c r="N20" s="19">
        <f t="shared" si="1"/>
        <v>-1</v>
      </c>
      <c r="O20" s="11"/>
      <c r="P20" s="2">
        <f>--110</f>
        <v>110</v>
      </c>
      <c r="Q20" s="2"/>
      <c r="R20" s="19"/>
      <c r="S20" s="2"/>
      <c r="T20" s="2">
        <f>--6827</f>
        <v>6827</v>
      </c>
      <c r="U20" s="2"/>
      <c r="V20" s="19"/>
      <c r="W20" s="2"/>
      <c r="X20" s="2">
        <f t="shared" si="2"/>
        <v>-6717</v>
      </c>
      <c r="Y20" s="2"/>
      <c r="Z20" s="19">
        <f t="shared" si="3"/>
        <v>-0.98388750549289583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9" t="s">
        <v>8</v>
      </c>
      <c r="C22" s="10"/>
      <c r="D22" s="4">
        <f>SUM(OSRRefD16x_0)</f>
        <v>0</v>
      </c>
      <c r="E22" s="4"/>
      <c r="F22" s="12">
        <f t="shared" ref="F22:F24" si="7">IF(D$12=0,0,D22/D$12)</f>
        <v>0</v>
      </c>
      <c r="G22" s="4"/>
      <c r="H22" s="4">
        <f>SUM(OSRRefH16x_0)</f>
        <v>145315.98000000001</v>
      </c>
      <c r="I22" s="4"/>
      <c r="J22" s="12">
        <f t="shared" ref="J22:J24" si="8">IF(H$12=0,0,H22/H$12)</f>
        <v>0.48317370515374275</v>
      </c>
      <c r="K22" s="4"/>
      <c r="L22" s="4">
        <f t="shared" ref="L22:L24" si="9">+D22-H22</f>
        <v>-145315.98000000001</v>
      </c>
      <c r="M22" s="4"/>
      <c r="N22" s="12">
        <f t="shared" ref="N22:N24" si="10">IF(H22=0,0,L22/H22)</f>
        <v>-1</v>
      </c>
      <c r="O22" s="10"/>
      <c r="P22" s="4">
        <f>SUM(OSRRefP16x_0)</f>
        <v>8842.34</v>
      </c>
      <c r="Q22" s="4"/>
      <c r="R22" s="12">
        <f t="shared" ref="R22:R24" si="11">IF(P$12=0,0,P22/P$12)</f>
        <v>3.4186903385695557</v>
      </c>
      <c r="S22" s="4"/>
      <c r="T22" s="4">
        <f>SUM(OSRRefT16x_0)</f>
        <v>678854.58000000007</v>
      </c>
      <c r="U22" s="4"/>
      <c r="V22" s="12">
        <f t="shared" ref="V22:V24" si="12">IF(T$12=0,0,T22/T$12)</f>
        <v>0.47846234116228759</v>
      </c>
      <c r="W22" s="4"/>
      <c r="X22" s="4">
        <f t="shared" ref="X22:X24" si="13">+P22-T22</f>
        <v>-670012.24000000011</v>
      </c>
      <c r="Y22" s="4"/>
      <c r="Z22" s="12">
        <f t="shared" ref="Z22:Z24" si="14">IF(T22=0,0,X22/T22)</f>
        <v>-0.98697461833431255</v>
      </c>
    </row>
    <row r="23" spans="1:26" s="24" customFormat="1" hidden="1" outlineLevel="1" x14ac:dyDescent="0.25">
      <c r="A23" s="44"/>
      <c r="B23" s="11" t="str">
        <f>CONCATENATE("          ", "5053", " - ", "PURCHASES @ COST-FOOD")</f>
        <v xml:space="preserve">          5053 - PURCHASES @ COST-FOOD</v>
      </c>
      <c r="C23" s="11"/>
      <c r="D23" s="2"/>
      <c r="E23" s="2"/>
      <c r="F23" s="19">
        <f t="shared" si="7"/>
        <v>0</v>
      </c>
      <c r="G23" s="2"/>
      <c r="H23" s="2">
        <v>135831.22</v>
      </c>
      <c r="I23" s="2"/>
      <c r="J23" s="19">
        <f t="shared" si="8"/>
        <v>0.45163700401671697</v>
      </c>
      <c r="K23" s="2"/>
      <c r="L23" s="2">
        <f t="shared" si="9"/>
        <v>-135831.22</v>
      </c>
      <c r="M23" s="2"/>
      <c r="N23" s="19">
        <f t="shared" si="10"/>
        <v>-1</v>
      </c>
      <c r="O23" s="11"/>
      <c r="P23" s="2">
        <v>-2855.57</v>
      </c>
      <c r="Q23" s="2"/>
      <c r="R23" s="19">
        <f t="shared" si="11"/>
        <v>-1.1040414155199945</v>
      </c>
      <c r="S23" s="2"/>
      <c r="T23" s="2">
        <v>713015.79</v>
      </c>
      <c r="U23" s="2"/>
      <c r="V23" s="19">
        <f t="shared" si="12"/>
        <v>0.50253944544217111</v>
      </c>
      <c r="W23" s="2"/>
      <c r="X23" s="2">
        <f t="shared" si="13"/>
        <v>-715871.36</v>
      </c>
      <c r="Y23" s="2"/>
      <c r="Z23" s="19">
        <f t="shared" si="14"/>
        <v>-1.004004918320252</v>
      </c>
    </row>
    <row r="24" spans="1:26" s="24" customFormat="1" hidden="1" outlineLevel="1" x14ac:dyDescent="0.25">
      <c r="A24" s="44"/>
      <c r="B24" s="11" t="str">
        <f>CONCATENATE("          ", "5059", " - ", "PURCHASES @ COST-FOOD")</f>
        <v xml:space="preserve">          5059 - PURCHASES @ COST-FOOD</v>
      </c>
      <c r="C24" s="11"/>
      <c r="D24" s="2"/>
      <c r="E24" s="2"/>
      <c r="F24" s="19">
        <f t="shared" si="7"/>
        <v>0</v>
      </c>
      <c r="G24" s="2"/>
      <c r="H24" s="2">
        <v>9484.76</v>
      </c>
      <c r="I24" s="2"/>
      <c r="J24" s="19">
        <f t="shared" si="8"/>
        <v>3.1536701137025759E-2</v>
      </c>
      <c r="K24" s="2"/>
      <c r="L24" s="2">
        <f t="shared" si="9"/>
        <v>-9484.76</v>
      </c>
      <c r="M24" s="2"/>
      <c r="N24" s="19">
        <f t="shared" si="10"/>
        <v>-1</v>
      </c>
      <c r="O24" s="11"/>
      <c r="P24" s="2">
        <v>11697.91</v>
      </c>
      <c r="Q24" s="2"/>
      <c r="R24" s="19">
        <f t="shared" si="11"/>
        <v>4.5227317540895502</v>
      </c>
      <c r="S24" s="2"/>
      <c r="T24" s="2">
        <v>-34161.21</v>
      </c>
      <c r="U24" s="2"/>
      <c r="V24" s="19">
        <f t="shared" si="12"/>
        <v>-2.4077104279883545E-2</v>
      </c>
      <c r="W24" s="2"/>
      <c r="X24" s="2">
        <f t="shared" si="13"/>
        <v>45859.119999999995</v>
      </c>
      <c r="Y24" s="2"/>
      <c r="Z24" s="19">
        <f t="shared" si="14"/>
        <v>-1.3424325426412003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8" t="s">
        <v>6</v>
      </c>
      <c r="C26" s="28"/>
      <c r="D26" s="20">
        <f>D12-D22</f>
        <v>0</v>
      </c>
      <c r="E26" s="14"/>
      <c r="F26" s="22">
        <f>IF(D$12=0,0,D26/D$12)</f>
        <v>0</v>
      </c>
      <c r="G26" s="14"/>
      <c r="H26" s="20">
        <f>H12-H22</f>
        <v>155437.1</v>
      </c>
      <c r="I26" s="14"/>
      <c r="J26" s="22">
        <f>IF(H$12=0,0,H26/H$12)</f>
        <v>0.51682629484625731</v>
      </c>
      <c r="K26" s="15"/>
      <c r="L26" s="20">
        <f>+D26-H26</f>
        <v>-155437.1</v>
      </c>
      <c r="M26" s="15"/>
      <c r="N26" s="22">
        <f>IF(H26=0,0,L26/H26)</f>
        <v>-1</v>
      </c>
      <c r="O26" s="29"/>
      <c r="P26" s="20">
        <f>P12-P22</f>
        <v>-6255.87</v>
      </c>
      <c r="Q26" s="14"/>
      <c r="R26" s="22">
        <f>IF(P$12=0,0,P26/P$12)</f>
        <v>-2.4186903385695557</v>
      </c>
      <c r="S26" s="14"/>
      <c r="T26" s="20">
        <f>T12-T22</f>
        <v>739970.94</v>
      </c>
      <c r="U26" s="14"/>
      <c r="V26" s="22">
        <f>IF(T$12=0,0,T26/T$12)</f>
        <v>0.52153765883771241</v>
      </c>
      <c r="W26" s="15"/>
      <c r="X26" s="20">
        <f>+P26-T26</f>
        <v>-746226.80999999994</v>
      </c>
      <c r="Y26" s="15"/>
      <c r="Z26" s="22">
        <f>IF(T26=0,0,X26/T26)</f>
        <v>-1.0084542103775047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9" t="s">
        <v>9</v>
      </c>
      <c r="C28" s="10"/>
      <c r="D28" s="21">
        <f>SUM(OSRRefD22x_0)</f>
        <v>25744.79</v>
      </c>
      <c r="E28" s="21"/>
      <c r="F28" s="35">
        <f t="shared" ref="F28:F37" si="15">IF(D$12=0,0,D28/D$12)</f>
        <v>0</v>
      </c>
      <c r="G28" s="21"/>
      <c r="H28" s="21">
        <f>SUM(OSRRefH22x_0)</f>
        <v>101756.24</v>
      </c>
      <c r="I28" s="21"/>
      <c r="J28" s="35">
        <f t="shared" ref="J28:J37" si="16">IF(H$12=0,0,H28/H$12)</f>
        <v>0.33833814769245257</v>
      </c>
      <c r="K28" s="4"/>
      <c r="L28" s="21">
        <f t="shared" ref="L28:L37" si="17">+D28-H28</f>
        <v>-76011.450000000012</v>
      </c>
      <c r="M28" s="4"/>
      <c r="N28" s="35">
        <f t="shared" ref="N28:N37" si="18">IF(H28=0,0,L28/H28)</f>
        <v>-0.74699546681363238</v>
      </c>
      <c r="O28" s="10"/>
      <c r="P28" s="21">
        <f>SUM(OSRRefP22x_0)</f>
        <v>151579.76999999999</v>
      </c>
      <c r="Q28" s="21"/>
      <c r="R28" s="35">
        <f t="shared" ref="R28:R37" si="19">IF(P$12=0,0,P28/P$12)</f>
        <v>58.604882329970955</v>
      </c>
      <c r="S28" s="21"/>
      <c r="T28" s="21">
        <f>SUM(OSRRefT22x_0)</f>
        <v>538932.37999999989</v>
      </c>
      <c r="U28" s="21"/>
      <c r="V28" s="35">
        <f t="shared" ref="V28:V37" si="20">IF(T$12=0,0,T28/T$12)</f>
        <v>0.37984401351901248</v>
      </c>
      <c r="W28" s="4"/>
      <c r="X28" s="21">
        <f t="shared" ref="X28:X37" si="21">+P28-T28</f>
        <v>-387352.60999999987</v>
      </c>
      <c r="Y28" s="4"/>
      <c r="Z28" s="35">
        <f t="shared" ref="Z28:Z37" si="22">IF(T28=0,0,X28/T28)</f>
        <v>-0.71874065165652123</v>
      </c>
    </row>
    <row r="29" spans="1:26" s="26" customFormat="1" outlineLevel="1" collapsed="1" x14ac:dyDescent="0.25">
      <c r="A29" s="27"/>
      <c r="B29" s="13" t="str">
        <f>CONCATENATE("     ","*Benefits                                         ")</f>
        <v xml:space="preserve">     *Benefits                                         </v>
      </c>
      <c r="C29" s="13"/>
      <c r="D29" s="1">
        <f>SUM(OSRRefD22_0x_0)</f>
        <v>5031</v>
      </c>
      <c r="E29" s="1"/>
      <c r="F29" s="5">
        <f t="shared" si="15"/>
        <v>0</v>
      </c>
      <c r="G29" s="1"/>
      <c r="H29" s="1">
        <f>SUM(OSRRefH22_0x_0)</f>
        <v>14286.189999999999</v>
      </c>
      <c r="I29" s="1"/>
      <c r="J29" s="5">
        <f t="shared" si="16"/>
        <v>4.7501392171943838E-2</v>
      </c>
      <c r="K29" s="1"/>
      <c r="L29" s="1">
        <f t="shared" si="17"/>
        <v>-9255.1899999999987</v>
      </c>
      <c r="M29" s="1"/>
      <c r="N29" s="5">
        <f t="shared" si="18"/>
        <v>-0.64784172687049513</v>
      </c>
      <c r="O29" s="13"/>
      <c r="P29" s="1">
        <f>SUM(OSRRefP22_0x_0)</f>
        <v>32397.87</v>
      </c>
      <c r="Q29" s="1"/>
      <c r="R29" s="5">
        <f t="shared" si="19"/>
        <v>12.525902098226538</v>
      </c>
      <c r="S29" s="1"/>
      <c r="T29" s="1">
        <f>SUM(OSRRefT22_0x_0)</f>
        <v>72862.559999999998</v>
      </c>
      <c r="U29" s="1"/>
      <c r="V29" s="5">
        <f t="shared" si="20"/>
        <v>5.1354136906136279E-2</v>
      </c>
      <c r="W29" s="1"/>
      <c r="X29" s="1">
        <f t="shared" si="21"/>
        <v>-40464.69</v>
      </c>
      <c r="Y29" s="1"/>
      <c r="Z29" s="5">
        <f t="shared" si="22"/>
        <v>-0.55535641349960807</v>
      </c>
    </row>
    <row r="30" spans="1:26" s="24" customFormat="1" hidden="1" outlineLevel="2" x14ac:dyDescent="0.25">
      <c r="A30" s="25"/>
      <c r="B30" s="11" t="str">
        <f>CONCATENATE("          ", "6111", " - ", "F.I.C.A.")</f>
        <v xml:space="preserve">          6111 - F.I.C.A.</v>
      </c>
      <c r="C30" s="11"/>
      <c r="D30" s="6">
        <v>337.96</v>
      </c>
      <c r="E30" s="2"/>
      <c r="F30" s="7">
        <f t="shared" si="15"/>
        <v>0</v>
      </c>
      <c r="G30" s="2"/>
      <c r="H30" s="6">
        <v>1851.48</v>
      </c>
      <c r="I30" s="2"/>
      <c r="J30" s="7">
        <f t="shared" si="16"/>
        <v>6.1561464308195939E-3</v>
      </c>
      <c r="K30" s="2"/>
      <c r="L30" s="6">
        <f t="shared" si="17"/>
        <v>-1513.52</v>
      </c>
      <c r="M30" s="2"/>
      <c r="N30" s="7">
        <f t="shared" si="18"/>
        <v>-0.81746494696134986</v>
      </c>
      <c r="O30" s="11"/>
      <c r="P30" s="6">
        <v>3909.68</v>
      </c>
      <c r="Q30" s="2"/>
      <c r="R30" s="7">
        <f t="shared" si="19"/>
        <v>1.5115891543300326</v>
      </c>
      <c r="S30" s="2"/>
      <c r="T30" s="6">
        <v>12693.44</v>
      </c>
      <c r="U30" s="2"/>
      <c r="V30" s="7">
        <f t="shared" si="20"/>
        <v>8.9464418429688244E-3</v>
      </c>
      <c r="W30" s="2"/>
      <c r="X30" s="6">
        <f t="shared" si="21"/>
        <v>-8783.76</v>
      </c>
      <c r="Y30" s="2"/>
      <c r="Z30" s="7">
        <f t="shared" si="22"/>
        <v>-0.69199208410013358</v>
      </c>
    </row>
    <row r="31" spans="1:26" s="24" customFormat="1" hidden="1" outlineLevel="2" x14ac:dyDescent="0.25">
      <c r="A31" s="25"/>
      <c r="B31" s="11" t="str">
        <f>CONCATENATE("          ", "6112", " - ", "COMPENSATION INSURANCE")</f>
        <v xml:space="preserve">          6112 - COMPENSATION INSURANCE</v>
      </c>
      <c r="C31" s="11"/>
      <c r="D31" s="6">
        <v>170.51</v>
      </c>
      <c r="E31" s="2"/>
      <c r="F31" s="7">
        <f t="shared" si="15"/>
        <v>0</v>
      </c>
      <c r="G31" s="2"/>
      <c r="H31" s="6">
        <v>1174.08</v>
      </c>
      <c r="I31" s="2"/>
      <c r="J31" s="7">
        <f t="shared" si="16"/>
        <v>3.9038004199325235E-3</v>
      </c>
      <c r="K31" s="2"/>
      <c r="L31" s="6">
        <f t="shared" si="17"/>
        <v>-1003.5699999999999</v>
      </c>
      <c r="M31" s="2"/>
      <c r="N31" s="7">
        <f t="shared" si="18"/>
        <v>-0.85477139547560643</v>
      </c>
      <c r="O31" s="11"/>
      <c r="P31" s="6">
        <v>830.67</v>
      </c>
      <c r="Q31" s="2"/>
      <c r="R31" s="7">
        <f t="shared" si="19"/>
        <v>0.32115972735040416</v>
      </c>
      <c r="S31" s="2"/>
      <c r="T31" s="6">
        <v>4041.84</v>
      </c>
      <c r="U31" s="2"/>
      <c r="V31" s="7">
        <f t="shared" si="20"/>
        <v>2.8487223714442353E-3</v>
      </c>
      <c r="W31" s="2"/>
      <c r="X31" s="6">
        <f t="shared" si="21"/>
        <v>-3211.17</v>
      </c>
      <c r="Y31" s="2"/>
      <c r="Z31" s="7">
        <f t="shared" si="22"/>
        <v>-0.79448221602042635</v>
      </c>
    </row>
    <row r="32" spans="1:26" s="24" customFormat="1" hidden="1" outlineLevel="2" x14ac:dyDescent="0.25">
      <c r="A32" s="25"/>
      <c r="B32" s="11" t="str">
        <f>CONCATENATE("          ", "6113", " - ", "GROUP INSURANCE")</f>
        <v xml:space="preserve">          6113 - GROUP INSURANCE</v>
      </c>
      <c r="C32" s="11"/>
      <c r="D32" s="6">
        <v>2704.94</v>
      </c>
      <c r="E32" s="2"/>
      <c r="F32" s="7">
        <f t="shared" si="15"/>
        <v>0</v>
      </c>
      <c r="G32" s="2"/>
      <c r="H32" s="6">
        <v>6378.17</v>
      </c>
      <c r="I32" s="2"/>
      <c r="J32" s="7">
        <f t="shared" si="16"/>
        <v>2.1207330611543528E-2</v>
      </c>
      <c r="K32" s="2"/>
      <c r="L32" s="6">
        <f t="shared" si="17"/>
        <v>-3673.23</v>
      </c>
      <c r="M32" s="2"/>
      <c r="N32" s="7">
        <f t="shared" si="18"/>
        <v>-0.57590656881205737</v>
      </c>
      <c r="O32" s="11"/>
      <c r="P32" s="6">
        <v>15440.329999999998</v>
      </c>
      <c r="Q32" s="2"/>
      <c r="R32" s="7">
        <f t="shared" si="19"/>
        <v>5.9696536205716662</v>
      </c>
      <c r="S32" s="2"/>
      <c r="T32" s="6">
        <v>32358.499999999996</v>
      </c>
      <c r="U32" s="2"/>
      <c r="V32" s="7">
        <f t="shared" si="20"/>
        <v>2.2806539312881822E-2</v>
      </c>
      <c r="W32" s="2"/>
      <c r="X32" s="6">
        <f t="shared" si="21"/>
        <v>-16918.169999999998</v>
      </c>
      <c r="Y32" s="2"/>
      <c r="Z32" s="7">
        <f t="shared" si="22"/>
        <v>-0.52283542191387111</v>
      </c>
    </row>
    <row r="33" spans="1:26" s="24" customFormat="1" hidden="1" outlineLevel="2" x14ac:dyDescent="0.25">
      <c r="A33" s="25"/>
      <c r="B33" s="11" t="str">
        <f>CONCATENATE("          ", "6114", " - ", "STATE UNEMPLOYMENT INSURANCE")</f>
        <v xml:space="preserve">          6114 - STATE UNEMPLOYMENT INSURANCE</v>
      </c>
      <c r="C33" s="11"/>
      <c r="D33" s="6">
        <v>39.35</v>
      </c>
      <c r="E33" s="2"/>
      <c r="F33" s="7">
        <f t="shared" si="15"/>
        <v>0</v>
      </c>
      <c r="G33" s="2"/>
      <c r="H33" s="6">
        <v>160.66</v>
      </c>
      <c r="I33" s="2"/>
      <c r="J33" s="7">
        <f t="shared" si="16"/>
        <v>5.3419236803825911E-4</v>
      </c>
      <c r="K33" s="2"/>
      <c r="L33" s="6">
        <f t="shared" si="17"/>
        <v>-121.31</v>
      </c>
      <c r="M33" s="2"/>
      <c r="N33" s="7">
        <f t="shared" si="18"/>
        <v>-0.75507282459853109</v>
      </c>
      <c r="O33" s="11"/>
      <c r="P33" s="6">
        <v>132.15</v>
      </c>
      <c r="Q33" s="2"/>
      <c r="R33" s="7">
        <f t="shared" si="19"/>
        <v>5.1092802158927031E-2</v>
      </c>
      <c r="S33" s="2"/>
      <c r="T33" s="6">
        <v>691.55</v>
      </c>
      <c r="U33" s="2"/>
      <c r="V33" s="7">
        <f t="shared" si="20"/>
        <v>4.874101785256865E-4</v>
      </c>
      <c r="W33" s="2"/>
      <c r="X33" s="6">
        <f t="shared" si="21"/>
        <v>-559.4</v>
      </c>
      <c r="Y33" s="2"/>
      <c r="Z33" s="7">
        <f t="shared" si="22"/>
        <v>-0.80890752657074694</v>
      </c>
    </row>
    <row r="34" spans="1:26" s="24" customFormat="1" hidden="1" outlineLevel="2" x14ac:dyDescent="0.25">
      <c r="A34" s="25"/>
      <c r="B34" s="11" t="str">
        <f>CONCATENATE("          ", "6115", " - ", "P.E.R.S.")</f>
        <v xml:space="preserve">          6115 - P.E.R.S.</v>
      </c>
      <c r="C34" s="11"/>
      <c r="D34" s="6">
        <v>1230.53</v>
      </c>
      <c r="E34" s="2"/>
      <c r="F34" s="7">
        <f t="shared" si="15"/>
        <v>0</v>
      </c>
      <c r="G34" s="2"/>
      <c r="H34" s="6">
        <v>1497.9</v>
      </c>
      <c r="I34" s="2"/>
      <c r="J34" s="7">
        <f t="shared" si="16"/>
        <v>4.980497622833987E-3</v>
      </c>
      <c r="K34" s="2"/>
      <c r="L34" s="6">
        <f t="shared" si="17"/>
        <v>-267.37000000000012</v>
      </c>
      <c r="M34" s="2"/>
      <c r="N34" s="7">
        <f t="shared" si="18"/>
        <v>-0.17849656185326129</v>
      </c>
      <c r="O34" s="11"/>
      <c r="P34" s="6">
        <v>5525.49</v>
      </c>
      <c r="Q34" s="2"/>
      <c r="R34" s="7">
        <f t="shared" si="19"/>
        <v>2.1363054665238721</v>
      </c>
      <c r="S34" s="2"/>
      <c r="T34" s="6">
        <v>8287.8799999999992</v>
      </c>
      <c r="U34" s="2"/>
      <c r="V34" s="7">
        <f t="shared" si="20"/>
        <v>5.8413665973529984E-3</v>
      </c>
      <c r="W34" s="2"/>
      <c r="X34" s="6">
        <f t="shared" si="21"/>
        <v>-2762.3899999999994</v>
      </c>
      <c r="Y34" s="2"/>
      <c r="Z34" s="7">
        <f t="shared" si="22"/>
        <v>-0.33330477757882593</v>
      </c>
    </row>
    <row r="35" spans="1:26" s="24" customFormat="1" hidden="1" outlineLevel="2" x14ac:dyDescent="0.25">
      <c r="A35" s="25"/>
      <c r="B35" s="11" t="str">
        <f>CONCATENATE("          ", "6118", " - ", "VACATION")</f>
        <v xml:space="preserve">          6118 - VACATION</v>
      </c>
      <c r="C35" s="11"/>
      <c r="D35" s="6">
        <v>323.39</v>
      </c>
      <c r="E35" s="2"/>
      <c r="F35" s="7">
        <f t="shared" si="15"/>
        <v>0</v>
      </c>
      <c r="G35" s="2"/>
      <c r="H35" s="6">
        <v>1823.14</v>
      </c>
      <c r="I35" s="2"/>
      <c r="J35" s="7">
        <f t="shared" si="16"/>
        <v>6.0619163068920193E-3</v>
      </c>
      <c r="K35" s="2"/>
      <c r="L35" s="6">
        <f t="shared" si="17"/>
        <v>-1499.75</v>
      </c>
      <c r="M35" s="2"/>
      <c r="N35" s="7">
        <f t="shared" si="18"/>
        <v>-0.8226192173941661</v>
      </c>
      <c r="O35" s="11"/>
      <c r="P35" s="6">
        <v>3386</v>
      </c>
      <c r="Q35" s="2"/>
      <c r="R35" s="7">
        <f t="shared" si="19"/>
        <v>1.3091201521765183</v>
      </c>
      <c r="S35" s="2"/>
      <c r="T35" s="6">
        <v>6888.44</v>
      </c>
      <c r="U35" s="2"/>
      <c r="V35" s="7">
        <f t="shared" si="20"/>
        <v>4.8550296727112715E-3</v>
      </c>
      <c r="W35" s="2"/>
      <c r="X35" s="6">
        <f t="shared" si="21"/>
        <v>-3502.4399999999996</v>
      </c>
      <c r="Y35" s="2"/>
      <c r="Z35" s="7">
        <f t="shared" si="22"/>
        <v>-0.50845184105544938</v>
      </c>
    </row>
    <row r="36" spans="1:26" s="24" customFormat="1" hidden="1" outlineLevel="2" x14ac:dyDescent="0.25">
      <c r="A36" s="25"/>
      <c r="B36" s="11" t="str">
        <f>CONCATENATE("          ", "6119", " - ", "SICK LEAVE")</f>
        <v xml:space="preserve">          6119 - SICK LEAVE</v>
      </c>
      <c r="C36" s="11"/>
      <c r="D36" s="6">
        <v>224.32</v>
      </c>
      <c r="E36" s="2"/>
      <c r="F36" s="7">
        <f t="shared" si="15"/>
        <v>0</v>
      </c>
      <c r="G36" s="2"/>
      <c r="H36" s="6">
        <v>788.12</v>
      </c>
      <c r="I36" s="2"/>
      <c r="J36" s="7">
        <f t="shared" si="16"/>
        <v>2.6204885416302301E-3</v>
      </c>
      <c r="K36" s="2"/>
      <c r="L36" s="6">
        <f t="shared" si="17"/>
        <v>-563.79999999999995</v>
      </c>
      <c r="M36" s="2"/>
      <c r="N36" s="7">
        <f t="shared" si="18"/>
        <v>-0.71537329340709532</v>
      </c>
      <c r="O36" s="11"/>
      <c r="P36" s="6">
        <v>2447.1799999999998</v>
      </c>
      <c r="Q36" s="2"/>
      <c r="R36" s="7">
        <f t="shared" si="19"/>
        <v>0.94614667867788904</v>
      </c>
      <c r="S36" s="2"/>
      <c r="T36" s="6">
        <v>4739.08</v>
      </c>
      <c r="U36" s="2"/>
      <c r="V36" s="7">
        <f t="shared" si="20"/>
        <v>3.3401429091859018E-3</v>
      </c>
      <c r="W36" s="2"/>
      <c r="X36" s="6">
        <f t="shared" si="21"/>
        <v>-2291.9</v>
      </c>
      <c r="Y36" s="2"/>
      <c r="Z36" s="7">
        <f t="shared" si="22"/>
        <v>-0.48361707335601006</v>
      </c>
    </row>
    <row r="37" spans="1:26" s="24" customFormat="1" hidden="1" outlineLevel="2" x14ac:dyDescent="0.25">
      <c r="A37" s="25"/>
      <c r="B37" s="11" t="str">
        <f>CONCATENATE("          ", "6156", " - ", "EMPLOYEE MEALS")</f>
        <v xml:space="preserve">          6156 - EMPLOYEE MEALS</v>
      </c>
      <c r="C37" s="11"/>
      <c r="D37" s="6"/>
      <c r="E37" s="2"/>
      <c r="F37" s="7">
        <f t="shared" si="15"/>
        <v>0</v>
      </c>
      <c r="G37" s="2"/>
      <c r="H37" s="6">
        <v>612.64</v>
      </c>
      <c r="I37" s="2"/>
      <c r="J37" s="7">
        <f t="shared" si="16"/>
        <v>2.0370198702536978E-3</v>
      </c>
      <c r="K37" s="2"/>
      <c r="L37" s="6">
        <f t="shared" si="17"/>
        <v>-612.64</v>
      </c>
      <c r="M37" s="2"/>
      <c r="N37" s="7">
        <f t="shared" si="18"/>
        <v>-1</v>
      </c>
      <c r="O37" s="11"/>
      <c r="P37" s="6">
        <v>726.37</v>
      </c>
      <c r="Q37" s="2"/>
      <c r="R37" s="7">
        <f t="shared" si="19"/>
        <v>0.28083449643722908</v>
      </c>
      <c r="S37" s="2"/>
      <c r="T37" s="6">
        <v>3161.83</v>
      </c>
      <c r="U37" s="2"/>
      <c r="V37" s="7">
        <f t="shared" si="20"/>
        <v>2.2284840210655358E-3</v>
      </c>
      <c r="W37" s="2"/>
      <c r="X37" s="6">
        <f t="shared" si="21"/>
        <v>-2435.46</v>
      </c>
      <c r="Y37" s="2"/>
      <c r="Z37" s="7">
        <f t="shared" si="22"/>
        <v>-0.77026911630290051</v>
      </c>
    </row>
    <row r="38" spans="1:26" s="26" customFormat="1" outlineLevel="1" collapsed="1" x14ac:dyDescent="0.25">
      <c r="A38" s="27"/>
      <c r="B38" s="13" t="str">
        <f>CONCATENATE("     ","*Payroll                                          ")</f>
        <v xml:space="preserve">     *Payroll                                          </v>
      </c>
      <c r="C38" s="13"/>
      <c r="D38" s="1">
        <f>SUM(OSRRefD22_1x_0)</f>
        <v>4169</v>
      </c>
      <c r="E38" s="1"/>
      <c r="F38" s="5">
        <f t="shared" ref="F38:F44" si="23">IF(D$12=0,0,D38/D$12)</f>
        <v>0</v>
      </c>
      <c r="G38" s="1"/>
      <c r="H38" s="1">
        <f>SUM(OSRRefH22_1x_0)</f>
        <v>52691.03</v>
      </c>
      <c r="I38" s="1"/>
      <c r="J38" s="5">
        <f t="shared" ref="J38:J44" si="24">IF(H$12=0,0,H38/H$12)</f>
        <v>0.17519697553887062</v>
      </c>
      <c r="K38" s="1"/>
      <c r="L38" s="1">
        <f t="shared" ref="L38:L44" si="25">+D38-H38</f>
        <v>-48522.03</v>
      </c>
      <c r="M38" s="1"/>
      <c r="N38" s="5">
        <f t="shared" ref="N38:N44" si="26">IF(H38=0,0,L38/H38)</f>
        <v>-0.92087837341574075</v>
      </c>
      <c r="O38" s="13"/>
      <c r="P38" s="1">
        <f>SUM(OSRRefP22_1x_0)</f>
        <v>41960.38</v>
      </c>
      <c r="Q38" s="1"/>
      <c r="R38" s="5">
        <f t="shared" ref="R38:R44" si="27">IF(P$12=0,0,P38/P$12)</f>
        <v>16.223029843763893</v>
      </c>
      <c r="S38" s="1"/>
      <c r="T38" s="1">
        <f>SUM(OSRRefT22_1x_0)</f>
        <v>272962.57999999996</v>
      </c>
      <c r="U38" s="1"/>
      <c r="V38" s="5">
        <f t="shared" ref="V38:V44" si="28">IF(T$12=0,0,T38/T$12)</f>
        <v>0.19238629144477185</v>
      </c>
      <c r="W38" s="1"/>
      <c r="X38" s="1">
        <f t="shared" ref="X38:X44" si="29">+P38-T38</f>
        <v>-231002.19999999995</v>
      </c>
      <c r="Y38" s="1"/>
      <c r="Z38" s="5">
        <f t="shared" ref="Z38:Z44" si="30">IF(T38=0,0,X38/T38)</f>
        <v>-0.84627790373317835</v>
      </c>
    </row>
    <row r="39" spans="1:26" s="24" customFormat="1" hidden="1" outlineLevel="2" x14ac:dyDescent="0.25">
      <c r="A39" s="25"/>
      <c r="B39" s="11" t="str">
        <f>CONCATENATE("          ", "6002", " - ", "STAFF SALARIES")</f>
        <v xml:space="preserve">          6002 - STAFF SALARIES</v>
      </c>
      <c r="C39" s="11"/>
      <c r="D39" s="6">
        <v>4169</v>
      </c>
      <c r="E39" s="2"/>
      <c r="F39" s="7">
        <f t="shared" si="23"/>
        <v>0</v>
      </c>
      <c r="G39" s="2"/>
      <c r="H39" s="6">
        <v>15100.79</v>
      </c>
      <c r="I39" s="2"/>
      <c r="J39" s="7">
        <f t="shared" si="24"/>
        <v>5.0209926362183889E-2</v>
      </c>
      <c r="K39" s="2"/>
      <c r="L39" s="6">
        <f t="shared" si="25"/>
        <v>-10931.79</v>
      </c>
      <c r="M39" s="2"/>
      <c r="N39" s="7">
        <f t="shared" si="26"/>
        <v>-0.72392172859830517</v>
      </c>
      <c r="O39" s="11"/>
      <c r="P39" s="6">
        <v>39828.42</v>
      </c>
      <c r="Q39" s="2"/>
      <c r="R39" s="7">
        <f t="shared" si="27"/>
        <v>15.398755833239896</v>
      </c>
      <c r="S39" s="2"/>
      <c r="T39" s="6">
        <v>86167.47</v>
      </c>
      <c r="U39" s="2"/>
      <c r="V39" s="7">
        <f t="shared" si="28"/>
        <v>6.0731547879121883E-2</v>
      </c>
      <c r="W39" s="2"/>
      <c r="X39" s="6">
        <f t="shared" si="29"/>
        <v>-46339.05</v>
      </c>
      <c r="Y39" s="2"/>
      <c r="Z39" s="7">
        <f t="shared" si="30"/>
        <v>-0.53777893211904682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3"/>
        <v>0</v>
      </c>
      <c r="G40" s="2"/>
      <c r="H40" s="6"/>
      <c r="I40" s="2"/>
      <c r="J40" s="7">
        <f t="shared" si="24"/>
        <v>0</v>
      </c>
      <c r="K40" s="2"/>
      <c r="L40" s="6">
        <f t="shared" si="25"/>
        <v>0</v>
      </c>
      <c r="M40" s="2"/>
      <c r="N40" s="7">
        <f t="shared" si="26"/>
        <v>0</v>
      </c>
      <c r="O40" s="11"/>
      <c r="P40" s="6"/>
      <c r="Q40" s="2"/>
      <c r="R40" s="7">
        <f t="shared" si="27"/>
        <v>0</v>
      </c>
      <c r="S40" s="2"/>
      <c r="T40" s="6">
        <v>254.64</v>
      </c>
      <c r="U40" s="2"/>
      <c r="V40" s="7">
        <f t="shared" si="28"/>
        <v>1.7947238501884289E-4</v>
      </c>
      <c r="W40" s="2"/>
      <c r="X40" s="6">
        <f t="shared" si="29"/>
        <v>-254.64</v>
      </c>
      <c r="Y40" s="2"/>
      <c r="Z40" s="7">
        <f t="shared" si="30"/>
        <v>-1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3"/>
        <v>0</v>
      </c>
      <c r="G41" s="2"/>
      <c r="H41" s="6">
        <v>6085.73</v>
      </c>
      <c r="I41" s="2"/>
      <c r="J41" s="7">
        <f t="shared" si="24"/>
        <v>2.0234971492228773E-2</v>
      </c>
      <c r="K41" s="2"/>
      <c r="L41" s="6">
        <f t="shared" si="25"/>
        <v>-6085.73</v>
      </c>
      <c r="M41" s="2"/>
      <c r="N41" s="7">
        <f t="shared" si="26"/>
        <v>-1</v>
      </c>
      <c r="O41" s="11"/>
      <c r="P41" s="6">
        <v>2131.96</v>
      </c>
      <c r="Q41" s="2"/>
      <c r="R41" s="7">
        <f t="shared" si="27"/>
        <v>0.82427401052399596</v>
      </c>
      <c r="S41" s="2"/>
      <c r="T41" s="6">
        <v>33248.79</v>
      </c>
      <c r="U41" s="2"/>
      <c r="V41" s="7">
        <f t="shared" si="28"/>
        <v>2.3434023092564617E-2</v>
      </c>
      <c r="W41" s="2"/>
      <c r="X41" s="6">
        <f t="shared" si="29"/>
        <v>-31116.83</v>
      </c>
      <c r="Y41" s="2"/>
      <c r="Z41" s="7">
        <f t="shared" si="30"/>
        <v>-0.93587856881408316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3"/>
        <v>0</v>
      </c>
      <c r="G42" s="2"/>
      <c r="H42" s="6">
        <v>1792.23</v>
      </c>
      <c r="I42" s="2"/>
      <c r="J42" s="7">
        <f t="shared" si="24"/>
        <v>5.9591409670684001E-3</v>
      </c>
      <c r="K42" s="2"/>
      <c r="L42" s="6">
        <f t="shared" si="25"/>
        <v>-1792.23</v>
      </c>
      <c r="M42" s="2"/>
      <c r="N42" s="7">
        <f t="shared" si="26"/>
        <v>-1</v>
      </c>
      <c r="O42" s="11"/>
      <c r="P42" s="6"/>
      <c r="Q42" s="2"/>
      <c r="R42" s="7">
        <f t="shared" si="27"/>
        <v>0</v>
      </c>
      <c r="S42" s="2"/>
      <c r="T42" s="6">
        <v>8481.2999999999993</v>
      </c>
      <c r="U42" s="2"/>
      <c r="V42" s="7">
        <f t="shared" si="28"/>
        <v>5.9776906183644056E-3</v>
      </c>
      <c r="W42" s="2"/>
      <c r="X42" s="6">
        <f t="shared" si="29"/>
        <v>-8481.2999999999993</v>
      </c>
      <c r="Y42" s="2"/>
      <c r="Z42" s="7">
        <f t="shared" si="30"/>
        <v>-1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6"/>
      <c r="E43" s="2"/>
      <c r="F43" s="7">
        <f t="shared" si="23"/>
        <v>0</v>
      </c>
      <c r="G43" s="2"/>
      <c r="H43" s="6">
        <v>28776.28</v>
      </c>
      <c r="I43" s="2"/>
      <c r="J43" s="7">
        <f t="shared" si="24"/>
        <v>9.5680749138130183E-2</v>
      </c>
      <c r="K43" s="2"/>
      <c r="L43" s="6">
        <f t="shared" si="25"/>
        <v>-28776.28</v>
      </c>
      <c r="M43" s="2"/>
      <c r="N43" s="7">
        <f t="shared" si="26"/>
        <v>-1</v>
      </c>
      <c r="O43" s="11"/>
      <c r="P43" s="6">
        <v>0</v>
      </c>
      <c r="Q43" s="2"/>
      <c r="R43" s="7">
        <f t="shared" si="27"/>
        <v>0</v>
      </c>
      <c r="S43" s="2"/>
      <c r="T43" s="6">
        <v>137026.59</v>
      </c>
      <c r="U43" s="2"/>
      <c r="V43" s="7">
        <f t="shared" si="28"/>
        <v>9.6577477687319863E-2</v>
      </c>
      <c r="W43" s="2"/>
      <c r="X43" s="6">
        <f t="shared" si="29"/>
        <v>-137026.59</v>
      </c>
      <c r="Y43" s="2"/>
      <c r="Z43" s="7">
        <f t="shared" si="30"/>
        <v>-1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3"/>
        <v>0</v>
      </c>
      <c r="G44" s="2"/>
      <c r="H44" s="6">
        <v>936</v>
      </c>
      <c r="I44" s="2"/>
      <c r="J44" s="7">
        <f t="shared" si="24"/>
        <v>3.1121875792593711E-3</v>
      </c>
      <c r="K44" s="2"/>
      <c r="L44" s="6">
        <f t="shared" si="25"/>
        <v>-936</v>
      </c>
      <c r="M44" s="2"/>
      <c r="N44" s="7">
        <f t="shared" si="26"/>
        <v>-1</v>
      </c>
      <c r="O44" s="11"/>
      <c r="P44" s="6"/>
      <c r="Q44" s="2"/>
      <c r="R44" s="7">
        <f t="shared" si="27"/>
        <v>0</v>
      </c>
      <c r="S44" s="2"/>
      <c r="T44" s="6">
        <v>7783.79</v>
      </c>
      <c r="U44" s="2"/>
      <c r="V44" s="7">
        <f t="shared" si="28"/>
        <v>5.4860797823822619E-3</v>
      </c>
      <c r="W44" s="2"/>
      <c r="X44" s="6">
        <f t="shared" si="29"/>
        <v>-7783.79</v>
      </c>
      <c r="Y44" s="2"/>
      <c r="Z44" s="7">
        <f t="shared" si="30"/>
        <v>-1</v>
      </c>
    </row>
    <row r="45" spans="1:26" s="26" customFormat="1" outlineLevel="1" collapsed="1" x14ac:dyDescent="0.25">
      <c r="A45" s="27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0</v>
      </c>
      <c r="E45" s="1"/>
      <c r="F45" s="5">
        <f t="shared" ref="F45:F53" si="31">IF(D$12=0,0,D45/D$12)</f>
        <v>0</v>
      </c>
      <c r="G45" s="1"/>
      <c r="H45" s="1">
        <f>SUM(OSRRefH22_2x_0)</f>
        <v>761.16</v>
      </c>
      <c r="I45" s="1"/>
      <c r="J45" s="5">
        <f t="shared" ref="J45:J53" si="32">IF(H$12=0,0,H45/H$12)</f>
        <v>2.5308468993900245E-3</v>
      </c>
      <c r="K45" s="1"/>
      <c r="L45" s="1">
        <f t="shared" ref="L45:L53" si="33">+D45-H45</f>
        <v>-761.16</v>
      </c>
      <c r="M45" s="1"/>
      <c r="N45" s="5">
        <f t="shared" ref="N45:N53" si="34">IF(H45=0,0,L45/H45)</f>
        <v>-1</v>
      </c>
      <c r="O45" s="13"/>
      <c r="P45" s="1">
        <f>SUM(OSRRefP22_2x_0)</f>
        <v>0</v>
      </c>
      <c r="Q45" s="1"/>
      <c r="R45" s="5">
        <f t="shared" ref="R45:R53" si="35">IF(P$12=0,0,P45/P$12)</f>
        <v>0</v>
      </c>
      <c r="S45" s="1"/>
      <c r="T45" s="1">
        <f>SUM(OSRRefT22_2x_0)</f>
        <v>1814.1</v>
      </c>
      <c r="U45" s="1"/>
      <c r="V45" s="5">
        <f t="shared" ref="V45:V53" si="36">IF(T$12=0,0,T45/T$12)</f>
        <v>1.2785927335166624E-3</v>
      </c>
      <c r="W45" s="1"/>
      <c r="X45" s="1">
        <f t="shared" ref="X45:X53" si="37">+P45-T45</f>
        <v>-1814.1</v>
      </c>
      <c r="Y45" s="1"/>
      <c r="Z45" s="5">
        <f t="shared" ref="Z45:Z53" si="38">IF(T45=0,0,X45/T45)</f>
        <v>-1</v>
      </c>
    </row>
    <row r="46" spans="1:26" s="24" customFormat="1" hidden="1" outlineLevel="2" x14ac:dyDescent="0.25">
      <c r="A46" s="25"/>
      <c r="B46" s="11" t="str">
        <f>CONCATENATE("          ", "6362", " - ", "ADVERTISING EXPENSE")</f>
        <v xml:space="preserve">          6362 - ADVERTISING EXPENSE</v>
      </c>
      <c r="C46" s="11"/>
      <c r="D46" s="6"/>
      <c r="E46" s="2"/>
      <c r="F46" s="7">
        <f t="shared" si="31"/>
        <v>0</v>
      </c>
      <c r="G46" s="2"/>
      <c r="H46" s="6">
        <v>761.16</v>
      </c>
      <c r="I46" s="2"/>
      <c r="J46" s="7">
        <f t="shared" si="32"/>
        <v>2.5308468993900245E-3</v>
      </c>
      <c r="K46" s="2"/>
      <c r="L46" s="6">
        <f t="shared" si="33"/>
        <v>-761.16</v>
      </c>
      <c r="M46" s="2"/>
      <c r="N46" s="7">
        <f t="shared" si="34"/>
        <v>-1</v>
      </c>
      <c r="O46" s="11"/>
      <c r="P46" s="6"/>
      <c r="Q46" s="2"/>
      <c r="R46" s="7">
        <f t="shared" si="35"/>
        <v>0</v>
      </c>
      <c r="S46" s="2"/>
      <c r="T46" s="6">
        <v>1814.1</v>
      </c>
      <c r="U46" s="2"/>
      <c r="V46" s="7">
        <f t="shared" si="36"/>
        <v>1.2785927335166624E-3</v>
      </c>
      <c r="W46" s="2"/>
      <c r="X46" s="6">
        <f t="shared" si="37"/>
        <v>-1814.1</v>
      </c>
      <c r="Y46" s="2"/>
      <c r="Z46" s="7">
        <f t="shared" si="38"/>
        <v>-1</v>
      </c>
    </row>
    <row r="47" spans="1:26" s="26" customFormat="1" outlineLevel="1" collapsed="1" x14ac:dyDescent="0.25">
      <c r="A47" s="27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0</v>
      </c>
      <c r="E47" s="1"/>
      <c r="F47" s="5">
        <f t="shared" si="31"/>
        <v>0</v>
      </c>
      <c r="G47" s="1"/>
      <c r="H47" s="1">
        <f>SUM(OSRRefH22_3x_0)</f>
        <v>-64.14</v>
      </c>
      <c r="I47" s="1"/>
      <c r="J47" s="5">
        <f t="shared" si="32"/>
        <v>-2.132646488607864E-4</v>
      </c>
      <c r="K47" s="1"/>
      <c r="L47" s="1">
        <f t="shared" si="33"/>
        <v>64.14</v>
      </c>
      <c r="M47" s="1"/>
      <c r="N47" s="5">
        <f t="shared" si="34"/>
        <v>-1</v>
      </c>
      <c r="O47" s="13"/>
      <c r="P47" s="1">
        <f>SUM(OSRRefP22_3x_0)</f>
        <v>3.31</v>
      </c>
      <c r="Q47" s="1"/>
      <c r="R47" s="5">
        <f t="shared" si="35"/>
        <v>1.2797364748092959E-3</v>
      </c>
      <c r="S47" s="1"/>
      <c r="T47" s="1">
        <f>SUM(OSRRefT22_3x_0)</f>
        <v>-255.09</v>
      </c>
      <c r="U47" s="1"/>
      <c r="V47" s="5">
        <f t="shared" si="36"/>
        <v>-1.7978954875297139E-4</v>
      </c>
      <c r="W47" s="1"/>
      <c r="X47" s="1">
        <f t="shared" si="37"/>
        <v>258.39999999999998</v>
      </c>
      <c r="Y47" s="1"/>
      <c r="Z47" s="5">
        <f t="shared" si="38"/>
        <v>-1.0129758124583479</v>
      </c>
    </row>
    <row r="48" spans="1:26" s="24" customFormat="1" hidden="1" outlineLevel="2" x14ac:dyDescent="0.25">
      <c r="A48" s="25"/>
      <c r="B48" s="11" t="str">
        <f>CONCATENATE("          ", "6272", " - ", "CASH (OVER/SHORT)")</f>
        <v xml:space="preserve">          6272 - CASH (OVER/SHORT)</v>
      </c>
      <c r="C48" s="11"/>
      <c r="D48" s="6"/>
      <c r="E48" s="2"/>
      <c r="F48" s="7">
        <f t="shared" si="31"/>
        <v>0</v>
      </c>
      <c r="G48" s="2"/>
      <c r="H48" s="6">
        <v>-64.14</v>
      </c>
      <c r="I48" s="2"/>
      <c r="J48" s="7">
        <f t="shared" si="32"/>
        <v>-2.132646488607864E-4</v>
      </c>
      <c r="K48" s="2"/>
      <c r="L48" s="6">
        <f t="shared" si="33"/>
        <v>64.14</v>
      </c>
      <c r="M48" s="2"/>
      <c r="N48" s="7">
        <f t="shared" si="34"/>
        <v>-1</v>
      </c>
      <c r="O48" s="11"/>
      <c r="P48" s="6">
        <v>3.31</v>
      </c>
      <c r="Q48" s="2"/>
      <c r="R48" s="7">
        <f t="shared" si="35"/>
        <v>1.2797364748092959E-3</v>
      </c>
      <c r="S48" s="2"/>
      <c r="T48" s="6">
        <v>-255.09</v>
      </c>
      <c r="U48" s="2"/>
      <c r="V48" s="7">
        <f t="shared" si="36"/>
        <v>-1.7978954875297139E-4</v>
      </c>
      <c r="W48" s="2"/>
      <c r="X48" s="6">
        <f t="shared" si="37"/>
        <v>258.39999999999998</v>
      </c>
      <c r="Y48" s="2"/>
      <c r="Z48" s="7">
        <f t="shared" si="38"/>
        <v>-1.0129758124583479</v>
      </c>
    </row>
    <row r="49" spans="1:26" s="26" customFormat="1" outlineLevel="1" collapsed="1" x14ac:dyDescent="0.25">
      <c r="A49" s="27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205.09</v>
      </c>
      <c r="E49" s="1"/>
      <c r="F49" s="5">
        <f t="shared" si="31"/>
        <v>0</v>
      </c>
      <c r="G49" s="1"/>
      <c r="H49" s="1">
        <f>SUM(OSRRefH22_4x_0)</f>
        <v>11733.15</v>
      </c>
      <c r="I49" s="1"/>
      <c r="J49" s="5">
        <f t="shared" si="32"/>
        <v>3.9012568050840905E-2</v>
      </c>
      <c r="K49" s="1"/>
      <c r="L49" s="1">
        <f t="shared" si="33"/>
        <v>-11528.06</v>
      </c>
      <c r="M49" s="1"/>
      <c r="N49" s="5">
        <f t="shared" si="34"/>
        <v>-0.98252046551863736</v>
      </c>
      <c r="O49" s="13"/>
      <c r="P49" s="1">
        <f>SUM(OSRRefP22_4x_0)</f>
        <v>639.33000000000004</v>
      </c>
      <c r="Q49" s="1"/>
      <c r="R49" s="5">
        <f t="shared" si="35"/>
        <v>0.24718245330508376</v>
      </c>
      <c r="S49" s="1"/>
      <c r="T49" s="1">
        <f>SUM(OSRRefT22_4x_0)</f>
        <v>49492.5</v>
      </c>
      <c r="U49" s="1"/>
      <c r="V49" s="5">
        <f t="shared" si="36"/>
        <v>3.4882724691898688E-2</v>
      </c>
      <c r="W49" s="1"/>
      <c r="X49" s="1">
        <f t="shared" si="37"/>
        <v>-48853.17</v>
      </c>
      <c r="Y49" s="1"/>
      <c r="Z49" s="5">
        <f t="shared" si="38"/>
        <v>-0.98708228519472641</v>
      </c>
    </row>
    <row r="50" spans="1:26" s="24" customFormat="1" hidden="1" outlineLevel="2" x14ac:dyDescent="0.25">
      <c r="A50" s="25"/>
      <c r="B50" s="11" t="str">
        <f>CONCATENATE("          ", "6381", " - ", "BANK/CREDIT CARD FEES")</f>
        <v xml:space="preserve">          6381 - BANK/CREDIT CARD FEES</v>
      </c>
      <c r="C50" s="11"/>
      <c r="D50" s="6">
        <v>205.09</v>
      </c>
      <c r="E50" s="2"/>
      <c r="F50" s="7">
        <f t="shared" si="31"/>
        <v>0</v>
      </c>
      <c r="G50" s="2"/>
      <c r="H50" s="6">
        <v>11733.15</v>
      </c>
      <c r="I50" s="2"/>
      <c r="J50" s="7">
        <f t="shared" si="32"/>
        <v>3.9012568050840905E-2</v>
      </c>
      <c r="K50" s="2"/>
      <c r="L50" s="6">
        <f t="shared" si="33"/>
        <v>-11528.06</v>
      </c>
      <c r="M50" s="2"/>
      <c r="N50" s="7">
        <f t="shared" si="34"/>
        <v>-0.98252046551863736</v>
      </c>
      <c r="O50" s="11"/>
      <c r="P50" s="6">
        <v>639.33000000000004</v>
      </c>
      <c r="Q50" s="2"/>
      <c r="R50" s="7">
        <f t="shared" si="35"/>
        <v>0.24718245330508376</v>
      </c>
      <c r="S50" s="2"/>
      <c r="T50" s="6">
        <v>49492.5</v>
      </c>
      <c r="U50" s="2"/>
      <c r="V50" s="7">
        <f t="shared" si="36"/>
        <v>3.4882724691898688E-2</v>
      </c>
      <c r="W50" s="2"/>
      <c r="X50" s="6">
        <f t="shared" si="37"/>
        <v>-48853.17</v>
      </c>
      <c r="Y50" s="2"/>
      <c r="Z50" s="7">
        <f t="shared" si="38"/>
        <v>-0.98708228519472641</v>
      </c>
    </row>
    <row r="51" spans="1:26" s="26" customFormat="1" outlineLevel="1" collapsed="1" x14ac:dyDescent="0.25">
      <c r="A51" s="27"/>
      <c r="B51" s="13" t="str">
        <f>CONCATENATE("     ","Depreciation                                      ")</f>
        <v xml:space="preserve">     Depreciation                                      </v>
      </c>
      <c r="C51" s="13"/>
      <c r="D51" s="1">
        <f>SUM(OSRRefD22_5x_0)</f>
        <v>9152.09</v>
      </c>
      <c r="E51" s="1"/>
      <c r="F51" s="5">
        <f t="shared" si="31"/>
        <v>0</v>
      </c>
      <c r="G51" s="1"/>
      <c r="H51" s="1">
        <f>SUM(OSRRefH22_5x_0)</f>
        <v>8403.48</v>
      </c>
      <c r="I51" s="1"/>
      <c r="J51" s="5">
        <f t="shared" si="32"/>
        <v>2.794145948563519E-2</v>
      </c>
      <c r="K51" s="1"/>
      <c r="L51" s="1">
        <f t="shared" si="33"/>
        <v>748.61000000000058</v>
      </c>
      <c r="M51" s="1"/>
      <c r="N51" s="5">
        <f t="shared" si="34"/>
        <v>8.9083332143350208E-2</v>
      </c>
      <c r="O51" s="13"/>
      <c r="P51" s="1">
        <f>SUM(OSRRefP22_5x_0)</f>
        <v>45941.73</v>
      </c>
      <c r="Q51" s="1"/>
      <c r="R51" s="5">
        <f t="shared" si="35"/>
        <v>17.762328579105883</v>
      </c>
      <c r="S51" s="1"/>
      <c r="T51" s="1">
        <f>SUM(OSRRefT22_5x_0)</f>
        <v>42017.4</v>
      </c>
      <c r="U51" s="1"/>
      <c r="V51" s="5">
        <f t="shared" si="36"/>
        <v>2.9614212183045593E-2</v>
      </c>
      <c r="W51" s="1"/>
      <c r="X51" s="1">
        <f t="shared" si="37"/>
        <v>3924.3300000000017</v>
      </c>
      <c r="Y51" s="1"/>
      <c r="Z51" s="5">
        <f t="shared" si="38"/>
        <v>9.3397735223978678E-2</v>
      </c>
    </row>
    <row r="52" spans="1:26" s="24" customFormat="1" hidden="1" outlineLevel="2" x14ac:dyDescent="0.25">
      <c r="A52" s="25"/>
      <c r="B52" s="11" t="str">
        <f>CONCATENATE("          ", "6321", " - ", "BUILDING DEPRECIATION")</f>
        <v xml:space="preserve">          6321 - BUILDING DEPRECIATION</v>
      </c>
      <c r="C52" s="11"/>
      <c r="D52" s="6">
        <v>5080.51</v>
      </c>
      <c r="E52" s="2"/>
      <c r="F52" s="7">
        <f t="shared" si="31"/>
        <v>0</v>
      </c>
      <c r="G52" s="2"/>
      <c r="H52" s="6">
        <v>5080.51</v>
      </c>
      <c r="I52" s="2"/>
      <c r="J52" s="7">
        <f t="shared" si="32"/>
        <v>1.6892628331520328E-2</v>
      </c>
      <c r="K52" s="2"/>
      <c r="L52" s="6">
        <f t="shared" si="33"/>
        <v>0</v>
      </c>
      <c r="M52" s="2"/>
      <c r="N52" s="7">
        <f t="shared" si="34"/>
        <v>0</v>
      </c>
      <c r="O52" s="11"/>
      <c r="P52" s="6">
        <v>25402.550000000003</v>
      </c>
      <c r="Q52" s="2"/>
      <c r="R52" s="7">
        <f t="shared" si="35"/>
        <v>9.8213201776939236</v>
      </c>
      <c r="S52" s="2"/>
      <c r="T52" s="6">
        <v>25402.550000000003</v>
      </c>
      <c r="U52" s="2"/>
      <c r="V52" s="7">
        <f t="shared" si="36"/>
        <v>1.7903928031968303E-2</v>
      </c>
      <c r="W52" s="2"/>
      <c r="X52" s="6">
        <f t="shared" si="37"/>
        <v>0</v>
      </c>
      <c r="Y52" s="2"/>
      <c r="Z52" s="7">
        <f t="shared" si="38"/>
        <v>0</v>
      </c>
    </row>
    <row r="53" spans="1:26" s="24" customFormat="1" hidden="1" outlineLevel="2" x14ac:dyDescent="0.25">
      <c r="A53" s="25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4071.58</v>
      </c>
      <c r="E53" s="2"/>
      <c r="F53" s="7">
        <f t="shared" si="31"/>
        <v>0</v>
      </c>
      <c r="G53" s="2"/>
      <c r="H53" s="6">
        <v>3322.97</v>
      </c>
      <c r="I53" s="2"/>
      <c r="J53" s="7">
        <f t="shared" si="32"/>
        <v>1.1048831154114864E-2</v>
      </c>
      <c r="K53" s="2"/>
      <c r="L53" s="6">
        <f t="shared" si="33"/>
        <v>748.61000000000013</v>
      </c>
      <c r="M53" s="2"/>
      <c r="N53" s="7">
        <f t="shared" si="34"/>
        <v>0.22528340610959477</v>
      </c>
      <c r="O53" s="11"/>
      <c r="P53" s="6">
        <v>20539.18</v>
      </c>
      <c r="Q53" s="2"/>
      <c r="R53" s="7">
        <f t="shared" si="35"/>
        <v>7.9410084014119624</v>
      </c>
      <c r="S53" s="2"/>
      <c r="T53" s="6">
        <v>16614.849999999999</v>
      </c>
      <c r="U53" s="2"/>
      <c r="V53" s="7">
        <f t="shared" si="36"/>
        <v>1.1710284151077293E-2</v>
      </c>
      <c r="W53" s="2"/>
      <c r="X53" s="6">
        <f t="shared" si="37"/>
        <v>3924.3300000000017</v>
      </c>
      <c r="Y53" s="2"/>
      <c r="Z53" s="7">
        <f t="shared" si="38"/>
        <v>0.23619412754252986</v>
      </c>
    </row>
    <row r="54" spans="1:26" s="26" customFormat="1" outlineLevel="1" collapsed="1" x14ac:dyDescent="0.25">
      <c r="A54" s="27"/>
      <c r="B54" s="13" t="str">
        <f>CONCATENATE("     ","Discounts and Markdowns                           ")</f>
        <v xml:space="preserve">     Discounts and Markdowns                           </v>
      </c>
      <c r="C54" s="13"/>
      <c r="D54" s="1">
        <f>SUM(OSRRefD22_6x_0)</f>
        <v>0</v>
      </c>
      <c r="E54" s="1"/>
      <c r="F54" s="5">
        <f t="shared" ref="F54:F73" si="39">IF(D$12=0,0,D54/D$12)</f>
        <v>0</v>
      </c>
      <c r="G54" s="1"/>
      <c r="H54" s="1">
        <f>SUM(OSRRefH22_6x_0)</f>
        <v>10.59</v>
      </c>
      <c r="I54" s="1"/>
      <c r="J54" s="5">
        <f t="shared" ref="J54:J73" si="40">IF(H$12=0,0,H54/H$12)</f>
        <v>3.52116094704666E-5</v>
      </c>
      <c r="K54" s="1"/>
      <c r="L54" s="1">
        <f t="shared" ref="L54:L73" si="41">+D54-H54</f>
        <v>-10.59</v>
      </c>
      <c r="M54" s="1"/>
      <c r="N54" s="5">
        <f t="shared" ref="N54:N73" si="42">IF(H54=0,0,L54/H54)</f>
        <v>-1</v>
      </c>
      <c r="O54" s="13"/>
      <c r="P54" s="1">
        <f>SUM(OSRRefP22_6x_0)</f>
        <v>0</v>
      </c>
      <c r="Q54" s="1"/>
      <c r="R54" s="5">
        <f t="shared" ref="R54:R73" si="43">IF(P$12=0,0,P54/P$12)</f>
        <v>0</v>
      </c>
      <c r="S54" s="1"/>
      <c r="T54" s="1">
        <f>SUM(OSRRefT22_6x_0)</f>
        <v>59.75</v>
      </c>
      <c r="U54" s="1"/>
      <c r="V54" s="5">
        <f t="shared" ref="V54:V73" si="44">IF(T$12=0,0,T54/T$12)</f>
        <v>4.2112295809283162E-5</v>
      </c>
      <c r="W54" s="1"/>
      <c r="X54" s="1">
        <f t="shared" ref="X54:X73" si="45">+P54-T54</f>
        <v>-59.75</v>
      </c>
      <c r="Y54" s="1"/>
      <c r="Z54" s="5">
        <f t="shared" ref="Z54:Z73" si="46">IF(T54=0,0,X54/T54)</f>
        <v>-1</v>
      </c>
    </row>
    <row r="55" spans="1:26" s="24" customFormat="1" hidden="1" outlineLevel="2" x14ac:dyDescent="0.25">
      <c r="A55" s="25"/>
      <c r="B55" s="11" t="str">
        <f>CONCATENATE("          ", "6382", " - ", "DISCOUNTS/MARK DOWNS")</f>
        <v xml:space="preserve">          6382 - DISCOUNTS/MARK DOWNS</v>
      </c>
      <c r="C55" s="11"/>
      <c r="D55" s="6"/>
      <c r="E55" s="2"/>
      <c r="F55" s="7">
        <f t="shared" si="39"/>
        <v>0</v>
      </c>
      <c r="G55" s="2"/>
      <c r="H55" s="6">
        <v>10.59</v>
      </c>
      <c r="I55" s="2"/>
      <c r="J55" s="7">
        <f t="shared" si="40"/>
        <v>3.52116094704666E-5</v>
      </c>
      <c r="K55" s="2"/>
      <c r="L55" s="6">
        <f t="shared" si="41"/>
        <v>-10.59</v>
      </c>
      <c r="M55" s="2"/>
      <c r="N55" s="7">
        <f t="shared" si="42"/>
        <v>-1</v>
      </c>
      <c r="O55" s="11"/>
      <c r="P55" s="6"/>
      <c r="Q55" s="2"/>
      <c r="R55" s="7">
        <f t="shared" si="43"/>
        <v>0</v>
      </c>
      <c r="S55" s="2"/>
      <c r="T55" s="6">
        <v>59.75</v>
      </c>
      <c r="U55" s="2"/>
      <c r="V55" s="7">
        <f t="shared" si="44"/>
        <v>4.2112295809283162E-5</v>
      </c>
      <c r="W55" s="2"/>
      <c r="X55" s="6">
        <f t="shared" si="45"/>
        <v>-59.75</v>
      </c>
      <c r="Y55" s="2"/>
      <c r="Z55" s="7">
        <f t="shared" si="46"/>
        <v>-1</v>
      </c>
    </row>
    <row r="56" spans="1:26" s="26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SUM(OSRRefD22_7x_0)</f>
        <v>0</v>
      </c>
      <c r="E56" s="1"/>
      <c r="F56" s="5">
        <f t="shared" si="39"/>
        <v>0</v>
      </c>
      <c r="G56" s="1"/>
      <c r="H56" s="1">
        <f>SUM(OSRRefH22_7x_0)</f>
        <v>28.66</v>
      </c>
      <c r="I56" s="1"/>
      <c r="J56" s="5">
        <f t="shared" si="40"/>
        <v>9.529411968116835E-5</v>
      </c>
      <c r="K56" s="1"/>
      <c r="L56" s="1">
        <f t="shared" si="41"/>
        <v>-28.66</v>
      </c>
      <c r="M56" s="1"/>
      <c r="N56" s="5">
        <f t="shared" si="42"/>
        <v>-1</v>
      </c>
      <c r="O56" s="13"/>
      <c r="P56" s="1">
        <f>SUM(OSRRefP22_7x_0)</f>
        <v>0</v>
      </c>
      <c r="Q56" s="1"/>
      <c r="R56" s="5">
        <f t="shared" si="43"/>
        <v>0</v>
      </c>
      <c r="S56" s="1"/>
      <c r="T56" s="1">
        <f>SUM(OSRRefT22_7x_0)</f>
        <v>61.94</v>
      </c>
      <c r="U56" s="1"/>
      <c r="V56" s="5">
        <f t="shared" si="44"/>
        <v>4.3655825982041818E-5</v>
      </c>
      <c r="W56" s="1"/>
      <c r="X56" s="1">
        <f t="shared" si="45"/>
        <v>-61.94</v>
      </c>
      <c r="Y56" s="1"/>
      <c r="Z56" s="5">
        <f t="shared" si="46"/>
        <v>-1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9"/>
        <v>0</v>
      </c>
      <c r="G57" s="2"/>
      <c r="H57" s="6">
        <v>28.66</v>
      </c>
      <c r="I57" s="2"/>
      <c r="J57" s="7">
        <f t="shared" si="40"/>
        <v>9.529411968116835E-5</v>
      </c>
      <c r="K57" s="2"/>
      <c r="L57" s="6">
        <f t="shared" si="41"/>
        <v>-28.66</v>
      </c>
      <c r="M57" s="2"/>
      <c r="N57" s="7">
        <f t="shared" si="42"/>
        <v>-1</v>
      </c>
      <c r="O57" s="11"/>
      <c r="P57" s="6"/>
      <c r="Q57" s="2"/>
      <c r="R57" s="7">
        <f t="shared" si="43"/>
        <v>0</v>
      </c>
      <c r="S57" s="2"/>
      <c r="T57" s="6">
        <v>61.94</v>
      </c>
      <c r="U57" s="2"/>
      <c r="V57" s="7">
        <f t="shared" si="44"/>
        <v>4.3655825982041818E-5</v>
      </c>
      <c r="W57" s="2"/>
      <c r="X57" s="6">
        <f t="shared" si="45"/>
        <v>-61.94</v>
      </c>
      <c r="Y57" s="2"/>
      <c r="Z57" s="7">
        <f t="shared" si="46"/>
        <v>-1</v>
      </c>
    </row>
    <row r="58" spans="1:26" s="26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SUM(OSRRefD22_8x_0)</f>
        <v>0</v>
      </c>
      <c r="E58" s="1"/>
      <c r="F58" s="5">
        <f t="shared" si="39"/>
        <v>0</v>
      </c>
      <c r="G58" s="1"/>
      <c r="H58" s="1">
        <f>SUM(OSRRefH22_8x_0)</f>
        <v>100.99</v>
      </c>
      <c r="I58" s="1"/>
      <c r="J58" s="5">
        <f t="shared" si="40"/>
        <v>3.3579040986047421E-4</v>
      </c>
      <c r="K58" s="1"/>
      <c r="L58" s="1">
        <f t="shared" si="41"/>
        <v>-100.99</v>
      </c>
      <c r="M58" s="1"/>
      <c r="N58" s="5">
        <f t="shared" si="42"/>
        <v>-1</v>
      </c>
      <c r="O58" s="13"/>
      <c r="P58" s="1">
        <f>SUM(OSRRefP22_8x_0)</f>
        <v>0</v>
      </c>
      <c r="Q58" s="1"/>
      <c r="R58" s="5">
        <f t="shared" si="43"/>
        <v>0</v>
      </c>
      <c r="S58" s="1"/>
      <c r="T58" s="1">
        <f>SUM(OSRRefT22_8x_0)</f>
        <v>573.92999999999995</v>
      </c>
      <c r="U58" s="1"/>
      <c r="V58" s="5">
        <f t="shared" si="44"/>
        <v>4.0451062650747921E-4</v>
      </c>
      <c r="W58" s="1"/>
      <c r="X58" s="1">
        <f t="shared" si="45"/>
        <v>-573.92999999999995</v>
      </c>
      <c r="Y58" s="1"/>
      <c r="Z58" s="5">
        <f t="shared" si="46"/>
        <v>-1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6"/>
      <c r="E59" s="2"/>
      <c r="F59" s="7">
        <f t="shared" si="39"/>
        <v>0</v>
      </c>
      <c r="G59" s="2"/>
      <c r="H59" s="6">
        <v>100.99</v>
      </c>
      <c r="I59" s="2"/>
      <c r="J59" s="7">
        <f t="shared" si="40"/>
        <v>3.3579040986047421E-4</v>
      </c>
      <c r="K59" s="2"/>
      <c r="L59" s="6">
        <f t="shared" si="41"/>
        <v>-100.99</v>
      </c>
      <c r="M59" s="2"/>
      <c r="N59" s="7">
        <f t="shared" si="42"/>
        <v>-1</v>
      </c>
      <c r="O59" s="11"/>
      <c r="P59" s="6"/>
      <c r="Q59" s="2"/>
      <c r="R59" s="7">
        <f t="shared" si="43"/>
        <v>0</v>
      </c>
      <c r="S59" s="2"/>
      <c r="T59" s="6">
        <v>573.92999999999995</v>
      </c>
      <c r="U59" s="2"/>
      <c r="V59" s="7">
        <f t="shared" si="44"/>
        <v>4.0451062650747921E-4</v>
      </c>
      <c r="W59" s="2"/>
      <c r="X59" s="6">
        <f t="shared" si="45"/>
        <v>-573.92999999999995</v>
      </c>
      <c r="Y59" s="2"/>
      <c r="Z59" s="7">
        <f t="shared" si="46"/>
        <v>-1</v>
      </c>
    </row>
    <row r="60" spans="1:26" s="26" customFormat="1" outlineLevel="1" collapsed="1" x14ac:dyDescent="0.25">
      <c r="A60" s="27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SUM(OSRRefD22_9x_0)</f>
        <v>9.9</v>
      </c>
      <c r="E60" s="1"/>
      <c r="F60" s="5">
        <f t="shared" si="39"/>
        <v>0</v>
      </c>
      <c r="G60" s="1"/>
      <c r="H60" s="1">
        <f>SUM(OSRRefH22_9x_0)</f>
        <v>17.329999999999998</v>
      </c>
      <c r="I60" s="1"/>
      <c r="J60" s="5">
        <f t="shared" si="40"/>
        <v>5.7622020030518048E-5</v>
      </c>
      <c r="K60" s="1"/>
      <c r="L60" s="1">
        <f t="shared" si="41"/>
        <v>-7.4299999999999979</v>
      </c>
      <c r="M60" s="1"/>
      <c r="N60" s="5">
        <f t="shared" si="42"/>
        <v>-0.42873629544143099</v>
      </c>
      <c r="O60" s="13"/>
      <c r="P60" s="1">
        <f>SUM(OSRRefP22_9x_0)</f>
        <v>105.33</v>
      </c>
      <c r="Q60" s="1"/>
      <c r="R60" s="5">
        <f t="shared" si="43"/>
        <v>4.0723457066967714E-2</v>
      </c>
      <c r="S60" s="1"/>
      <c r="T60" s="1">
        <f>SUM(OSRRefT22_9x_0)</f>
        <v>188.61</v>
      </c>
      <c r="U60" s="1"/>
      <c r="V60" s="5">
        <f t="shared" si="44"/>
        <v>1.3293389309772214E-4</v>
      </c>
      <c r="W60" s="1"/>
      <c r="X60" s="1">
        <f t="shared" si="45"/>
        <v>-83.280000000000015</v>
      </c>
      <c r="Y60" s="1"/>
      <c r="Z60" s="5">
        <f t="shared" si="46"/>
        <v>-0.44154604739939562</v>
      </c>
    </row>
    <row r="61" spans="1:26" s="24" customFormat="1" hidden="1" outlineLevel="2" x14ac:dyDescent="0.25">
      <c r="A61" s="25"/>
      <c r="B61" s="11" t="str">
        <f>CONCATENATE("          ", "6305", " - ", "FREIGHT OUT")</f>
        <v xml:space="preserve">          6305 - FREIGHT OUT</v>
      </c>
      <c r="C61" s="11"/>
      <c r="D61" s="6">
        <v>9.9</v>
      </c>
      <c r="E61" s="2"/>
      <c r="F61" s="7">
        <f t="shared" si="39"/>
        <v>0</v>
      </c>
      <c r="G61" s="2"/>
      <c r="H61" s="6">
        <v>17.329999999999998</v>
      </c>
      <c r="I61" s="2"/>
      <c r="J61" s="7">
        <f t="shared" si="40"/>
        <v>5.7622020030518048E-5</v>
      </c>
      <c r="K61" s="2"/>
      <c r="L61" s="6">
        <f t="shared" si="41"/>
        <v>-7.4299999999999979</v>
      </c>
      <c r="M61" s="2"/>
      <c r="N61" s="7">
        <f t="shared" si="42"/>
        <v>-0.42873629544143099</v>
      </c>
      <c r="O61" s="11"/>
      <c r="P61" s="6">
        <v>105.33</v>
      </c>
      <c r="Q61" s="2"/>
      <c r="R61" s="7">
        <f t="shared" si="43"/>
        <v>4.0723457066967714E-2</v>
      </c>
      <c r="S61" s="2"/>
      <c r="T61" s="6">
        <v>188.61</v>
      </c>
      <c r="U61" s="2"/>
      <c r="V61" s="7">
        <f t="shared" si="44"/>
        <v>1.3293389309772214E-4</v>
      </c>
      <c r="W61" s="2"/>
      <c r="X61" s="6">
        <f t="shared" si="45"/>
        <v>-83.280000000000015</v>
      </c>
      <c r="Y61" s="2"/>
      <c r="Z61" s="7">
        <f t="shared" si="46"/>
        <v>-0.44154604739939562</v>
      </c>
    </row>
    <row r="62" spans="1:26" s="26" customFormat="1" outlineLevel="1" collapsed="1" x14ac:dyDescent="0.25">
      <c r="A62" s="27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SUM(OSRRefD22_10x_0)</f>
        <v>415</v>
      </c>
      <c r="E62" s="1"/>
      <c r="F62" s="5">
        <f t="shared" si="39"/>
        <v>0</v>
      </c>
      <c r="G62" s="1"/>
      <c r="H62" s="1">
        <f>SUM(OSRRefH22_10x_0)</f>
        <v>549.33000000000004</v>
      </c>
      <c r="I62" s="1"/>
      <c r="J62" s="5">
        <f t="shared" si="40"/>
        <v>1.8265149603787932E-3</v>
      </c>
      <c r="K62" s="1"/>
      <c r="L62" s="1">
        <f t="shared" si="41"/>
        <v>-134.33000000000004</v>
      </c>
      <c r="M62" s="1"/>
      <c r="N62" s="5">
        <f t="shared" si="42"/>
        <v>-0.24453425081462879</v>
      </c>
      <c r="O62" s="13"/>
      <c r="P62" s="1">
        <f>SUM(OSRRefP22_10x_0)</f>
        <v>1924.1</v>
      </c>
      <c r="Q62" s="1"/>
      <c r="R62" s="5">
        <f t="shared" si="43"/>
        <v>0.74390965292464239</v>
      </c>
      <c r="S62" s="1"/>
      <c r="T62" s="1">
        <f>SUM(OSRRefT22_10x_0)</f>
        <v>5963.19</v>
      </c>
      <c r="U62" s="1"/>
      <c r="V62" s="5">
        <f t="shared" si="44"/>
        <v>4.2029057949281882E-3</v>
      </c>
      <c r="W62" s="1"/>
      <c r="X62" s="1">
        <f t="shared" si="45"/>
        <v>-4039.0899999999997</v>
      </c>
      <c r="Y62" s="1"/>
      <c r="Z62" s="5">
        <f t="shared" si="46"/>
        <v>-0.67733712995896489</v>
      </c>
    </row>
    <row r="63" spans="1:26" s="24" customFormat="1" hidden="1" outlineLevel="2" x14ac:dyDescent="0.25">
      <c r="A63" s="25"/>
      <c r="B63" s="11" t="str">
        <f>CONCATENATE("          ", "6279", " - ", "GENERAL EXPENSE")</f>
        <v xml:space="preserve">          6279 - GENERAL EXPENSE</v>
      </c>
      <c r="C63" s="11"/>
      <c r="D63" s="6">
        <v>415</v>
      </c>
      <c r="E63" s="2"/>
      <c r="F63" s="7">
        <f t="shared" si="39"/>
        <v>0</v>
      </c>
      <c r="G63" s="2"/>
      <c r="H63" s="6">
        <v>549.33000000000004</v>
      </c>
      <c r="I63" s="2"/>
      <c r="J63" s="7">
        <f t="shared" si="40"/>
        <v>1.8265149603787932E-3</v>
      </c>
      <c r="K63" s="2"/>
      <c r="L63" s="6">
        <f t="shared" si="41"/>
        <v>-134.33000000000004</v>
      </c>
      <c r="M63" s="2"/>
      <c r="N63" s="7">
        <f t="shared" si="42"/>
        <v>-0.24453425081462879</v>
      </c>
      <c r="O63" s="11"/>
      <c r="P63" s="6">
        <v>1924.1</v>
      </c>
      <c r="Q63" s="2"/>
      <c r="R63" s="7">
        <f t="shared" si="43"/>
        <v>0.74390965292464239</v>
      </c>
      <c r="S63" s="2"/>
      <c r="T63" s="6">
        <v>5963.19</v>
      </c>
      <c r="U63" s="2"/>
      <c r="V63" s="7">
        <f t="shared" si="44"/>
        <v>4.2029057949281882E-3</v>
      </c>
      <c r="W63" s="2"/>
      <c r="X63" s="6">
        <f t="shared" si="45"/>
        <v>-4039.0899999999997</v>
      </c>
      <c r="Y63" s="2"/>
      <c r="Z63" s="7">
        <f t="shared" si="46"/>
        <v>-0.67733712995896489</v>
      </c>
    </row>
    <row r="64" spans="1:26" s="26" customFormat="1" outlineLevel="1" collapsed="1" x14ac:dyDescent="0.25">
      <c r="A64" s="27"/>
      <c r="B64" s="13" t="str">
        <f>CONCATENATE("     ","Insurance                                         ")</f>
        <v xml:space="preserve">     Insurance                                         </v>
      </c>
      <c r="C64" s="13"/>
      <c r="D64" s="1">
        <f>SUM(OSRRefD22_11x_0)</f>
        <v>243.54</v>
      </c>
      <c r="E64" s="1"/>
      <c r="F64" s="5">
        <f t="shared" si="39"/>
        <v>0</v>
      </c>
      <c r="G64" s="1"/>
      <c r="H64" s="1">
        <f>SUM(OSRRefH22_11x_0)</f>
        <v>243.54</v>
      </c>
      <c r="I64" s="1"/>
      <c r="J64" s="5">
        <f t="shared" si="40"/>
        <v>8.0976726821883243E-4</v>
      </c>
      <c r="K64" s="1"/>
      <c r="L64" s="1">
        <f t="shared" si="41"/>
        <v>0</v>
      </c>
      <c r="M64" s="1"/>
      <c r="N64" s="5">
        <f t="shared" si="42"/>
        <v>0</v>
      </c>
      <c r="O64" s="13"/>
      <c r="P64" s="1">
        <f>SUM(OSRRefP22_11x_0)</f>
        <v>1217.7</v>
      </c>
      <c r="Q64" s="1"/>
      <c r="R64" s="5">
        <f t="shared" si="43"/>
        <v>0.4707961043429848</v>
      </c>
      <c r="S64" s="1"/>
      <c r="T64" s="1">
        <f>SUM(OSRRefT22_11x_0)</f>
        <v>1217.7</v>
      </c>
      <c r="U64" s="1"/>
      <c r="V64" s="5">
        <f t="shared" si="44"/>
        <v>8.5824506455170046E-4</v>
      </c>
      <c r="W64" s="1"/>
      <c r="X64" s="1">
        <f t="shared" si="45"/>
        <v>0</v>
      </c>
      <c r="Y64" s="1"/>
      <c r="Z64" s="5">
        <f t="shared" si="46"/>
        <v>0</v>
      </c>
    </row>
    <row r="65" spans="1:26" s="24" customFormat="1" hidden="1" outlineLevel="2" x14ac:dyDescent="0.25">
      <c r="A65" s="25"/>
      <c r="B65" s="11" t="str">
        <f>CONCATENATE("          ", "6314", " - ", "LIABILITY INSURANCE")</f>
        <v xml:space="preserve">          6314 - LIABILITY INSURANCE</v>
      </c>
      <c r="C65" s="11"/>
      <c r="D65" s="6">
        <v>243.54</v>
      </c>
      <c r="E65" s="2"/>
      <c r="F65" s="7">
        <f t="shared" si="39"/>
        <v>0</v>
      </c>
      <c r="G65" s="2"/>
      <c r="H65" s="6">
        <v>243.54</v>
      </c>
      <c r="I65" s="2"/>
      <c r="J65" s="7">
        <f t="shared" si="40"/>
        <v>8.0976726821883243E-4</v>
      </c>
      <c r="K65" s="2"/>
      <c r="L65" s="6">
        <f t="shared" si="41"/>
        <v>0</v>
      </c>
      <c r="M65" s="2"/>
      <c r="N65" s="7">
        <f t="shared" si="42"/>
        <v>0</v>
      </c>
      <c r="O65" s="11"/>
      <c r="P65" s="6">
        <v>1217.7</v>
      </c>
      <c r="Q65" s="2"/>
      <c r="R65" s="7">
        <f t="shared" si="43"/>
        <v>0.4707961043429848</v>
      </c>
      <c r="S65" s="2"/>
      <c r="T65" s="6">
        <v>1217.7</v>
      </c>
      <c r="U65" s="2"/>
      <c r="V65" s="7">
        <f t="shared" si="44"/>
        <v>8.5824506455170046E-4</v>
      </c>
      <c r="W65" s="2"/>
      <c r="X65" s="6">
        <f t="shared" si="45"/>
        <v>0</v>
      </c>
      <c r="Y65" s="2"/>
      <c r="Z65" s="7">
        <f t="shared" si="46"/>
        <v>0</v>
      </c>
    </row>
    <row r="66" spans="1:26" s="26" customFormat="1" outlineLevel="1" collapsed="1" x14ac:dyDescent="0.25">
      <c r="A66" s="27"/>
      <c r="B66" s="13" t="str">
        <f>CONCATENATE("     ","Interest                                          ")</f>
        <v xml:space="preserve">     Interest                                          </v>
      </c>
      <c r="C66" s="13"/>
      <c r="D66" s="1">
        <f>SUM(OSRRefD22_12x_0)</f>
        <v>4044</v>
      </c>
      <c r="E66" s="1"/>
      <c r="F66" s="5">
        <f t="shared" si="39"/>
        <v>0</v>
      </c>
      <c r="G66" s="1"/>
      <c r="H66" s="1">
        <f>SUM(OSRRefH22_12x_0)</f>
        <v>4175</v>
      </c>
      <c r="I66" s="1"/>
      <c r="J66" s="5">
        <f t="shared" si="40"/>
        <v>1.3881819597657986E-2</v>
      </c>
      <c r="K66" s="1"/>
      <c r="L66" s="1">
        <f t="shared" si="41"/>
        <v>-131</v>
      </c>
      <c r="M66" s="1"/>
      <c r="N66" s="5">
        <f t="shared" si="42"/>
        <v>-3.1377245508982035E-2</v>
      </c>
      <c r="O66" s="13"/>
      <c r="P66" s="1">
        <f>SUM(OSRRefP22_12x_0)</f>
        <v>19957.849999999999</v>
      </c>
      <c r="Q66" s="1"/>
      <c r="R66" s="5">
        <f t="shared" si="43"/>
        <v>7.7162503334660739</v>
      </c>
      <c r="S66" s="1"/>
      <c r="T66" s="1">
        <f>SUM(OSRRefT22_12x_0)</f>
        <v>20668.95</v>
      </c>
      <c r="U66" s="1"/>
      <c r="V66" s="5">
        <f t="shared" si="44"/>
        <v>1.4567647472255786E-2</v>
      </c>
      <c r="W66" s="1"/>
      <c r="X66" s="1">
        <f t="shared" si="45"/>
        <v>-711.10000000000218</v>
      </c>
      <c r="Y66" s="1"/>
      <c r="Z66" s="5">
        <f t="shared" si="46"/>
        <v>-3.4404263399930919E-2</v>
      </c>
    </row>
    <row r="67" spans="1:26" s="24" customFormat="1" hidden="1" outlineLevel="2" x14ac:dyDescent="0.25">
      <c r="A67" s="25"/>
      <c r="B67" s="11" t="str">
        <f>CONCATENATE("          ", "6401", " - ", "INTEREST EXPENSE")</f>
        <v xml:space="preserve">          6401 - INTEREST EXPENSE</v>
      </c>
      <c r="C67" s="11"/>
      <c r="D67" s="6">
        <v>4044</v>
      </c>
      <c r="E67" s="2"/>
      <c r="F67" s="7">
        <f t="shared" si="39"/>
        <v>0</v>
      </c>
      <c r="G67" s="2"/>
      <c r="H67" s="6">
        <v>4175</v>
      </c>
      <c r="I67" s="2"/>
      <c r="J67" s="7">
        <f t="shared" si="40"/>
        <v>1.3881819597657986E-2</v>
      </c>
      <c r="K67" s="2"/>
      <c r="L67" s="6">
        <f t="shared" si="41"/>
        <v>-131</v>
      </c>
      <c r="M67" s="2"/>
      <c r="N67" s="7">
        <f t="shared" si="42"/>
        <v>-3.1377245508982035E-2</v>
      </c>
      <c r="O67" s="11"/>
      <c r="P67" s="6">
        <v>19957.849999999999</v>
      </c>
      <c r="Q67" s="2"/>
      <c r="R67" s="7">
        <f t="shared" si="43"/>
        <v>7.7162503334660739</v>
      </c>
      <c r="S67" s="2"/>
      <c r="T67" s="6">
        <v>20668.95</v>
      </c>
      <c r="U67" s="2"/>
      <c r="V67" s="7">
        <f t="shared" si="44"/>
        <v>1.4567647472255786E-2</v>
      </c>
      <c r="W67" s="2"/>
      <c r="X67" s="6">
        <f t="shared" si="45"/>
        <v>-711.10000000000218</v>
      </c>
      <c r="Y67" s="2"/>
      <c r="Z67" s="7">
        <f t="shared" si="46"/>
        <v>-3.4404263399930919E-2</v>
      </c>
    </row>
    <row r="68" spans="1:26" s="26" customFormat="1" outlineLevel="1" collapsed="1" x14ac:dyDescent="0.25">
      <c r="A68" s="27"/>
      <c r="B68" s="13" t="str">
        <f>CONCATENATE("     ","Rent                                              ")</f>
        <v xml:space="preserve">     Rent                                              </v>
      </c>
      <c r="C68" s="13"/>
      <c r="D68" s="1">
        <f>SUM(OSRRefD22_13x_0)</f>
        <v>0</v>
      </c>
      <c r="E68" s="1"/>
      <c r="F68" s="5">
        <f t="shared" si="39"/>
        <v>0</v>
      </c>
      <c r="G68" s="1"/>
      <c r="H68" s="1">
        <f>SUM(OSRRefH22_13x_0)</f>
        <v>1150</v>
      </c>
      <c r="I68" s="1"/>
      <c r="J68" s="5">
        <f t="shared" si="40"/>
        <v>3.8237347394746548E-3</v>
      </c>
      <c r="K68" s="1"/>
      <c r="L68" s="1">
        <f t="shared" si="41"/>
        <v>-1150</v>
      </c>
      <c r="M68" s="1"/>
      <c r="N68" s="5">
        <f t="shared" si="42"/>
        <v>-1</v>
      </c>
      <c r="O68" s="13"/>
      <c r="P68" s="1">
        <f>SUM(OSRRefP22_13x_0)</f>
        <v>0</v>
      </c>
      <c r="Q68" s="1"/>
      <c r="R68" s="5">
        <f t="shared" si="43"/>
        <v>0</v>
      </c>
      <c r="S68" s="1"/>
      <c r="T68" s="1">
        <f>SUM(OSRRefT22_13x_0)</f>
        <v>5750</v>
      </c>
      <c r="U68" s="1"/>
      <c r="V68" s="5">
        <f t="shared" si="44"/>
        <v>4.0526477138640698E-3</v>
      </c>
      <c r="W68" s="1"/>
      <c r="X68" s="1">
        <f t="shared" si="45"/>
        <v>-5750</v>
      </c>
      <c r="Y68" s="1"/>
      <c r="Z68" s="5">
        <f t="shared" si="46"/>
        <v>-1</v>
      </c>
    </row>
    <row r="69" spans="1:26" s="24" customFormat="1" hidden="1" outlineLevel="2" x14ac:dyDescent="0.25">
      <c r="A69" s="25"/>
      <c r="B69" s="11" t="str">
        <f>CONCATENATE("          ", "6273", " - ", "RENT")</f>
        <v xml:space="preserve">          6273 - RENT</v>
      </c>
      <c r="C69" s="11"/>
      <c r="D69" s="6"/>
      <c r="E69" s="2"/>
      <c r="F69" s="7">
        <f t="shared" si="39"/>
        <v>0</v>
      </c>
      <c r="G69" s="2"/>
      <c r="H69" s="6">
        <v>1150</v>
      </c>
      <c r="I69" s="2"/>
      <c r="J69" s="7">
        <f t="shared" si="40"/>
        <v>3.8237347394746548E-3</v>
      </c>
      <c r="K69" s="2"/>
      <c r="L69" s="6">
        <f t="shared" si="41"/>
        <v>-1150</v>
      </c>
      <c r="M69" s="2"/>
      <c r="N69" s="7">
        <f t="shared" si="42"/>
        <v>-1</v>
      </c>
      <c r="O69" s="11"/>
      <c r="P69" s="6"/>
      <c r="Q69" s="2"/>
      <c r="R69" s="7">
        <f t="shared" si="43"/>
        <v>0</v>
      </c>
      <c r="S69" s="2"/>
      <c r="T69" s="6">
        <v>5750</v>
      </c>
      <c r="U69" s="2"/>
      <c r="V69" s="7">
        <f t="shared" si="44"/>
        <v>4.0526477138640698E-3</v>
      </c>
      <c r="W69" s="2"/>
      <c r="X69" s="6">
        <f t="shared" si="45"/>
        <v>-5750</v>
      </c>
      <c r="Y69" s="2"/>
      <c r="Z69" s="7">
        <f t="shared" si="46"/>
        <v>-1</v>
      </c>
    </row>
    <row r="70" spans="1:26" s="26" customFormat="1" outlineLevel="1" collapsed="1" x14ac:dyDescent="0.25">
      <c r="A70" s="27"/>
      <c r="B70" s="13" t="str">
        <f>CONCATENATE("     ","Repair and Maintenance                            ")</f>
        <v xml:space="preserve">     Repair and Maintenance                            </v>
      </c>
      <c r="C70" s="13"/>
      <c r="D70" s="1">
        <f>SUM(OSRRefD22_14x_0)</f>
        <v>881.67</v>
      </c>
      <c r="E70" s="1"/>
      <c r="F70" s="5">
        <f t="shared" si="39"/>
        <v>0</v>
      </c>
      <c r="G70" s="1"/>
      <c r="H70" s="1">
        <f>SUM(OSRRefH22_14x_0)</f>
        <v>1371.4</v>
      </c>
      <c r="I70" s="1"/>
      <c r="J70" s="5">
        <f t="shared" si="40"/>
        <v>4.5598868014917757E-3</v>
      </c>
      <c r="K70" s="1"/>
      <c r="L70" s="1">
        <f t="shared" si="41"/>
        <v>-489.73000000000013</v>
      </c>
      <c r="M70" s="1"/>
      <c r="N70" s="5">
        <f t="shared" si="42"/>
        <v>-0.35710223129648544</v>
      </c>
      <c r="O70" s="13"/>
      <c r="P70" s="1">
        <f>SUM(OSRRefP22_14x_0)</f>
        <v>1990.4</v>
      </c>
      <c r="Q70" s="1"/>
      <c r="R70" s="5">
        <f t="shared" si="43"/>
        <v>0.76954304515420624</v>
      </c>
      <c r="S70" s="1"/>
      <c r="T70" s="1">
        <f>SUM(OSRRefT22_14x_0)</f>
        <v>11169.2</v>
      </c>
      <c r="U70" s="1"/>
      <c r="V70" s="5">
        <f t="shared" si="44"/>
        <v>7.8721448427287941E-3</v>
      </c>
      <c r="W70" s="1"/>
      <c r="X70" s="1">
        <f t="shared" si="45"/>
        <v>-9178.8000000000011</v>
      </c>
      <c r="Y70" s="1"/>
      <c r="Z70" s="5">
        <f t="shared" si="46"/>
        <v>-0.82179565232962082</v>
      </c>
    </row>
    <row r="71" spans="1:26" s="24" customFormat="1" hidden="1" outlineLevel="2" x14ac:dyDescent="0.25">
      <c r="A71" s="25"/>
      <c r="B71" s="11" t="str">
        <f>CONCATENATE("          ", "6371", " - ", "COMPUTER SOFTWARE MAINTENANCE")</f>
        <v xml:space="preserve">          6371 - COMPUTER SOFTWARE MAINTENANCE</v>
      </c>
      <c r="C71" s="11"/>
      <c r="D71" s="6"/>
      <c r="E71" s="2"/>
      <c r="F71" s="7">
        <f t="shared" si="39"/>
        <v>0</v>
      </c>
      <c r="G71" s="2"/>
      <c r="H71" s="6"/>
      <c r="I71" s="2"/>
      <c r="J71" s="7">
        <f t="shared" si="40"/>
        <v>0</v>
      </c>
      <c r="K71" s="2"/>
      <c r="L71" s="6">
        <f t="shared" si="41"/>
        <v>0</v>
      </c>
      <c r="M71" s="2"/>
      <c r="N71" s="7">
        <f t="shared" si="42"/>
        <v>0</v>
      </c>
      <c r="O71" s="11"/>
      <c r="P71" s="6"/>
      <c r="Q71" s="2"/>
      <c r="R71" s="7">
        <f t="shared" si="43"/>
        <v>0</v>
      </c>
      <c r="S71" s="2"/>
      <c r="T71" s="6">
        <v>1311.93</v>
      </c>
      <c r="U71" s="2"/>
      <c r="V71" s="7">
        <f t="shared" si="44"/>
        <v>9.2465915047820681E-4</v>
      </c>
      <c r="W71" s="2"/>
      <c r="X71" s="6">
        <f t="shared" si="45"/>
        <v>-1311.93</v>
      </c>
      <c r="Y71" s="2"/>
      <c r="Z71" s="7">
        <f t="shared" si="46"/>
        <v>-1</v>
      </c>
    </row>
    <row r="72" spans="1:26" s="24" customFormat="1" hidden="1" outlineLevel="2" x14ac:dyDescent="0.25">
      <c r="A72" s="25"/>
      <c r="B72" s="11" t="str">
        <f>CONCATENATE("          ", "6373", " - ", "MAINTENANCE CONTRACTS")</f>
        <v xml:space="preserve">          6373 - MAINTENANCE CONTRACTS</v>
      </c>
      <c r="C72" s="11"/>
      <c r="D72" s="6"/>
      <c r="E72" s="2"/>
      <c r="F72" s="7">
        <f t="shared" si="39"/>
        <v>0</v>
      </c>
      <c r="G72" s="2"/>
      <c r="H72" s="6"/>
      <c r="I72" s="2"/>
      <c r="J72" s="7">
        <f t="shared" si="40"/>
        <v>0</v>
      </c>
      <c r="K72" s="2"/>
      <c r="L72" s="6">
        <f t="shared" si="41"/>
        <v>0</v>
      </c>
      <c r="M72" s="2"/>
      <c r="N72" s="7">
        <f t="shared" si="42"/>
        <v>0</v>
      </c>
      <c r="O72" s="11"/>
      <c r="P72" s="6">
        <v>655.15</v>
      </c>
      <c r="Q72" s="2"/>
      <c r="R72" s="7">
        <f t="shared" si="43"/>
        <v>0.25329889772547137</v>
      </c>
      <c r="S72" s="2"/>
      <c r="T72" s="6">
        <v>285.32</v>
      </c>
      <c r="U72" s="2"/>
      <c r="V72" s="7">
        <f t="shared" si="44"/>
        <v>2.0109590360342544E-4</v>
      </c>
      <c r="W72" s="2"/>
      <c r="X72" s="6">
        <f t="shared" si="45"/>
        <v>369.83</v>
      </c>
      <c r="Y72" s="2"/>
      <c r="Z72" s="7">
        <f t="shared" si="46"/>
        <v>1.2961937473713725</v>
      </c>
    </row>
    <row r="73" spans="1:26" s="24" customFormat="1" hidden="1" outlineLevel="2" x14ac:dyDescent="0.25">
      <c r="A73" s="25"/>
      <c r="B73" s="11" t="str">
        <f>CONCATENATE("          ", "6375", " - ", "OUTSIDE REPAIRS &amp; MAINTENANCE")</f>
        <v xml:space="preserve">          6375 - OUTSIDE REPAIRS &amp; MAINTENANCE</v>
      </c>
      <c r="C73" s="11"/>
      <c r="D73" s="6">
        <v>881.67</v>
      </c>
      <c r="E73" s="2"/>
      <c r="F73" s="7">
        <f t="shared" si="39"/>
        <v>0</v>
      </c>
      <c r="G73" s="2"/>
      <c r="H73" s="6">
        <v>1371.4</v>
      </c>
      <c r="I73" s="2"/>
      <c r="J73" s="7">
        <f t="shared" si="40"/>
        <v>4.5598868014917757E-3</v>
      </c>
      <c r="K73" s="2"/>
      <c r="L73" s="6">
        <f t="shared" si="41"/>
        <v>-489.73000000000013</v>
      </c>
      <c r="M73" s="2"/>
      <c r="N73" s="7">
        <f t="shared" si="42"/>
        <v>-0.35710223129648544</v>
      </c>
      <c r="O73" s="11"/>
      <c r="P73" s="6">
        <v>1335.25</v>
      </c>
      <c r="Q73" s="2"/>
      <c r="R73" s="7">
        <f t="shared" si="43"/>
        <v>0.51624414742873481</v>
      </c>
      <c r="S73" s="2"/>
      <c r="T73" s="6">
        <v>9571.9500000000007</v>
      </c>
      <c r="U73" s="2"/>
      <c r="V73" s="7">
        <f t="shared" si="44"/>
        <v>6.7463897886471625E-3</v>
      </c>
      <c r="W73" s="2"/>
      <c r="X73" s="6">
        <f t="shared" si="45"/>
        <v>-8236.7000000000007</v>
      </c>
      <c r="Y73" s="2"/>
      <c r="Z73" s="7">
        <f t="shared" si="46"/>
        <v>-0.86050386807285872</v>
      </c>
    </row>
    <row r="74" spans="1:26" s="26" customFormat="1" outlineLevel="1" collapsed="1" x14ac:dyDescent="0.25">
      <c r="A74" s="27"/>
      <c r="B74" s="13" t="str">
        <f>CONCATENATE("     ","Royalty &amp; Commissions                             ")</f>
        <v xml:space="preserve">     Royalty &amp; Commissions                             </v>
      </c>
      <c r="C74" s="13"/>
      <c r="D74" s="1">
        <f>SUM(OSRRefD22_15x_0)</f>
        <v>0</v>
      </c>
      <c r="E74" s="1"/>
      <c r="F74" s="5">
        <f t="shared" ref="F74:F80" si="47">IF(D$12=0,0,D74/D$12)</f>
        <v>0</v>
      </c>
      <c r="G74" s="1"/>
      <c r="H74" s="1">
        <f>SUM(OSRRefH22_15x_0)</f>
        <v>0</v>
      </c>
      <c r="I74" s="1"/>
      <c r="J74" s="5">
        <f t="shared" ref="J74:J80" si="48">IF(H$12=0,0,H74/H$12)</f>
        <v>0</v>
      </c>
      <c r="K74" s="1"/>
      <c r="L74" s="1">
        <f t="shared" ref="L74:L80" si="49">+D74-H74</f>
        <v>0</v>
      </c>
      <c r="M74" s="1"/>
      <c r="N74" s="5">
        <f t="shared" ref="N74:N80" si="50">IF(H74=0,0,L74/H74)</f>
        <v>0</v>
      </c>
      <c r="O74" s="13"/>
      <c r="P74" s="1">
        <f>SUM(OSRRefP22_15x_0)</f>
        <v>185.7</v>
      </c>
      <c r="Q74" s="1"/>
      <c r="R74" s="5">
        <f t="shared" ref="R74:R80" si="51">IF(P$12=0,0,P74/P$12)</f>
        <v>7.1796695882805517E-2</v>
      </c>
      <c r="S74" s="1"/>
      <c r="T74" s="1">
        <f>SUM(OSRRefT22_15x_0)</f>
        <v>5673.45</v>
      </c>
      <c r="U74" s="1"/>
      <c r="V74" s="5">
        <f t="shared" ref="V74:V80" si="52">IF(T$12=0,0,T74/T$12)</f>
        <v>3.9986946386473231E-3</v>
      </c>
      <c r="W74" s="1"/>
      <c r="X74" s="1">
        <f t="shared" ref="X74:X80" si="53">+P74-T74</f>
        <v>-5487.75</v>
      </c>
      <c r="Y74" s="1"/>
      <c r="Z74" s="5">
        <f t="shared" ref="Z74:Z80" si="54">IF(T74=0,0,X74/T74)</f>
        <v>-0.96726859318404146</v>
      </c>
    </row>
    <row r="75" spans="1:26" s="24" customFormat="1" hidden="1" outlineLevel="2" x14ac:dyDescent="0.25">
      <c r="A75" s="25"/>
      <c r="B75" s="11" t="str">
        <f>CONCATENATE("          ", "6254", " - ", "ROYALTY &amp; COMMISSIONS")</f>
        <v xml:space="preserve">          6254 - ROYALTY &amp; COMMISSIONS</v>
      </c>
      <c r="C75" s="11"/>
      <c r="D75" s="6"/>
      <c r="E75" s="2"/>
      <c r="F75" s="7">
        <f t="shared" si="47"/>
        <v>0</v>
      </c>
      <c r="G75" s="2"/>
      <c r="H75" s="6"/>
      <c r="I75" s="2"/>
      <c r="J75" s="7">
        <f t="shared" si="48"/>
        <v>0</v>
      </c>
      <c r="K75" s="2"/>
      <c r="L75" s="6">
        <f t="shared" si="49"/>
        <v>0</v>
      </c>
      <c r="M75" s="2"/>
      <c r="N75" s="7">
        <f t="shared" si="50"/>
        <v>0</v>
      </c>
      <c r="O75" s="11"/>
      <c r="P75" s="6">
        <v>185.7</v>
      </c>
      <c r="Q75" s="2"/>
      <c r="R75" s="7">
        <f t="shared" si="51"/>
        <v>7.1796695882805517E-2</v>
      </c>
      <c r="S75" s="2"/>
      <c r="T75" s="6">
        <v>5673.45</v>
      </c>
      <c r="U75" s="2"/>
      <c r="V75" s="7">
        <f t="shared" si="52"/>
        <v>3.9986946386473231E-3</v>
      </c>
      <c r="W75" s="2"/>
      <c r="X75" s="6">
        <f t="shared" si="53"/>
        <v>-5487.75</v>
      </c>
      <c r="Y75" s="2"/>
      <c r="Z75" s="7">
        <f t="shared" si="54"/>
        <v>-0.96726859318404146</v>
      </c>
    </row>
    <row r="76" spans="1:26" s="26" customFormat="1" outlineLevel="1" collapsed="1" x14ac:dyDescent="0.25">
      <c r="A76" s="27"/>
      <c r="B76" s="13" t="str">
        <f>CONCATENATE("     ","Services                                          ")</f>
        <v xml:space="preserve">     Services                                          </v>
      </c>
      <c r="C76" s="13"/>
      <c r="D76" s="1">
        <f>SUM(OSRRefD22_16x_0)</f>
        <v>330</v>
      </c>
      <c r="E76" s="1"/>
      <c r="F76" s="5">
        <f t="shared" si="47"/>
        <v>0</v>
      </c>
      <c r="G76" s="1"/>
      <c r="H76" s="1">
        <f>SUM(OSRRefH22_16x_0)</f>
        <v>1523.54</v>
      </c>
      <c r="I76" s="1"/>
      <c r="J76" s="5">
        <f t="shared" si="48"/>
        <v>5.0657502825906219E-3</v>
      </c>
      <c r="K76" s="1"/>
      <c r="L76" s="1">
        <f t="shared" si="49"/>
        <v>-1193.54</v>
      </c>
      <c r="M76" s="1"/>
      <c r="N76" s="5">
        <f t="shared" si="50"/>
        <v>-0.78339918873150693</v>
      </c>
      <c r="O76" s="13"/>
      <c r="P76" s="1">
        <f>SUM(OSRRefP22_16x_0)</f>
        <v>-644.76</v>
      </c>
      <c r="Q76" s="1"/>
      <c r="R76" s="5">
        <f t="shared" si="51"/>
        <v>-0.24928183972750503</v>
      </c>
      <c r="S76" s="1"/>
      <c r="T76" s="1">
        <f>SUM(OSRRefT22_16x_0)</f>
        <v>8084.99</v>
      </c>
      <c r="U76" s="1"/>
      <c r="V76" s="5">
        <f t="shared" si="52"/>
        <v>5.6983680417589328E-3</v>
      </c>
      <c r="W76" s="1"/>
      <c r="X76" s="1">
        <f t="shared" si="53"/>
        <v>-8729.75</v>
      </c>
      <c r="Y76" s="1"/>
      <c r="Z76" s="5">
        <f t="shared" si="54"/>
        <v>-1.0797477795272474</v>
      </c>
    </row>
    <row r="77" spans="1:26" s="24" customFormat="1" hidden="1" outlineLevel="2" x14ac:dyDescent="0.25">
      <c r="A77" s="25"/>
      <c r="B77" s="11" t="str">
        <f>CONCATENATE("          ", "6282", " - ", "JANITORIAL/EXTERMINATOR EXPENS")</f>
        <v xml:space="preserve">          6282 - JANITORIAL/EXTERMINATOR EXPENS</v>
      </c>
      <c r="C77" s="11"/>
      <c r="D77" s="6">
        <v>41</v>
      </c>
      <c r="E77" s="2"/>
      <c r="F77" s="7">
        <f t="shared" si="47"/>
        <v>0</v>
      </c>
      <c r="G77" s="2"/>
      <c r="H77" s="6">
        <v>299.74</v>
      </c>
      <c r="I77" s="2"/>
      <c r="J77" s="7">
        <f t="shared" si="48"/>
        <v>9.966315224435938E-4</v>
      </c>
      <c r="K77" s="2"/>
      <c r="L77" s="6">
        <f t="shared" si="49"/>
        <v>-258.74</v>
      </c>
      <c r="M77" s="2"/>
      <c r="N77" s="7">
        <f t="shared" si="50"/>
        <v>-0.86321478614799496</v>
      </c>
      <c r="O77" s="11"/>
      <c r="P77" s="6">
        <v>-129.16</v>
      </c>
      <c r="Q77" s="2"/>
      <c r="R77" s="7">
        <f t="shared" si="51"/>
        <v>-4.993678643092709E-2</v>
      </c>
      <c r="S77" s="2"/>
      <c r="T77" s="6">
        <v>2879.14</v>
      </c>
      <c r="U77" s="2"/>
      <c r="V77" s="7">
        <f t="shared" si="52"/>
        <v>2.0292417632860171E-3</v>
      </c>
      <c r="W77" s="2"/>
      <c r="X77" s="6">
        <f t="shared" si="53"/>
        <v>-3008.2999999999997</v>
      </c>
      <c r="Y77" s="2"/>
      <c r="Z77" s="7">
        <f t="shared" si="54"/>
        <v>-1.0448606181012385</v>
      </c>
    </row>
    <row r="78" spans="1:26" s="24" customFormat="1" hidden="1" outlineLevel="2" x14ac:dyDescent="0.25">
      <c r="A78" s="25"/>
      <c r="B78" s="11" t="str">
        <f>CONCATENATE("          ", "6284", " - ", "TRASH REMOVAL EXPENSE")</f>
        <v xml:space="preserve">          6284 - TRASH REMOVAL EXPENSE</v>
      </c>
      <c r="C78" s="11"/>
      <c r="D78" s="6">
        <v>289</v>
      </c>
      <c r="E78" s="2"/>
      <c r="F78" s="7">
        <f t="shared" si="47"/>
        <v>0</v>
      </c>
      <c r="G78" s="2"/>
      <c r="H78" s="6">
        <v>237</v>
      </c>
      <c r="I78" s="2"/>
      <c r="J78" s="7">
        <f t="shared" si="48"/>
        <v>7.8802185500477658E-4</v>
      </c>
      <c r="K78" s="2"/>
      <c r="L78" s="6">
        <f t="shared" si="49"/>
        <v>52</v>
      </c>
      <c r="M78" s="2"/>
      <c r="N78" s="7">
        <f t="shared" si="50"/>
        <v>0.21940928270042195</v>
      </c>
      <c r="O78" s="11"/>
      <c r="P78" s="6">
        <v>289</v>
      </c>
      <c r="Q78" s="2"/>
      <c r="R78" s="7">
        <f t="shared" si="51"/>
        <v>0.11173529946220137</v>
      </c>
      <c r="S78" s="2"/>
      <c r="T78" s="6">
        <v>948</v>
      </c>
      <c r="U78" s="2"/>
      <c r="V78" s="7">
        <f t="shared" si="52"/>
        <v>6.6815826656402397E-4</v>
      </c>
      <c r="W78" s="2"/>
      <c r="X78" s="6">
        <f t="shared" si="53"/>
        <v>-659</v>
      </c>
      <c r="Y78" s="2"/>
      <c r="Z78" s="7">
        <f t="shared" si="54"/>
        <v>-0.69514767932489452</v>
      </c>
    </row>
    <row r="79" spans="1:26" s="24" customFormat="1" hidden="1" outlineLevel="2" x14ac:dyDescent="0.25">
      <c r="A79" s="25"/>
      <c r="B79" s="11" t="str">
        <f>CONCATENATE("          ", "6285", " - ", "JANITORIAL SERVICES")</f>
        <v xml:space="preserve">          6285 - JANITORIAL SERVICES</v>
      </c>
      <c r="C79" s="11"/>
      <c r="D79" s="6"/>
      <c r="E79" s="2"/>
      <c r="F79" s="7">
        <f t="shared" si="47"/>
        <v>0</v>
      </c>
      <c r="G79" s="2"/>
      <c r="H79" s="6">
        <v>227.84</v>
      </c>
      <c r="I79" s="2"/>
      <c r="J79" s="7">
        <f t="shared" si="48"/>
        <v>7.5756497655817857E-4</v>
      </c>
      <c r="K79" s="2"/>
      <c r="L79" s="6">
        <f t="shared" si="49"/>
        <v>-227.84</v>
      </c>
      <c r="M79" s="2"/>
      <c r="N79" s="7">
        <f t="shared" si="50"/>
        <v>-1</v>
      </c>
      <c r="O79" s="11"/>
      <c r="P79" s="6">
        <v>-804.6</v>
      </c>
      <c r="Q79" s="2"/>
      <c r="R79" s="7">
        <f t="shared" si="51"/>
        <v>-0.31108035275877932</v>
      </c>
      <c r="S79" s="2"/>
      <c r="T79" s="6">
        <v>526.15</v>
      </c>
      <c r="U79" s="2"/>
      <c r="V79" s="7">
        <f t="shared" si="52"/>
        <v>3.7083488602601396E-4</v>
      </c>
      <c r="W79" s="2"/>
      <c r="X79" s="6">
        <f t="shared" si="53"/>
        <v>-1330.75</v>
      </c>
      <c r="Y79" s="2"/>
      <c r="Z79" s="7">
        <f t="shared" si="54"/>
        <v>-2.5292217048370236</v>
      </c>
    </row>
    <row r="80" spans="1:26" s="24" customFormat="1" hidden="1" outlineLevel="2" x14ac:dyDescent="0.25">
      <c r="A80" s="25"/>
      <c r="B80" s="11" t="str">
        <f>CONCATENATE("          ", "6286", " - ", "LAUNDRY EXPENSE")</f>
        <v xml:space="preserve">          6286 - LAUNDRY EXPENSE</v>
      </c>
      <c r="C80" s="11"/>
      <c r="D80" s="6"/>
      <c r="E80" s="2"/>
      <c r="F80" s="7">
        <f t="shared" si="47"/>
        <v>0</v>
      </c>
      <c r="G80" s="2"/>
      <c r="H80" s="6">
        <v>758.96</v>
      </c>
      <c r="I80" s="2"/>
      <c r="J80" s="7">
        <f t="shared" si="48"/>
        <v>2.5235319285840732E-3</v>
      </c>
      <c r="K80" s="2"/>
      <c r="L80" s="6">
        <f t="shared" si="49"/>
        <v>-758.96</v>
      </c>
      <c r="M80" s="2"/>
      <c r="N80" s="7">
        <f t="shared" si="50"/>
        <v>-1</v>
      </c>
      <c r="O80" s="11"/>
      <c r="P80" s="6"/>
      <c r="Q80" s="2"/>
      <c r="R80" s="7">
        <f t="shared" si="51"/>
        <v>0</v>
      </c>
      <c r="S80" s="2"/>
      <c r="T80" s="6">
        <v>3731.7</v>
      </c>
      <c r="U80" s="2"/>
      <c r="V80" s="7">
        <f t="shared" si="52"/>
        <v>2.6301331258828781E-3</v>
      </c>
      <c r="W80" s="2"/>
      <c r="X80" s="6">
        <f t="shared" si="53"/>
        <v>-3731.7</v>
      </c>
      <c r="Y80" s="2"/>
      <c r="Z80" s="7">
        <f t="shared" si="54"/>
        <v>-1</v>
      </c>
    </row>
    <row r="81" spans="1:26" s="26" customFormat="1" outlineLevel="1" collapsed="1" x14ac:dyDescent="0.25">
      <c r="A81" s="27"/>
      <c r="B81" s="13" t="str">
        <f>CONCATENATE("     ","Subscriptions &amp; Dues                              ")</f>
        <v xml:space="preserve">     Subscriptions &amp; Dues                              </v>
      </c>
      <c r="C81" s="13"/>
      <c r="D81" s="1">
        <f>SUM(OSRRefD22_17x_0)</f>
        <v>0</v>
      </c>
      <c r="E81" s="1"/>
      <c r="F81" s="5">
        <f t="shared" ref="F81:F90" si="55">IF(D$12=0,0,D81/D$12)</f>
        <v>0</v>
      </c>
      <c r="G81" s="1"/>
      <c r="H81" s="1">
        <f>SUM(OSRRefH22_17x_0)</f>
        <v>0</v>
      </c>
      <c r="I81" s="1"/>
      <c r="J81" s="5">
        <f t="shared" ref="J81:J90" si="56">IF(H$12=0,0,H81/H$12)</f>
        <v>0</v>
      </c>
      <c r="K81" s="1"/>
      <c r="L81" s="1">
        <f t="shared" ref="L81:L90" si="57">+D81-H81</f>
        <v>0</v>
      </c>
      <c r="M81" s="1"/>
      <c r="N81" s="5">
        <f t="shared" ref="N81:N90" si="58">IF(H81=0,0,L81/H81)</f>
        <v>0</v>
      </c>
      <c r="O81" s="13"/>
      <c r="P81" s="1">
        <f>SUM(OSRRefP22_17x_0)</f>
        <v>0</v>
      </c>
      <c r="Q81" s="1"/>
      <c r="R81" s="5">
        <f t="shared" ref="R81:R90" si="59">IF(P$12=0,0,P81/P$12)</f>
        <v>0</v>
      </c>
      <c r="S81" s="1"/>
      <c r="T81" s="1">
        <f>SUM(OSRRefT22_17x_0)</f>
        <v>705.6</v>
      </c>
      <c r="U81" s="1"/>
      <c r="V81" s="5">
        <f t="shared" ref="V81:V90" si="60">IF(T$12=0,0,T81/T$12)</f>
        <v>4.9731273511347614E-4</v>
      </c>
      <c r="W81" s="1"/>
      <c r="X81" s="1">
        <f t="shared" ref="X81:X90" si="61">+P81-T81</f>
        <v>-705.6</v>
      </c>
      <c r="Y81" s="1"/>
      <c r="Z81" s="5">
        <f t="shared" ref="Z81:Z90" si="62">IF(T81=0,0,X81/T81)</f>
        <v>-1</v>
      </c>
    </row>
    <row r="82" spans="1:26" s="24" customFormat="1" hidden="1" outlineLevel="2" x14ac:dyDescent="0.25">
      <c r="A82" s="25"/>
      <c r="B82" s="11" t="str">
        <f>CONCATENATE("          ", "6275", " - ", "SUBSCRIPTIONS")</f>
        <v xml:space="preserve">          6275 - SUBSCRIPTIONS</v>
      </c>
      <c r="C82" s="11"/>
      <c r="D82" s="6"/>
      <c r="E82" s="2"/>
      <c r="F82" s="7">
        <f t="shared" si="55"/>
        <v>0</v>
      </c>
      <c r="G82" s="2"/>
      <c r="H82" s="6"/>
      <c r="I82" s="2"/>
      <c r="J82" s="7">
        <f t="shared" si="56"/>
        <v>0</v>
      </c>
      <c r="K82" s="2"/>
      <c r="L82" s="6">
        <f t="shared" si="57"/>
        <v>0</v>
      </c>
      <c r="M82" s="2"/>
      <c r="N82" s="7">
        <f t="shared" si="58"/>
        <v>0</v>
      </c>
      <c r="O82" s="11"/>
      <c r="P82" s="6"/>
      <c r="Q82" s="2"/>
      <c r="R82" s="7">
        <f t="shared" si="59"/>
        <v>0</v>
      </c>
      <c r="S82" s="2"/>
      <c r="T82" s="6">
        <v>705.6</v>
      </c>
      <c r="U82" s="2"/>
      <c r="V82" s="7">
        <f t="shared" si="60"/>
        <v>4.9731273511347614E-4</v>
      </c>
      <c r="W82" s="2"/>
      <c r="X82" s="6">
        <f t="shared" si="61"/>
        <v>-705.6</v>
      </c>
      <c r="Y82" s="2"/>
      <c r="Z82" s="7">
        <f t="shared" si="62"/>
        <v>-1</v>
      </c>
    </row>
    <row r="83" spans="1:26" s="26" customFormat="1" outlineLevel="1" collapsed="1" x14ac:dyDescent="0.25">
      <c r="A83" s="27"/>
      <c r="B83" s="13" t="str">
        <f>CONCATENATE("     ","Supplies                                          ")</f>
        <v xml:space="preserve">     Supplies                                          </v>
      </c>
      <c r="C83" s="13"/>
      <c r="D83" s="1">
        <f>SUM(OSRRefD22_18x_0)</f>
        <v>0</v>
      </c>
      <c r="E83" s="1"/>
      <c r="F83" s="5">
        <f t="shared" si="55"/>
        <v>0</v>
      </c>
      <c r="G83" s="1"/>
      <c r="H83" s="1">
        <f>SUM(OSRRefH22_18x_0)</f>
        <v>3451.08</v>
      </c>
      <c r="I83" s="1"/>
      <c r="J83" s="5">
        <f t="shared" si="56"/>
        <v>1.147479520409234E-2</v>
      </c>
      <c r="K83" s="1"/>
      <c r="L83" s="1">
        <f t="shared" si="57"/>
        <v>-3451.08</v>
      </c>
      <c r="M83" s="1"/>
      <c r="N83" s="5">
        <f t="shared" si="58"/>
        <v>-1</v>
      </c>
      <c r="O83" s="13"/>
      <c r="P83" s="1">
        <f>SUM(OSRRefP22_18x_0)</f>
        <v>1094.0899999999999</v>
      </c>
      <c r="Q83" s="1"/>
      <c r="R83" s="5">
        <f t="shared" si="59"/>
        <v>0.42300509961453248</v>
      </c>
      <c r="S83" s="1"/>
      <c r="T83" s="1">
        <f>SUM(OSRRefT22_18x_0)</f>
        <v>35089.5</v>
      </c>
      <c r="U83" s="1"/>
      <c r="V83" s="5">
        <f t="shared" si="60"/>
        <v>2.4731370774892743E-2</v>
      </c>
      <c r="W83" s="1"/>
      <c r="X83" s="1">
        <f t="shared" si="61"/>
        <v>-33995.410000000003</v>
      </c>
      <c r="Y83" s="1"/>
      <c r="Z83" s="5">
        <f t="shared" si="62"/>
        <v>-0.96882001738411783</v>
      </c>
    </row>
    <row r="84" spans="1:26" s="24" customFormat="1" hidden="1" outlineLevel="2" x14ac:dyDescent="0.25">
      <c r="A84" s="25"/>
      <c r="B84" s="11" t="str">
        <f>CONCATENATE("          ", "6234", " - ", "EXPENDABLE SUPPLIES &amp; EQUIPMEN")</f>
        <v xml:space="preserve">          6234 - EXPENDABLE SUPPLIES &amp; EQUIPMEN</v>
      </c>
      <c r="C84" s="11"/>
      <c r="D84" s="6"/>
      <c r="E84" s="2"/>
      <c r="F84" s="7">
        <f t="shared" si="55"/>
        <v>0</v>
      </c>
      <c r="G84" s="2"/>
      <c r="H84" s="6">
        <v>28.22</v>
      </c>
      <c r="I84" s="2"/>
      <c r="J84" s="7">
        <f t="shared" si="56"/>
        <v>9.3831125519978041E-5</v>
      </c>
      <c r="K84" s="2"/>
      <c r="L84" s="6">
        <f t="shared" si="57"/>
        <v>-28.22</v>
      </c>
      <c r="M84" s="2"/>
      <c r="N84" s="7">
        <f t="shared" si="58"/>
        <v>-1</v>
      </c>
      <c r="O84" s="11"/>
      <c r="P84" s="6">
        <v>316.67</v>
      </c>
      <c r="Q84" s="2"/>
      <c r="R84" s="7">
        <f t="shared" si="59"/>
        <v>0.12243327778787304</v>
      </c>
      <c r="S84" s="2"/>
      <c r="T84" s="6">
        <v>1092.46</v>
      </c>
      <c r="U84" s="2"/>
      <c r="V84" s="7">
        <f t="shared" si="60"/>
        <v>7.699748733022507E-4</v>
      </c>
      <c r="W84" s="2"/>
      <c r="X84" s="6">
        <f t="shared" si="61"/>
        <v>-775.79</v>
      </c>
      <c r="Y84" s="2"/>
      <c r="Z84" s="7">
        <f t="shared" si="62"/>
        <v>-0.71013126338721777</v>
      </c>
    </row>
    <row r="85" spans="1:26" s="24" customFormat="1" hidden="1" outlineLevel="2" x14ac:dyDescent="0.25">
      <c r="A85" s="25"/>
      <c r="B85" s="11" t="str">
        <f>CONCATENATE("          ", "6235", " - ", "COVID-19 EXPENSES")</f>
        <v xml:space="preserve">          6235 - COVID-19 EXPENSES</v>
      </c>
      <c r="C85" s="11"/>
      <c r="D85" s="6"/>
      <c r="E85" s="2"/>
      <c r="F85" s="7">
        <f t="shared" si="55"/>
        <v>0</v>
      </c>
      <c r="G85" s="2"/>
      <c r="H85" s="6"/>
      <c r="I85" s="2"/>
      <c r="J85" s="7">
        <f t="shared" si="56"/>
        <v>0</v>
      </c>
      <c r="K85" s="2"/>
      <c r="L85" s="6">
        <f t="shared" si="57"/>
        <v>0</v>
      </c>
      <c r="M85" s="2"/>
      <c r="N85" s="7">
        <f t="shared" si="58"/>
        <v>0</v>
      </c>
      <c r="O85" s="11"/>
      <c r="P85" s="6">
        <v>207.27</v>
      </c>
      <c r="Q85" s="2"/>
      <c r="R85" s="7">
        <f t="shared" si="59"/>
        <v>8.0136247472423802E-2</v>
      </c>
      <c r="S85" s="2"/>
      <c r="T85" s="6"/>
      <c r="U85" s="2"/>
      <c r="V85" s="7">
        <f t="shared" si="60"/>
        <v>0</v>
      </c>
      <c r="W85" s="2"/>
      <c r="X85" s="6">
        <f t="shared" si="61"/>
        <v>207.27</v>
      </c>
      <c r="Y85" s="2"/>
      <c r="Z85" s="7">
        <f t="shared" si="62"/>
        <v>0</v>
      </c>
    </row>
    <row r="86" spans="1:26" s="24" customFormat="1" hidden="1" outlineLevel="2" x14ac:dyDescent="0.25">
      <c r="A86" s="25"/>
      <c r="B86" s="11" t="str">
        <f>CONCATENATE("          ", "6237", " - ", "JANITORIAL SUPPLIES")</f>
        <v xml:space="preserve">          6237 - JANITORIAL SUPPLIES</v>
      </c>
      <c r="C86" s="11"/>
      <c r="D86" s="6"/>
      <c r="E86" s="2"/>
      <c r="F86" s="7">
        <f t="shared" si="55"/>
        <v>0</v>
      </c>
      <c r="G86" s="2"/>
      <c r="H86" s="6">
        <v>814.22</v>
      </c>
      <c r="I86" s="2"/>
      <c r="J86" s="7">
        <f t="shared" si="56"/>
        <v>2.7072706952826551E-3</v>
      </c>
      <c r="K86" s="2"/>
      <c r="L86" s="6">
        <f t="shared" si="57"/>
        <v>-814.22</v>
      </c>
      <c r="M86" s="2"/>
      <c r="N86" s="7">
        <f t="shared" si="58"/>
        <v>-1</v>
      </c>
      <c r="O86" s="11"/>
      <c r="P86" s="6">
        <v>317.57</v>
      </c>
      <c r="Q86" s="2"/>
      <c r="R86" s="7">
        <f t="shared" si="59"/>
        <v>0.12278124238827436</v>
      </c>
      <c r="S86" s="2"/>
      <c r="T86" s="6">
        <v>2823.86</v>
      </c>
      <c r="U86" s="2"/>
      <c r="V86" s="7">
        <f t="shared" si="60"/>
        <v>1.9902799605690772E-3</v>
      </c>
      <c r="W86" s="2"/>
      <c r="X86" s="6">
        <f t="shared" si="61"/>
        <v>-2506.29</v>
      </c>
      <c r="Y86" s="2"/>
      <c r="Z86" s="7">
        <f t="shared" si="62"/>
        <v>-0.88754045880461485</v>
      </c>
    </row>
    <row r="87" spans="1:26" s="24" customFormat="1" hidden="1" outlineLevel="2" x14ac:dyDescent="0.25">
      <c r="A87" s="25"/>
      <c r="B87" s="11" t="str">
        <f>CONCATENATE("          ", "6241", " - ", "OFFICE EXPENSE")</f>
        <v xml:space="preserve">          6241 - OFFICE EXPENSE</v>
      </c>
      <c r="C87" s="11"/>
      <c r="D87" s="6"/>
      <c r="E87" s="2"/>
      <c r="F87" s="7">
        <f t="shared" si="55"/>
        <v>0</v>
      </c>
      <c r="G87" s="2"/>
      <c r="H87" s="6">
        <v>201.64</v>
      </c>
      <c r="I87" s="2"/>
      <c r="J87" s="7">
        <f t="shared" si="56"/>
        <v>6.7045032423275594E-4</v>
      </c>
      <c r="K87" s="2"/>
      <c r="L87" s="6">
        <f t="shared" si="57"/>
        <v>-201.64</v>
      </c>
      <c r="M87" s="2"/>
      <c r="N87" s="7">
        <f t="shared" si="58"/>
        <v>-1</v>
      </c>
      <c r="O87" s="11"/>
      <c r="P87" s="6">
        <v>131.30000000000001</v>
      </c>
      <c r="Q87" s="2"/>
      <c r="R87" s="7">
        <f t="shared" si="59"/>
        <v>5.0764168925214674E-2</v>
      </c>
      <c r="S87" s="2"/>
      <c r="T87" s="6">
        <v>1663.94</v>
      </c>
      <c r="U87" s="2"/>
      <c r="V87" s="7">
        <f t="shared" si="60"/>
        <v>1.1727587194794748E-3</v>
      </c>
      <c r="W87" s="2"/>
      <c r="X87" s="6">
        <f t="shared" si="61"/>
        <v>-1532.64</v>
      </c>
      <c r="Y87" s="2"/>
      <c r="Z87" s="7">
        <f t="shared" si="62"/>
        <v>-0.92109090472012212</v>
      </c>
    </row>
    <row r="88" spans="1:26" s="24" customFormat="1" hidden="1" outlineLevel="2" x14ac:dyDescent="0.25">
      <c r="A88" s="25"/>
      <c r="B88" s="11" t="str">
        <f>CONCATENATE("          ", "6243", " - ", "PAPER SUPPLIES")</f>
        <v xml:space="preserve">          6243 - PAPER SUPPLIES</v>
      </c>
      <c r="C88" s="11"/>
      <c r="D88" s="6"/>
      <c r="E88" s="2"/>
      <c r="F88" s="7">
        <f t="shared" si="55"/>
        <v>0</v>
      </c>
      <c r="G88" s="2"/>
      <c r="H88" s="6">
        <v>320.22000000000003</v>
      </c>
      <c r="I88" s="2"/>
      <c r="J88" s="7">
        <f t="shared" si="56"/>
        <v>1.0647272506735426E-3</v>
      </c>
      <c r="K88" s="2"/>
      <c r="L88" s="6">
        <f t="shared" si="57"/>
        <v>-320.22000000000003</v>
      </c>
      <c r="M88" s="2"/>
      <c r="N88" s="7">
        <f t="shared" si="58"/>
        <v>-1</v>
      </c>
      <c r="O88" s="11"/>
      <c r="P88" s="6"/>
      <c r="Q88" s="2"/>
      <c r="R88" s="7">
        <f t="shared" si="59"/>
        <v>0</v>
      </c>
      <c r="S88" s="2"/>
      <c r="T88" s="6">
        <v>3017.85</v>
      </c>
      <c r="U88" s="2"/>
      <c r="V88" s="7">
        <f t="shared" si="60"/>
        <v>2.1270057223103794E-3</v>
      </c>
      <c r="W88" s="2"/>
      <c r="X88" s="6">
        <f t="shared" si="61"/>
        <v>-3017.85</v>
      </c>
      <c r="Y88" s="2"/>
      <c r="Z88" s="7">
        <f t="shared" si="62"/>
        <v>-1</v>
      </c>
    </row>
    <row r="89" spans="1:26" s="24" customFormat="1" hidden="1" outlineLevel="2" x14ac:dyDescent="0.25">
      <c r="A89" s="25"/>
      <c r="B89" s="11" t="str">
        <f>CONCATENATE("          ", "6245", " - ", "PRINTING")</f>
        <v xml:space="preserve">          6245 - PRINTING</v>
      </c>
      <c r="C89" s="11"/>
      <c r="D89" s="6"/>
      <c r="E89" s="2"/>
      <c r="F89" s="7">
        <f t="shared" si="55"/>
        <v>0</v>
      </c>
      <c r="G89" s="2"/>
      <c r="H89" s="6">
        <v>37.44</v>
      </c>
      <c r="I89" s="2"/>
      <c r="J89" s="7">
        <f t="shared" si="56"/>
        <v>1.2448750317037483E-4</v>
      </c>
      <c r="K89" s="2"/>
      <c r="L89" s="6">
        <f t="shared" si="57"/>
        <v>-37.44</v>
      </c>
      <c r="M89" s="2"/>
      <c r="N89" s="7">
        <f t="shared" si="58"/>
        <v>-1</v>
      </c>
      <c r="O89" s="11"/>
      <c r="P89" s="6"/>
      <c r="Q89" s="2"/>
      <c r="R89" s="7">
        <f t="shared" si="59"/>
        <v>0</v>
      </c>
      <c r="S89" s="2"/>
      <c r="T89" s="6">
        <v>81.739999999999995</v>
      </c>
      <c r="U89" s="2"/>
      <c r="V89" s="7">
        <f t="shared" si="60"/>
        <v>5.7611030283695488E-5</v>
      </c>
      <c r="W89" s="2"/>
      <c r="X89" s="6">
        <f t="shared" si="61"/>
        <v>-81.739999999999995</v>
      </c>
      <c r="Y89" s="2"/>
      <c r="Z89" s="7">
        <f t="shared" si="62"/>
        <v>-1</v>
      </c>
    </row>
    <row r="90" spans="1:26" s="24" customFormat="1" hidden="1" outlineLevel="2" x14ac:dyDescent="0.25">
      <c r="A90" s="25"/>
      <c r="B90" s="11" t="str">
        <f>CONCATENATE("          ", "6247", " - ", "STORE SUPPLIES")</f>
        <v xml:space="preserve">          6247 - STORE SUPPLIES</v>
      </c>
      <c r="C90" s="11"/>
      <c r="D90" s="6"/>
      <c r="E90" s="2"/>
      <c r="F90" s="7">
        <f t="shared" si="55"/>
        <v>0</v>
      </c>
      <c r="G90" s="2"/>
      <c r="H90" s="6">
        <v>2049.34</v>
      </c>
      <c r="I90" s="2"/>
      <c r="J90" s="7">
        <f t="shared" si="56"/>
        <v>6.8140283052130343E-3</v>
      </c>
      <c r="K90" s="2"/>
      <c r="L90" s="6">
        <f t="shared" si="57"/>
        <v>-2049.34</v>
      </c>
      <c r="M90" s="2"/>
      <c r="N90" s="7">
        <f t="shared" si="58"/>
        <v>-1</v>
      </c>
      <c r="O90" s="11"/>
      <c r="P90" s="6">
        <v>121.28</v>
      </c>
      <c r="Q90" s="2"/>
      <c r="R90" s="7">
        <f t="shared" si="59"/>
        <v>4.6890163040746648E-2</v>
      </c>
      <c r="S90" s="2"/>
      <c r="T90" s="6">
        <v>26409.649999999998</v>
      </c>
      <c r="U90" s="2"/>
      <c r="V90" s="7">
        <f t="shared" si="60"/>
        <v>1.8613740468947863E-2</v>
      </c>
      <c r="W90" s="2"/>
      <c r="X90" s="6">
        <f t="shared" si="61"/>
        <v>-26288.37</v>
      </c>
      <c r="Y90" s="2"/>
      <c r="Z90" s="7">
        <f t="shared" si="62"/>
        <v>-0.99540773921653647</v>
      </c>
    </row>
    <row r="91" spans="1:26" s="26" customFormat="1" outlineLevel="1" collapsed="1" x14ac:dyDescent="0.25">
      <c r="A91" s="27"/>
      <c r="B91" s="13" t="str">
        <f>CONCATENATE("     ","Telephone/Data Lines                              ")</f>
        <v xml:space="preserve">     Telephone/Data Lines                              </v>
      </c>
      <c r="C91" s="13"/>
      <c r="D91" s="1">
        <f>SUM(OSRRefD22_19x_0)</f>
        <v>127.5</v>
      </c>
      <c r="E91" s="1"/>
      <c r="F91" s="5">
        <f t="shared" ref="F91:F96" si="63">IF(D$12=0,0,D91/D$12)</f>
        <v>0</v>
      </c>
      <c r="G91" s="1"/>
      <c r="H91" s="1">
        <f>SUM(OSRRefH22_19x_0)</f>
        <v>345.91</v>
      </c>
      <c r="I91" s="1"/>
      <c r="J91" s="5">
        <f t="shared" ref="J91:J96" si="64">IF(H$12=0,0,H91/H$12)</f>
        <v>1.1501461597666763E-3</v>
      </c>
      <c r="K91" s="1"/>
      <c r="L91" s="1">
        <f t="shared" ref="L91:L96" si="65">+D91-H91</f>
        <v>-218.41000000000003</v>
      </c>
      <c r="M91" s="1"/>
      <c r="N91" s="5">
        <f t="shared" ref="N91:N96" si="66">IF(H91=0,0,L91/H91)</f>
        <v>-0.63140701338498451</v>
      </c>
      <c r="O91" s="13"/>
      <c r="P91" s="1">
        <f>SUM(OSRRefP22_19x_0)</f>
        <v>2384.7399999999998</v>
      </c>
      <c r="Q91" s="1"/>
      <c r="R91" s="5">
        <f t="shared" ref="R91:R96" si="67">IF(P$12=0,0,P91/P$12)</f>
        <v>0.92200566795671302</v>
      </c>
      <c r="S91" s="1"/>
      <c r="T91" s="1">
        <f>SUM(OSRRefT22_19x_0)</f>
        <v>1697.4</v>
      </c>
      <c r="U91" s="1"/>
      <c r="V91" s="5">
        <f t="shared" ref="V91:V96" si="68">IF(T$12=0,0,T91/T$12)</f>
        <v>1.1963416051326734E-3</v>
      </c>
      <c r="W91" s="1"/>
      <c r="X91" s="1">
        <f t="shared" ref="X91:X96" si="69">+P91-T91</f>
        <v>687.33999999999969</v>
      </c>
      <c r="Y91" s="1"/>
      <c r="Z91" s="5">
        <f t="shared" ref="Z91:Z96" si="70">IF(T91=0,0,X91/T91)</f>
        <v>0.40493696241310217</v>
      </c>
    </row>
    <row r="92" spans="1:26" s="24" customFormat="1" hidden="1" outlineLevel="2" x14ac:dyDescent="0.25">
      <c r="A92" s="25"/>
      <c r="B92" s="11" t="str">
        <f>CONCATENATE("          ", "6309", " - ", "TELEPHONE")</f>
        <v xml:space="preserve">          6309 - TELEPHONE</v>
      </c>
      <c r="C92" s="11"/>
      <c r="D92" s="6">
        <v>127.5</v>
      </c>
      <c r="E92" s="2"/>
      <c r="F92" s="7">
        <f t="shared" si="63"/>
        <v>0</v>
      </c>
      <c r="G92" s="2"/>
      <c r="H92" s="6">
        <v>345.91</v>
      </c>
      <c r="I92" s="2"/>
      <c r="J92" s="7">
        <f t="shared" si="64"/>
        <v>1.1501461597666763E-3</v>
      </c>
      <c r="K92" s="2"/>
      <c r="L92" s="6">
        <f t="shared" si="65"/>
        <v>-218.41000000000003</v>
      </c>
      <c r="M92" s="2"/>
      <c r="N92" s="7">
        <f t="shared" si="66"/>
        <v>-0.63140701338498451</v>
      </c>
      <c r="O92" s="11"/>
      <c r="P92" s="6">
        <v>2384.7399999999998</v>
      </c>
      <c r="Q92" s="2"/>
      <c r="R92" s="7">
        <f t="shared" si="67"/>
        <v>0.92200566795671302</v>
      </c>
      <c r="S92" s="2"/>
      <c r="T92" s="6">
        <v>1697.4</v>
      </c>
      <c r="U92" s="2"/>
      <c r="V92" s="7">
        <f t="shared" si="68"/>
        <v>1.1963416051326734E-3</v>
      </c>
      <c r="W92" s="2"/>
      <c r="X92" s="6">
        <f t="shared" si="69"/>
        <v>687.33999999999969</v>
      </c>
      <c r="Y92" s="2"/>
      <c r="Z92" s="7">
        <f t="shared" si="70"/>
        <v>0.40493696241310217</v>
      </c>
    </row>
    <row r="93" spans="1:26" s="26" customFormat="1" outlineLevel="1" collapsed="1" x14ac:dyDescent="0.25">
      <c r="A93" s="27"/>
      <c r="B93" s="13" t="str">
        <f>CONCATENATE("     ","Training                                          ")</f>
        <v xml:space="preserve">     Training                                          </v>
      </c>
      <c r="C93" s="13"/>
      <c r="D93" s="1">
        <f>SUM(OSRRefD22_20x_0)</f>
        <v>0</v>
      </c>
      <c r="E93" s="1"/>
      <c r="F93" s="5">
        <f t="shared" si="63"/>
        <v>0</v>
      </c>
      <c r="G93" s="1"/>
      <c r="H93" s="1">
        <f>SUM(OSRRefH22_20x_0)</f>
        <v>0</v>
      </c>
      <c r="I93" s="1"/>
      <c r="J93" s="5">
        <f t="shared" si="64"/>
        <v>0</v>
      </c>
      <c r="K93" s="1"/>
      <c r="L93" s="1">
        <f t="shared" si="65"/>
        <v>0</v>
      </c>
      <c r="M93" s="1"/>
      <c r="N93" s="5">
        <f t="shared" si="66"/>
        <v>0</v>
      </c>
      <c r="O93" s="13"/>
      <c r="P93" s="1">
        <f>SUM(OSRRefP22_20x_0)</f>
        <v>0</v>
      </c>
      <c r="Q93" s="1"/>
      <c r="R93" s="5">
        <f t="shared" si="67"/>
        <v>0</v>
      </c>
      <c r="S93" s="1"/>
      <c r="T93" s="1">
        <f>SUM(OSRRefT22_20x_0)</f>
        <v>96</v>
      </c>
      <c r="U93" s="1"/>
      <c r="V93" s="5">
        <f t="shared" si="68"/>
        <v>6.7661596614078387E-5</v>
      </c>
      <c r="W93" s="1"/>
      <c r="X93" s="1">
        <f t="shared" si="69"/>
        <v>-96</v>
      </c>
      <c r="Y93" s="1"/>
      <c r="Z93" s="5">
        <f t="shared" si="70"/>
        <v>-1</v>
      </c>
    </row>
    <row r="94" spans="1:26" s="24" customFormat="1" hidden="1" outlineLevel="2" x14ac:dyDescent="0.25">
      <c r="A94" s="25"/>
      <c r="B94" s="11" t="str">
        <f>CONCATENATE("          ", "6376", " - ", "TRAINING")</f>
        <v xml:space="preserve">          6376 - TRAINING</v>
      </c>
      <c r="C94" s="11"/>
      <c r="D94" s="6"/>
      <c r="E94" s="2"/>
      <c r="F94" s="7">
        <f t="shared" si="63"/>
        <v>0</v>
      </c>
      <c r="G94" s="2"/>
      <c r="H94" s="6"/>
      <c r="I94" s="2"/>
      <c r="J94" s="7">
        <f t="shared" si="64"/>
        <v>0</v>
      </c>
      <c r="K94" s="2"/>
      <c r="L94" s="6">
        <f t="shared" si="65"/>
        <v>0</v>
      </c>
      <c r="M94" s="2"/>
      <c r="N94" s="7">
        <f t="shared" si="66"/>
        <v>0</v>
      </c>
      <c r="O94" s="11"/>
      <c r="P94" s="6"/>
      <c r="Q94" s="2"/>
      <c r="R94" s="7">
        <f t="shared" si="67"/>
        <v>0</v>
      </c>
      <c r="S94" s="2"/>
      <c r="T94" s="6">
        <v>96</v>
      </c>
      <c r="U94" s="2"/>
      <c r="V94" s="7">
        <f t="shared" si="68"/>
        <v>6.7661596614078387E-5</v>
      </c>
      <c r="W94" s="2"/>
      <c r="X94" s="6">
        <f t="shared" si="69"/>
        <v>-96</v>
      </c>
      <c r="Y94" s="2"/>
      <c r="Z94" s="7">
        <f t="shared" si="70"/>
        <v>-1</v>
      </c>
    </row>
    <row r="95" spans="1:26" s="26" customFormat="1" outlineLevel="1" collapsed="1" x14ac:dyDescent="0.25">
      <c r="A95" s="27"/>
      <c r="B95" s="13" t="str">
        <f>CONCATENATE("     ","Utilities                                         ")</f>
        <v xml:space="preserve">     Utilities                                         </v>
      </c>
      <c r="C95" s="13"/>
      <c r="D95" s="1">
        <f>SUM(OSRRefD22_21x_0)</f>
        <v>1136</v>
      </c>
      <c r="E95" s="1"/>
      <c r="F95" s="5">
        <f t="shared" si="63"/>
        <v>0</v>
      </c>
      <c r="G95" s="1"/>
      <c r="H95" s="1">
        <f>SUM(OSRRefH22_21x_0)</f>
        <v>978</v>
      </c>
      <c r="I95" s="1"/>
      <c r="J95" s="5">
        <f t="shared" si="64"/>
        <v>3.2518370219184454E-3</v>
      </c>
      <c r="K95" s="1"/>
      <c r="L95" s="1">
        <f t="shared" si="65"/>
        <v>158</v>
      </c>
      <c r="M95" s="1"/>
      <c r="N95" s="5">
        <f t="shared" si="66"/>
        <v>0.16155419222903886</v>
      </c>
      <c r="O95" s="13"/>
      <c r="P95" s="1">
        <f>SUM(OSRRefP22_21x_0)</f>
        <v>2422</v>
      </c>
      <c r="Q95" s="1"/>
      <c r="R95" s="5">
        <f t="shared" si="67"/>
        <v>0.93641140241332776</v>
      </c>
      <c r="S95" s="1"/>
      <c r="T95" s="1">
        <f>SUM(OSRRefT22_21x_0)</f>
        <v>3038.12</v>
      </c>
      <c r="U95" s="1"/>
      <c r="V95" s="5">
        <f t="shared" si="68"/>
        <v>2.141292186512123E-3</v>
      </c>
      <c r="W95" s="1"/>
      <c r="X95" s="1">
        <f t="shared" si="69"/>
        <v>-616.11999999999989</v>
      </c>
      <c r="Y95" s="1"/>
      <c r="Z95" s="5">
        <f t="shared" si="70"/>
        <v>-0.20279646623569836</v>
      </c>
    </row>
    <row r="96" spans="1:26" s="24" customFormat="1" hidden="1" outlineLevel="2" x14ac:dyDescent="0.25">
      <c r="A96" s="25"/>
      <c r="B96" s="11" t="str">
        <f>CONCATENATE("          ", "6274", " - ", "UTILITIES")</f>
        <v xml:space="preserve">          6274 - UTILITIES</v>
      </c>
      <c r="C96" s="11"/>
      <c r="D96" s="6">
        <v>1136</v>
      </c>
      <c r="E96" s="2"/>
      <c r="F96" s="7">
        <f t="shared" si="63"/>
        <v>0</v>
      </c>
      <c r="G96" s="2"/>
      <c r="H96" s="6">
        <v>978</v>
      </c>
      <c r="I96" s="2"/>
      <c r="J96" s="7">
        <f t="shared" si="64"/>
        <v>3.2518370219184454E-3</v>
      </c>
      <c r="K96" s="2"/>
      <c r="L96" s="6">
        <f t="shared" si="65"/>
        <v>158</v>
      </c>
      <c r="M96" s="2"/>
      <c r="N96" s="7">
        <f t="shared" si="66"/>
        <v>0.16155419222903886</v>
      </c>
      <c r="O96" s="11"/>
      <c r="P96" s="6">
        <v>2422</v>
      </c>
      <c r="Q96" s="2"/>
      <c r="R96" s="7">
        <f t="shared" si="67"/>
        <v>0.93641140241332776</v>
      </c>
      <c r="S96" s="2"/>
      <c r="T96" s="6">
        <v>3038.12</v>
      </c>
      <c r="U96" s="2"/>
      <c r="V96" s="7">
        <f t="shared" si="68"/>
        <v>2.141292186512123E-3</v>
      </c>
      <c r="W96" s="2"/>
      <c r="X96" s="6">
        <f t="shared" si="69"/>
        <v>-616.11999999999989</v>
      </c>
      <c r="Y96" s="2"/>
      <c r="Z96" s="7">
        <f t="shared" si="70"/>
        <v>-0.20279646623569836</v>
      </c>
    </row>
    <row r="97" spans="1:26" s="53" customFormat="1" x14ac:dyDescent="0.25">
      <c r="A97" s="37"/>
      <c r="B97" s="37"/>
      <c r="C97" s="37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7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x14ac:dyDescent="0.25">
      <c r="A98" s="10"/>
      <c r="B98" s="29" t="s">
        <v>0</v>
      </c>
      <c r="C98" s="10"/>
      <c r="D98" s="4">
        <f>SUM(0)</f>
        <v>0</v>
      </c>
      <c r="E98" s="4"/>
      <c r="F98" s="12">
        <f>IF(D$12=0,0,D98/D$12)</f>
        <v>0</v>
      </c>
      <c r="G98" s="4"/>
      <c r="H98" s="4">
        <f>SUM(0)</f>
        <v>0</v>
      </c>
      <c r="I98" s="4"/>
      <c r="J98" s="12">
        <f>IF(H$12=0,0,H98/H$12)</f>
        <v>0</v>
      </c>
      <c r="K98" s="4"/>
      <c r="L98" s="4">
        <f>+D98-H98</f>
        <v>0</v>
      </c>
      <c r="M98" s="4"/>
      <c r="N98" s="12">
        <f>IF(H98=0,0,L98/H98)</f>
        <v>0</v>
      </c>
      <c r="O98" s="10"/>
      <c r="P98" s="4">
        <f>SUM(0)</f>
        <v>0</v>
      </c>
      <c r="Q98" s="4"/>
      <c r="R98" s="12">
        <f>IF(P$12=0,0,P98/P$12)</f>
        <v>0</v>
      </c>
      <c r="S98" s="4"/>
      <c r="T98" s="4">
        <f>SUM(0)</f>
        <v>0</v>
      </c>
      <c r="U98" s="4"/>
      <c r="V98" s="12">
        <f>IF(T$12=0,0,T98/T$12)</f>
        <v>0</v>
      </c>
      <c r="W98" s="4"/>
      <c r="X98" s="4">
        <f>+P98-T98</f>
        <v>0</v>
      </c>
      <c r="Y98" s="4"/>
      <c r="Z98" s="12">
        <f>IF(T98=0,0,X98/T98)</f>
        <v>0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8" t="s">
        <v>3</v>
      </c>
      <c r="C100" s="28"/>
      <c r="D100" s="20">
        <f>+D26-D28+D98</f>
        <v>-25744.79</v>
      </c>
      <c r="E100" s="14"/>
      <c r="F100" s="22">
        <f>IF(D$12=0,0,D100/D$12)</f>
        <v>0</v>
      </c>
      <c r="G100" s="14"/>
      <c r="H100" s="20">
        <f>+H26-H28+H98</f>
        <v>53680.86</v>
      </c>
      <c r="I100" s="14"/>
      <c r="J100" s="22">
        <f>IF(H$12=0,0,H100/H$12)</f>
        <v>0.1784881471538047</v>
      </c>
      <c r="K100" s="15"/>
      <c r="L100" s="20">
        <f>+D100-H100</f>
        <v>-79425.649999999994</v>
      </c>
      <c r="M100" s="15"/>
      <c r="N100" s="22">
        <f>IF(H100=0,0,L100/H100)</f>
        <v>-1.4795897457678584</v>
      </c>
      <c r="O100" s="29"/>
      <c r="P100" s="20">
        <f>+P26-P28+P98</f>
        <v>-157835.63999999998</v>
      </c>
      <c r="Q100" s="14"/>
      <c r="R100" s="22">
        <f>IF(P$12=0,0,P100/P$12)</f>
        <v>-61.02357266854051</v>
      </c>
      <c r="S100" s="14"/>
      <c r="T100" s="20">
        <f>+T26-T28+T98</f>
        <v>201038.56000000006</v>
      </c>
      <c r="U100" s="14"/>
      <c r="V100" s="22">
        <f>IF(T$12=0,0,T100/T$12)</f>
        <v>0.14169364531869996</v>
      </c>
      <c r="W100" s="15"/>
      <c r="X100" s="20">
        <f>+P100-T100</f>
        <v>-358874.20000000007</v>
      </c>
      <c r="Y100" s="15"/>
      <c r="Z100" s="22">
        <f>IF(T100=0,0,X100/T100)</f>
        <v>-1.7851013258352029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1"/>
      <c r="B102" s="10" t="s">
        <v>13</v>
      </c>
      <c r="C102" s="10"/>
      <c r="D102" s="4">
        <v>-142.94999999999999</v>
      </c>
      <c r="E102" s="4"/>
      <c r="F102" s="12">
        <f>IF(D$12=0,0,D102/D$12)</f>
        <v>0</v>
      </c>
      <c r="G102" s="4"/>
      <c r="H102" s="4">
        <v>37696.009999999995</v>
      </c>
      <c r="I102" s="4"/>
      <c r="J102" s="12">
        <f>IF(H$12=0,0,H102/H$12)</f>
        <v>0.12533873302311649</v>
      </c>
      <c r="K102" s="4"/>
      <c r="L102" s="4">
        <f>+D102-H102</f>
        <v>-37838.959999999992</v>
      </c>
      <c r="M102" s="4"/>
      <c r="N102" s="12">
        <f>IF(H102=0,0,L102/H102)</f>
        <v>-1.0037921785356063</v>
      </c>
      <c r="O102" s="10"/>
      <c r="P102" s="4">
        <v>417.34</v>
      </c>
      <c r="Q102" s="4"/>
      <c r="R102" s="12">
        <f>IF(P$12=0,0,P102/P$12)</f>
        <v>0.16135505147942947</v>
      </c>
      <c r="S102" s="4"/>
      <c r="T102" s="4">
        <v>150244.03999999998</v>
      </c>
      <c r="U102" s="4"/>
      <c r="V102" s="12">
        <f>IF(T$12=0,0,T102/T$12)</f>
        <v>0.10589324612655683</v>
      </c>
      <c r="W102" s="4"/>
      <c r="X102" s="4">
        <f>+P102-T102</f>
        <v>-149826.69999999998</v>
      </c>
      <c r="Y102" s="4"/>
      <c r="Z102" s="12">
        <f>IF(T102=0,0,X102/T102)</f>
        <v>-0.99722225254326236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8" t="s">
        <v>4</v>
      </c>
      <c r="C104" s="28"/>
      <c r="D104" s="31">
        <f>+D100-D102</f>
        <v>-25601.84</v>
      </c>
      <c r="E104" s="14"/>
      <c r="F104" s="34">
        <f>IF(D$12=0,0,D104/D$12)</f>
        <v>0</v>
      </c>
      <c r="G104" s="14"/>
      <c r="H104" s="31">
        <f>+H100-H102</f>
        <v>15984.850000000006</v>
      </c>
      <c r="I104" s="14"/>
      <c r="J104" s="34">
        <f>IF(H$12=0,0,H104/H$12)</f>
        <v>5.3149414130688223E-2</v>
      </c>
      <c r="K104" s="15"/>
      <c r="L104" s="31">
        <f>D104-H104</f>
        <v>-41586.69</v>
      </c>
      <c r="M104" s="15"/>
      <c r="N104" s="34">
        <f>IF(H104=0,0,L104/H104)</f>
        <v>-2.601631544869047</v>
      </c>
      <c r="O104" s="29"/>
      <c r="P104" s="31">
        <f>+P100-P102</f>
        <v>-158252.97999999998</v>
      </c>
      <c r="Q104" s="14"/>
      <c r="R104" s="34">
        <f>IF(P$12=0,0,P104/P$12)</f>
        <v>-61.184927720019935</v>
      </c>
      <c r="S104" s="14"/>
      <c r="T104" s="31">
        <f>+T100-T102</f>
        <v>50794.520000000077</v>
      </c>
      <c r="U104" s="14"/>
      <c r="V104" s="34">
        <f>IF(T$12=0,0,T104/T$12)</f>
        <v>3.5800399192143145E-2</v>
      </c>
      <c r="W104" s="15"/>
      <c r="X104" s="31">
        <f>P104-T104</f>
        <v>-209047.50000000006</v>
      </c>
      <c r="Y104" s="15"/>
      <c r="Z104" s="34">
        <f>IF(T104=0,0,X104/T104)</f>
        <v>-4.1155522288624784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8" t="s">
        <v>5</v>
      </c>
      <c r="C107" s="28"/>
      <c r="D107" s="32">
        <f>SUM(D104:D106)</f>
        <v>-25601.84</v>
      </c>
      <c r="E107" s="14"/>
      <c r="F107" s="30">
        <f>IF(D$12=0,0,D107/D$12)</f>
        <v>0</v>
      </c>
      <c r="G107" s="14"/>
      <c r="H107" s="32">
        <f>SUM(H104:H106)</f>
        <v>15984.850000000006</v>
      </c>
      <c r="I107" s="14"/>
      <c r="J107" s="30">
        <f>IF(H$12=0,0,H107/H$12)</f>
        <v>5.3149414130688223E-2</v>
      </c>
      <c r="K107" s="15"/>
      <c r="L107" s="32">
        <f>+D107-H107</f>
        <v>-41586.69</v>
      </c>
      <c r="M107" s="15"/>
      <c r="N107" s="30">
        <f>IF(H107=0,0,L107/H107)</f>
        <v>-2.601631544869047</v>
      </c>
      <c r="O107" s="29"/>
      <c r="P107" s="32">
        <f>SUM(P104:P106)</f>
        <v>-158252.97999999998</v>
      </c>
      <c r="Q107" s="14"/>
      <c r="R107" s="30">
        <f>IF(P$12=0,0,P107/P$12)</f>
        <v>-61.184927720019935</v>
      </c>
      <c r="S107" s="14"/>
      <c r="T107" s="32">
        <f>SUM(T104:T106)</f>
        <v>50794.520000000077</v>
      </c>
      <c r="U107" s="14"/>
      <c r="V107" s="30">
        <f>IF(T$12=0,0,T107/T$12)</f>
        <v>3.5800399192143145E-2</v>
      </c>
      <c r="W107" s="15"/>
      <c r="X107" s="32">
        <f>+P107-T107</f>
        <v>-209047.50000000006</v>
      </c>
      <c r="Y107" s="15"/>
      <c r="Z107" s="30">
        <f>IF(T107=0,0,X107/T107)</f>
        <v>-4.1155522288624784</v>
      </c>
    </row>
    <row r="108" spans="1:26" ht="15.75" thickTop="1" x14ac:dyDescent="0.25">
      <c r="A108" s="9"/>
      <c r="C108" s="9"/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A109" s="9"/>
      <c r="B109" s="54">
        <v>44174.685101770832</v>
      </c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A110" s="9"/>
      <c r="B110" s="56" t="s">
        <v>313</v>
      </c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A111" s="9"/>
      <c r="B111" s="61"/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","309", " - ", "Carts")</f>
        <v>Department 309 - Carts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36696.76</v>
      </c>
      <c r="I12" s="4"/>
      <c r="J12" s="12"/>
      <c r="K12" s="4"/>
      <c r="L12" s="4">
        <f t="shared" ref="L12:L14" si="0">+D12-H12</f>
        <v>-36696.76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177408.46999999997</v>
      </c>
      <c r="U12" s="4"/>
      <c r="V12" s="12"/>
      <c r="W12" s="4"/>
      <c r="X12" s="4">
        <f t="shared" ref="X12:X14" si="2">+P12-T12</f>
        <v>-177408.46999999997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--7765.95</f>
        <v>7765.95</v>
      </c>
      <c r="I13" s="2"/>
      <c r="J13" s="19"/>
      <c r="K13" s="2"/>
      <c r="L13" s="2">
        <f t="shared" si="0"/>
        <v>-7765.95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--38939.11</f>
        <v>38939.11</v>
      </c>
      <c r="U13" s="2"/>
      <c r="V13" s="19"/>
      <c r="W13" s="2"/>
      <c r="X13" s="2">
        <f t="shared" si="2"/>
        <v>-38939.11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--28930.81</f>
        <v>28930.81</v>
      </c>
      <c r="I14" s="2"/>
      <c r="J14" s="19"/>
      <c r="K14" s="2"/>
      <c r="L14" s="2">
        <f t="shared" si="0"/>
        <v>-28930.81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--138469.36</f>
        <v>138469.35999999999</v>
      </c>
      <c r="U14" s="2"/>
      <c r="V14" s="19"/>
      <c r="W14" s="2"/>
      <c r="X14" s="2">
        <f t="shared" si="2"/>
        <v>-138469.35999999999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17105.75</v>
      </c>
      <c r="I16" s="4"/>
      <c r="J16" s="12">
        <f t="shared" ref="J16:J18" si="7">IF(H$12=0,0,H16/H$12)</f>
        <v>0.46613788247245802</v>
      </c>
      <c r="K16" s="4"/>
      <c r="L16" s="4">
        <f t="shared" ref="L16:L18" si="8">+D16-H16</f>
        <v>-17105.75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81833.78</v>
      </c>
      <c r="U16" s="4"/>
      <c r="V16" s="12">
        <f t="shared" ref="V16:V18" si="11">IF(T$12=0,0,T16/T$12)</f>
        <v>0.46127324135087805</v>
      </c>
      <c r="W16" s="4"/>
      <c r="X16" s="4">
        <f t="shared" ref="X16:X18" si="12">+P16-T16</f>
        <v>-81833.78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14868.510000000002</v>
      </c>
      <c r="I17" s="2"/>
      <c r="J17" s="19">
        <f t="shared" si="7"/>
        <v>0.40517228223963098</v>
      </c>
      <c r="K17" s="2"/>
      <c r="L17" s="2">
        <f t="shared" si="8"/>
        <v>-14868.510000000002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87576.47</v>
      </c>
      <c r="U17" s="2"/>
      <c r="V17" s="19">
        <f t="shared" si="11"/>
        <v>0.49364311636304631</v>
      </c>
      <c r="W17" s="2"/>
      <c r="X17" s="2">
        <f t="shared" si="12"/>
        <v>-87576.47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2237.2399999999998</v>
      </c>
      <c r="I18" s="2"/>
      <c r="J18" s="19">
        <f t="shared" si="7"/>
        <v>6.0965600232827086E-2</v>
      </c>
      <c r="K18" s="2"/>
      <c r="L18" s="2">
        <f t="shared" si="8"/>
        <v>-2237.2399999999998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-5742.69</v>
      </c>
      <c r="U18" s="2"/>
      <c r="V18" s="19">
        <f t="shared" si="11"/>
        <v>-3.2369875012168252E-2</v>
      </c>
      <c r="W18" s="2"/>
      <c r="X18" s="2">
        <f t="shared" si="12"/>
        <v>5742.69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19591.010000000002</v>
      </c>
      <c r="I20" s="14"/>
      <c r="J20" s="22">
        <f>IF(H$12=0,0,H20/H$12)</f>
        <v>0.53386211752754198</v>
      </c>
      <c r="K20" s="15"/>
      <c r="L20" s="20">
        <f>+D20-H20</f>
        <v>-19591.010000000002</v>
      </c>
      <c r="M20" s="15"/>
      <c r="N20" s="22">
        <f>IF(H20=0,0,L20/H20)</f>
        <v>-1</v>
      </c>
      <c r="O20" s="29"/>
      <c r="P20" s="20">
        <f>P12-P16</f>
        <v>0</v>
      </c>
      <c r="Q20" s="14"/>
      <c r="R20" s="22">
        <f>IF(P$12=0,0,P20/P$12)</f>
        <v>0</v>
      </c>
      <c r="S20" s="14"/>
      <c r="T20" s="20">
        <f>T12-T16</f>
        <v>95574.689999999973</v>
      </c>
      <c r="U20" s="14"/>
      <c r="V20" s="22">
        <f>IF(T$12=0,0,T20/T$12)</f>
        <v>0.5387267586491219</v>
      </c>
      <c r="W20" s="15"/>
      <c r="X20" s="20">
        <f>+P20-T20</f>
        <v>-95574.689999999973</v>
      </c>
      <c r="Y20" s="15"/>
      <c r="Z20" s="22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1914.84</v>
      </c>
      <c r="E22" s="21"/>
      <c r="F22" s="35">
        <f t="shared" ref="F22:F31" si="14">IF(D$12=0,0,D22/D$12)</f>
        <v>0</v>
      </c>
      <c r="G22" s="21"/>
      <c r="H22" s="21">
        <f>SUM(OSRRefH22x_0)</f>
        <v>13777.56</v>
      </c>
      <c r="I22" s="21"/>
      <c r="J22" s="35">
        <f t="shared" ref="J22:J31" si="15">IF(H$12=0,0,H22/H$12)</f>
        <v>0.37544349964411022</v>
      </c>
      <c r="K22" s="4"/>
      <c r="L22" s="21">
        <f t="shared" ref="L22:L31" si="16">+D22-H22</f>
        <v>-11862.72</v>
      </c>
      <c r="M22" s="4"/>
      <c r="N22" s="35">
        <f t="shared" ref="N22:N31" si="17">IF(H22=0,0,L22/H22)</f>
        <v>-0.86101748059888683</v>
      </c>
      <c r="O22" s="10"/>
      <c r="P22" s="21">
        <f>SUM(OSRRefP22x_0)</f>
        <v>4702.8500000000004</v>
      </c>
      <c r="Q22" s="21"/>
      <c r="R22" s="35">
        <f t="shared" ref="R22:R31" si="18">IF(P$12=0,0,P22/P$12)</f>
        <v>0</v>
      </c>
      <c r="S22" s="21"/>
      <c r="T22" s="21">
        <f>SUM(OSRRefT22x_0)</f>
        <v>79509.479999999981</v>
      </c>
      <c r="U22" s="21"/>
      <c r="V22" s="35">
        <f t="shared" ref="V22:V31" si="19">IF(T$12=0,0,T22/T$12)</f>
        <v>0.44817183756784551</v>
      </c>
      <c r="W22" s="4"/>
      <c r="X22" s="21">
        <f t="shared" ref="X22:X31" si="20">+P22-T22</f>
        <v>-74806.629999999976</v>
      </c>
      <c r="Y22" s="4"/>
      <c r="Z22" s="35">
        <f t="shared" ref="Z22:Z31" si="21">IF(T22=0,0,X22/T22)</f>
        <v>-0.94085170724296008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1948.68</v>
      </c>
      <c r="I23" s="1"/>
      <c r="J23" s="5">
        <f t="shared" si="15"/>
        <v>5.3102235728712831E-2</v>
      </c>
      <c r="K23" s="1"/>
      <c r="L23" s="1">
        <f t="shared" si="16"/>
        <v>-1948.68</v>
      </c>
      <c r="M23" s="1"/>
      <c r="N23" s="5">
        <f t="shared" si="17"/>
        <v>-1</v>
      </c>
      <c r="O23" s="13"/>
      <c r="P23" s="1">
        <f>SUM(OSRRefP22_0x_0)</f>
        <v>0</v>
      </c>
      <c r="Q23" s="1"/>
      <c r="R23" s="5">
        <f t="shared" si="18"/>
        <v>0</v>
      </c>
      <c r="S23" s="1"/>
      <c r="T23" s="1">
        <f>SUM(OSRRefT22_0x_0)</f>
        <v>10468.699999999999</v>
      </c>
      <c r="U23" s="1"/>
      <c r="V23" s="5">
        <f t="shared" si="19"/>
        <v>5.9009020257037338E-2</v>
      </c>
      <c r="W23" s="1"/>
      <c r="X23" s="1">
        <f t="shared" si="20"/>
        <v>-10468.699999999999</v>
      </c>
      <c r="Y23" s="1"/>
      <c r="Z23" s="5">
        <f t="shared" si="21"/>
        <v>-1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324.57</v>
      </c>
      <c r="I24" s="2"/>
      <c r="J24" s="7">
        <f t="shared" si="15"/>
        <v>8.8446500453991019E-3</v>
      </c>
      <c r="K24" s="2"/>
      <c r="L24" s="6">
        <f t="shared" si="16"/>
        <v>-324.57</v>
      </c>
      <c r="M24" s="2"/>
      <c r="N24" s="7">
        <f t="shared" si="17"/>
        <v>-1</v>
      </c>
      <c r="O24" s="11"/>
      <c r="P24" s="6"/>
      <c r="Q24" s="2"/>
      <c r="R24" s="7">
        <f t="shared" si="18"/>
        <v>0</v>
      </c>
      <c r="S24" s="2"/>
      <c r="T24" s="6">
        <v>2180.41</v>
      </c>
      <c r="U24" s="2"/>
      <c r="V24" s="7">
        <f t="shared" si="19"/>
        <v>1.2290337659752097E-2</v>
      </c>
      <c r="W24" s="2"/>
      <c r="X24" s="6">
        <f t="shared" si="20"/>
        <v>-2180.41</v>
      </c>
      <c r="Y24" s="2"/>
      <c r="Z24" s="7">
        <f t="shared" si="21"/>
        <v>-1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195.43</v>
      </c>
      <c r="I25" s="2"/>
      <c r="J25" s="7">
        <f t="shared" si="15"/>
        <v>5.3255382764036937E-3</v>
      </c>
      <c r="K25" s="2"/>
      <c r="L25" s="6">
        <f t="shared" si="16"/>
        <v>-195.43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699.46</v>
      </c>
      <c r="U25" s="2"/>
      <c r="V25" s="7">
        <f t="shared" si="19"/>
        <v>3.9426527944240774E-3</v>
      </c>
      <c r="W25" s="2"/>
      <c r="X25" s="6">
        <f t="shared" si="20"/>
        <v>-699.46</v>
      </c>
      <c r="Y25" s="2"/>
      <c r="Z25" s="7">
        <f t="shared" si="21"/>
        <v>-1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965.94</v>
      </c>
      <c r="I26" s="2"/>
      <c r="J26" s="7">
        <f t="shared" si="15"/>
        <v>2.6322214822234988E-2</v>
      </c>
      <c r="K26" s="2"/>
      <c r="L26" s="6">
        <f t="shared" si="16"/>
        <v>-965.94</v>
      </c>
      <c r="M26" s="2"/>
      <c r="N26" s="7">
        <f t="shared" si="17"/>
        <v>-1</v>
      </c>
      <c r="O26" s="11"/>
      <c r="P26" s="6"/>
      <c r="Q26" s="2"/>
      <c r="R26" s="7">
        <f t="shared" si="18"/>
        <v>0</v>
      </c>
      <c r="S26" s="2"/>
      <c r="T26" s="6">
        <v>4829.7</v>
      </c>
      <c r="U26" s="2"/>
      <c r="V26" s="7">
        <f t="shared" si="19"/>
        <v>2.7223615648114211E-2</v>
      </c>
      <c r="W26" s="2"/>
      <c r="X26" s="6">
        <f t="shared" si="20"/>
        <v>-4829.7</v>
      </c>
      <c r="Y26" s="2"/>
      <c r="Z26" s="7">
        <f t="shared" si="21"/>
        <v>-1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26.74</v>
      </c>
      <c r="I27" s="2"/>
      <c r="J27" s="7">
        <f t="shared" si="15"/>
        <v>7.2867468408655141E-4</v>
      </c>
      <c r="K27" s="2"/>
      <c r="L27" s="6">
        <f t="shared" si="16"/>
        <v>-26.74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111.37</v>
      </c>
      <c r="U27" s="2"/>
      <c r="V27" s="7">
        <f t="shared" si="19"/>
        <v>6.2776033184886847E-4</v>
      </c>
      <c r="W27" s="2"/>
      <c r="X27" s="6">
        <f t="shared" si="20"/>
        <v>-111.37</v>
      </c>
      <c r="Y27" s="2"/>
      <c r="Z27" s="7">
        <f t="shared" si="21"/>
        <v>-1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134.11000000000001</v>
      </c>
      <c r="I28" s="2"/>
      <c r="J28" s="7">
        <f t="shared" si="15"/>
        <v>3.6545460689172563E-3</v>
      </c>
      <c r="K28" s="2"/>
      <c r="L28" s="6">
        <f t="shared" si="16"/>
        <v>-134.11000000000001</v>
      </c>
      <c r="M28" s="2"/>
      <c r="N28" s="7">
        <f t="shared" si="17"/>
        <v>-1</v>
      </c>
      <c r="O28" s="11"/>
      <c r="P28" s="6"/>
      <c r="Q28" s="2"/>
      <c r="R28" s="7">
        <f t="shared" si="18"/>
        <v>0</v>
      </c>
      <c r="S28" s="2"/>
      <c r="T28" s="6">
        <v>804.66</v>
      </c>
      <c r="U28" s="2"/>
      <c r="V28" s="7">
        <f t="shared" si="19"/>
        <v>4.5356346289441539E-3</v>
      </c>
      <c r="W28" s="2"/>
      <c r="X28" s="6">
        <f t="shared" si="20"/>
        <v>-804.66</v>
      </c>
      <c r="Y28" s="2"/>
      <c r="Z28" s="7">
        <f t="shared" si="21"/>
        <v>-1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73.92</v>
      </c>
      <c r="I29" s="2"/>
      <c r="J29" s="7">
        <f t="shared" si="15"/>
        <v>2.0143467706685821E-3</v>
      </c>
      <c r="K29" s="2"/>
      <c r="L29" s="6">
        <f t="shared" si="16"/>
        <v>-73.92</v>
      </c>
      <c r="M29" s="2"/>
      <c r="N29" s="7">
        <f t="shared" si="17"/>
        <v>-1</v>
      </c>
      <c r="O29" s="11"/>
      <c r="P29" s="6"/>
      <c r="Q29" s="2"/>
      <c r="R29" s="7">
        <f t="shared" si="18"/>
        <v>0</v>
      </c>
      <c r="S29" s="2"/>
      <c r="T29" s="6">
        <v>480.48</v>
      </c>
      <c r="U29" s="2"/>
      <c r="V29" s="7">
        <f t="shared" si="19"/>
        <v>2.7083261582719251E-3</v>
      </c>
      <c r="W29" s="2"/>
      <c r="X29" s="6">
        <f t="shared" si="20"/>
        <v>-480.48</v>
      </c>
      <c r="Y29" s="2"/>
      <c r="Z29" s="7">
        <f t="shared" si="21"/>
        <v>-1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88.56</v>
      </c>
      <c r="I30" s="2"/>
      <c r="J30" s="7">
        <f t="shared" si="15"/>
        <v>2.4132920726516456E-3</v>
      </c>
      <c r="K30" s="2"/>
      <c r="L30" s="6">
        <f t="shared" si="16"/>
        <v>-88.56</v>
      </c>
      <c r="M30" s="2"/>
      <c r="N30" s="7">
        <f t="shared" si="17"/>
        <v>-1</v>
      </c>
      <c r="O30" s="11"/>
      <c r="P30" s="6"/>
      <c r="Q30" s="2"/>
      <c r="R30" s="7">
        <f t="shared" si="18"/>
        <v>0</v>
      </c>
      <c r="S30" s="2"/>
      <c r="T30" s="6">
        <v>575.64</v>
      </c>
      <c r="U30" s="2"/>
      <c r="V30" s="7">
        <f t="shared" si="19"/>
        <v>3.2447154298777285E-3</v>
      </c>
      <c r="W30" s="2"/>
      <c r="X30" s="6">
        <f t="shared" si="20"/>
        <v>-575.64</v>
      </c>
      <c r="Y30" s="2"/>
      <c r="Z30" s="7">
        <f t="shared" si="21"/>
        <v>-1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139.41</v>
      </c>
      <c r="I31" s="2"/>
      <c r="J31" s="7">
        <f t="shared" si="15"/>
        <v>3.798972988351015E-3</v>
      </c>
      <c r="K31" s="2"/>
      <c r="L31" s="6">
        <f t="shared" si="16"/>
        <v>-139.41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786.98</v>
      </c>
      <c r="U31" s="2"/>
      <c r="V31" s="7">
        <f t="shared" si="19"/>
        <v>4.4359776058042781E-3</v>
      </c>
      <c r="W31" s="2"/>
      <c r="X31" s="6">
        <f t="shared" si="20"/>
        <v>-786.98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9177.7999999999993</v>
      </c>
      <c r="I32" s="1"/>
      <c r="J32" s="5">
        <f t="shared" ref="J32:J37" si="23">IF(H$12=0,0,H32/H$12)</f>
        <v>0.25009837380738786</v>
      </c>
      <c r="K32" s="1"/>
      <c r="L32" s="1">
        <f t="shared" ref="L32:L37" si="24">+D32-H32</f>
        <v>-9177.7999999999993</v>
      </c>
      <c r="M32" s="1"/>
      <c r="N32" s="5">
        <f t="shared" ref="N32:N37" si="25">IF(H32=0,0,L32/H32)</f>
        <v>-1</v>
      </c>
      <c r="O32" s="13"/>
      <c r="P32" s="1">
        <f>SUM(OSRRefP22_1x_0)</f>
        <v>0</v>
      </c>
      <c r="Q32" s="1"/>
      <c r="R32" s="5">
        <f t="shared" ref="R32:R37" si="26">IF(P$12=0,0,P32/P$12)</f>
        <v>0</v>
      </c>
      <c r="S32" s="1"/>
      <c r="T32" s="1">
        <f>SUM(OSRRefT22_1x_0)</f>
        <v>45368.36</v>
      </c>
      <c r="U32" s="1"/>
      <c r="V32" s="5">
        <f t="shared" ref="V32:V37" si="27">IF(T$12=0,0,T32/T$12)</f>
        <v>0.25572826370691326</v>
      </c>
      <c r="W32" s="1"/>
      <c r="X32" s="1">
        <f t="shared" ref="X32:X37" si="28">+P32-T32</f>
        <v>-45368.36</v>
      </c>
      <c r="Y32" s="1"/>
      <c r="Z32" s="5">
        <f t="shared" ref="Z32:Z37" si="29">IF(T32=0,0,X32/T32)</f>
        <v>-1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1704</v>
      </c>
      <c r="I33" s="2"/>
      <c r="J33" s="7">
        <f t="shared" si="23"/>
        <v>4.643461711606147E-2</v>
      </c>
      <c r="K33" s="2"/>
      <c r="L33" s="6">
        <f t="shared" si="24"/>
        <v>-1704</v>
      </c>
      <c r="M33" s="2"/>
      <c r="N33" s="7">
        <f t="shared" si="25"/>
        <v>-1</v>
      </c>
      <c r="O33" s="11"/>
      <c r="P33" s="6"/>
      <c r="Q33" s="2"/>
      <c r="R33" s="7">
        <f t="shared" si="26"/>
        <v>0</v>
      </c>
      <c r="S33" s="2"/>
      <c r="T33" s="6">
        <v>9840</v>
      </c>
      <c r="U33" s="2"/>
      <c r="V33" s="7">
        <f t="shared" si="27"/>
        <v>5.5465221023550913E-2</v>
      </c>
      <c r="W33" s="2"/>
      <c r="X33" s="6">
        <f t="shared" si="28"/>
        <v>-9840</v>
      </c>
      <c r="Y33" s="2"/>
      <c r="Z33" s="7">
        <f t="shared" si="29"/>
        <v>-1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>
        <v>2252.61</v>
      </c>
      <c r="I34" s="2"/>
      <c r="J34" s="7">
        <f t="shared" si="23"/>
        <v>6.1384438299184996E-2</v>
      </c>
      <c r="K34" s="2"/>
      <c r="L34" s="6">
        <f t="shared" si="24"/>
        <v>-2252.61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12512.48</v>
      </c>
      <c r="U34" s="2"/>
      <c r="V34" s="7">
        <f t="shared" si="27"/>
        <v>7.0529214304142301E-2</v>
      </c>
      <c r="W34" s="2"/>
      <c r="X34" s="6">
        <f t="shared" si="28"/>
        <v>-12512.48</v>
      </c>
      <c r="Y34" s="2"/>
      <c r="Z34" s="7">
        <f t="shared" si="29"/>
        <v>-1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2"/>
        <v>0</v>
      </c>
      <c r="G35" s="2"/>
      <c r="H35" s="6"/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173.63</v>
      </c>
      <c r="U35" s="2"/>
      <c r="V35" s="7">
        <f t="shared" si="27"/>
        <v>9.7870186243080733E-4</v>
      </c>
      <c r="W35" s="2"/>
      <c r="X35" s="6">
        <f t="shared" si="28"/>
        <v>-173.63</v>
      </c>
      <c r="Y35" s="2"/>
      <c r="Z35" s="7">
        <f t="shared" si="29"/>
        <v>-1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2"/>
        <v>0</v>
      </c>
      <c r="G36" s="2"/>
      <c r="H36" s="6">
        <v>5221.1899999999996</v>
      </c>
      <c r="I36" s="2"/>
      <c r="J36" s="7">
        <f t="shared" si="23"/>
        <v>0.14227931839214142</v>
      </c>
      <c r="K36" s="2"/>
      <c r="L36" s="6">
        <f t="shared" si="24"/>
        <v>-5221.1899999999996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22785.25</v>
      </c>
      <c r="U36" s="2"/>
      <c r="V36" s="7">
        <f t="shared" si="27"/>
        <v>0.12843383407793327</v>
      </c>
      <c r="W36" s="2"/>
      <c r="X36" s="6">
        <f t="shared" si="28"/>
        <v>-22785.25</v>
      </c>
      <c r="Y36" s="2"/>
      <c r="Z36" s="7">
        <f t="shared" si="29"/>
        <v>-1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2"/>
        <v>0</v>
      </c>
      <c r="G37" s="2"/>
      <c r="H37" s="6"/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57</v>
      </c>
      <c r="U37" s="2"/>
      <c r="V37" s="7">
        <f t="shared" si="27"/>
        <v>3.2129243885593519E-4</v>
      </c>
      <c r="W37" s="2"/>
      <c r="X37" s="6">
        <f t="shared" si="28"/>
        <v>-57</v>
      </c>
      <c r="Y37" s="2"/>
      <c r="Z37" s="7">
        <f t="shared" si="29"/>
        <v>-1</v>
      </c>
    </row>
    <row r="38" spans="1:26" s="26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0" si="30">IF(D$12=0,0,D38/D$12)</f>
        <v>0</v>
      </c>
      <c r="G38" s="1"/>
      <c r="H38" s="1">
        <f>SUM(OSRRefH22_2x_0)</f>
        <v>62.5</v>
      </c>
      <c r="I38" s="1"/>
      <c r="J38" s="5">
        <f t="shared" ref="J38:J50" si="31">IF(H$12=0,0,H38/H$12)</f>
        <v>1.7031476348320668E-3</v>
      </c>
      <c r="K38" s="1"/>
      <c r="L38" s="1">
        <f t="shared" ref="L38:L50" si="32">+D38-H38</f>
        <v>-62.5</v>
      </c>
      <c r="M38" s="1"/>
      <c r="N38" s="5">
        <f t="shared" ref="N38:N50" si="33">IF(H38=0,0,L38/H38)</f>
        <v>-1</v>
      </c>
      <c r="O38" s="13"/>
      <c r="P38" s="1">
        <f>SUM(OSRRefP22_2x_0)</f>
        <v>0</v>
      </c>
      <c r="Q38" s="1"/>
      <c r="R38" s="5">
        <f t="shared" ref="R38:R50" si="34">IF(P$12=0,0,P38/P$12)</f>
        <v>0</v>
      </c>
      <c r="S38" s="1"/>
      <c r="T38" s="1">
        <f>SUM(OSRRefT22_2x_0)</f>
        <v>403.94</v>
      </c>
      <c r="U38" s="1"/>
      <c r="V38" s="5">
        <f t="shared" ref="V38:V50" si="35">IF(T$12=0,0,T38/T$12)</f>
        <v>2.2768924166923941E-3</v>
      </c>
      <c r="W38" s="1"/>
      <c r="X38" s="1">
        <f t="shared" ref="X38:X50" si="36">+P38-T38</f>
        <v>-403.94</v>
      </c>
      <c r="Y38" s="1"/>
      <c r="Z38" s="5">
        <f t="shared" ref="Z38:Z50" si="37">IF(T38=0,0,X38/T38)</f>
        <v>-1</v>
      </c>
    </row>
    <row r="39" spans="1:26" s="24" customFormat="1" hidden="1" outlineLevel="2" x14ac:dyDescent="0.25">
      <c r="A39" s="25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30"/>
        <v>0</v>
      </c>
      <c r="G39" s="2"/>
      <c r="H39" s="6">
        <v>62.5</v>
      </c>
      <c r="I39" s="2"/>
      <c r="J39" s="7">
        <f t="shared" si="31"/>
        <v>1.7031476348320668E-3</v>
      </c>
      <c r="K39" s="2"/>
      <c r="L39" s="6">
        <f t="shared" si="32"/>
        <v>-62.5</v>
      </c>
      <c r="M39" s="2"/>
      <c r="N39" s="7">
        <f t="shared" si="33"/>
        <v>-1</v>
      </c>
      <c r="O39" s="11"/>
      <c r="P39" s="6"/>
      <c r="Q39" s="2"/>
      <c r="R39" s="7">
        <f t="shared" si="34"/>
        <v>0</v>
      </c>
      <c r="S39" s="2"/>
      <c r="T39" s="6">
        <v>403.94</v>
      </c>
      <c r="U39" s="2"/>
      <c r="V39" s="7">
        <f t="shared" si="35"/>
        <v>2.2768924166923941E-3</v>
      </c>
      <c r="W39" s="2"/>
      <c r="X39" s="6">
        <f t="shared" si="36"/>
        <v>-403.94</v>
      </c>
      <c r="Y39" s="2"/>
      <c r="Z39" s="7">
        <f t="shared" si="37"/>
        <v>-1</v>
      </c>
    </row>
    <row r="40" spans="1:26" s="26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-7.86</v>
      </c>
      <c r="I40" s="1"/>
      <c r="J40" s="5">
        <f t="shared" si="31"/>
        <v>-2.1418784655648072E-4</v>
      </c>
      <c r="K40" s="1"/>
      <c r="L40" s="1">
        <f t="shared" si="32"/>
        <v>7.86</v>
      </c>
      <c r="M40" s="1"/>
      <c r="N40" s="5">
        <f t="shared" si="33"/>
        <v>-1</v>
      </c>
      <c r="O40" s="13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0.75</v>
      </c>
      <c r="U40" s="1"/>
      <c r="V40" s="5">
        <f t="shared" si="35"/>
        <v>4.2275320902096736E-6</v>
      </c>
      <c r="W40" s="1"/>
      <c r="X40" s="1">
        <f t="shared" si="36"/>
        <v>-0.75</v>
      </c>
      <c r="Y40" s="1"/>
      <c r="Z40" s="5">
        <f t="shared" si="37"/>
        <v>-1</v>
      </c>
    </row>
    <row r="41" spans="1:26" s="24" customFormat="1" hidden="1" outlineLevel="2" x14ac:dyDescent="0.25">
      <c r="A41" s="25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30"/>
        <v>0</v>
      </c>
      <c r="G41" s="2"/>
      <c r="H41" s="6">
        <v>-7.86</v>
      </c>
      <c r="I41" s="2"/>
      <c r="J41" s="7">
        <f t="shared" si="31"/>
        <v>-2.1418784655648072E-4</v>
      </c>
      <c r="K41" s="2"/>
      <c r="L41" s="6">
        <f t="shared" si="32"/>
        <v>7.86</v>
      </c>
      <c r="M41" s="2"/>
      <c r="N41" s="7">
        <f t="shared" si="33"/>
        <v>-1</v>
      </c>
      <c r="O41" s="11"/>
      <c r="P41" s="6"/>
      <c r="Q41" s="2"/>
      <c r="R41" s="7">
        <f t="shared" si="34"/>
        <v>0</v>
      </c>
      <c r="S41" s="2"/>
      <c r="T41" s="6">
        <v>0.75</v>
      </c>
      <c r="U41" s="2"/>
      <c r="V41" s="7">
        <f t="shared" si="35"/>
        <v>4.2275320902096736E-6</v>
      </c>
      <c r="W41" s="2"/>
      <c r="X41" s="6">
        <f t="shared" si="36"/>
        <v>-0.75</v>
      </c>
      <c r="Y41" s="2"/>
      <c r="Z41" s="7">
        <f t="shared" si="37"/>
        <v>-1</v>
      </c>
    </row>
    <row r="42" spans="1:26" s="26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1371.91</v>
      </c>
      <c r="I42" s="1"/>
      <c r="J42" s="5">
        <f t="shared" si="31"/>
        <v>3.7385044347239375E-2</v>
      </c>
      <c r="K42" s="1"/>
      <c r="L42" s="1">
        <f t="shared" si="32"/>
        <v>-1371.91</v>
      </c>
      <c r="M42" s="1"/>
      <c r="N42" s="5">
        <f t="shared" si="33"/>
        <v>-1</v>
      </c>
      <c r="O42" s="13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5987.86</v>
      </c>
      <c r="U42" s="1"/>
      <c r="V42" s="5">
        <f t="shared" si="35"/>
        <v>3.3751827068910521E-2</v>
      </c>
      <c r="W42" s="1"/>
      <c r="X42" s="1">
        <f t="shared" si="36"/>
        <v>-5987.86</v>
      </c>
      <c r="Y42" s="1"/>
      <c r="Z42" s="5">
        <f t="shared" si="37"/>
        <v>-1</v>
      </c>
    </row>
    <row r="43" spans="1:26" s="24" customFormat="1" hidden="1" outlineLevel="2" x14ac:dyDescent="0.25">
      <c r="A43" s="25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30"/>
        <v>0</v>
      </c>
      <c r="G43" s="2"/>
      <c r="H43" s="6">
        <v>1371.91</v>
      </c>
      <c r="I43" s="2"/>
      <c r="J43" s="7">
        <f t="shared" si="31"/>
        <v>3.7385044347239375E-2</v>
      </c>
      <c r="K43" s="2"/>
      <c r="L43" s="6">
        <f t="shared" si="32"/>
        <v>-1371.91</v>
      </c>
      <c r="M43" s="2"/>
      <c r="N43" s="7">
        <f t="shared" si="33"/>
        <v>-1</v>
      </c>
      <c r="O43" s="11"/>
      <c r="P43" s="6"/>
      <c r="Q43" s="2"/>
      <c r="R43" s="7">
        <f t="shared" si="34"/>
        <v>0</v>
      </c>
      <c r="S43" s="2"/>
      <c r="T43" s="6">
        <v>5987.86</v>
      </c>
      <c r="U43" s="2"/>
      <c r="V43" s="7">
        <f t="shared" si="35"/>
        <v>3.3751827068910521E-2</v>
      </c>
      <c r="W43" s="2"/>
      <c r="X43" s="6">
        <f t="shared" si="36"/>
        <v>-5987.86</v>
      </c>
      <c r="Y43" s="2"/>
      <c r="Z43" s="7">
        <f t="shared" si="37"/>
        <v>-1</v>
      </c>
    </row>
    <row r="44" spans="1:26" s="26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588.16999999999996</v>
      </c>
      <c r="E44" s="1"/>
      <c r="F44" s="5">
        <f t="shared" si="30"/>
        <v>0</v>
      </c>
      <c r="G44" s="1"/>
      <c r="H44" s="1">
        <f>SUM(OSRRefH22_5x_0)</f>
        <v>155.66999999999999</v>
      </c>
      <c r="I44" s="1"/>
      <c r="J44" s="5">
        <f t="shared" si="31"/>
        <v>4.2420638770289251E-3</v>
      </c>
      <c r="K44" s="1"/>
      <c r="L44" s="1">
        <f t="shared" si="32"/>
        <v>432.5</v>
      </c>
      <c r="M44" s="1"/>
      <c r="N44" s="5">
        <f t="shared" si="33"/>
        <v>2.778313098220595</v>
      </c>
      <c r="O44" s="13"/>
      <c r="P44" s="1">
        <f>SUM(OSRRefP22_5x_0)</f>
        <v>2676.63</v>
      </c>
      <c r="Q44" s="1"/>
      <c r="R44" s="5">
        <f t="shared" si="34"/>
        <v>0</v>
      </c>
      <c r="S44" s="1"/>
      <c r="T44" s="1">
        <f>SUM(OSRRefT22_5x_0)</f>
        <v>778.35</v>
      </c>
      <c r="U44" s="1"/>
      <c r="V44" s="5">
        <f t="shared" si="35"/>
        <v>4.3873328032195992E-3</v>
      </c>
      <c r="W44" s="1"/>
      <c r="X44" s="1">
        <f t="shared" si="36"/>
        <v>1898.2800000000002</v>
      </c>
      <c r="Y44" s="1"/>
      <c r="Z44" s="5">
        <f t="shared" si="37"/>
        <v>2.4388514164578918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588.16999999999996</v>
      </c>
      <c r="E45" s="2"/>
      <c r="F45" s="7">
        <f t="shared" si="30"/>
        <v>0</v>
      </c>
      <c r="G45" s="2"/>
      <c r="H45" s="6">
        <v>155.66999999999999</v>
      </c>
      <c r="I45" s="2"/>
      <c r="J45" s="7">
        <f t="shared" si="31"/>
        <v>4.2420638770289251E-3</v>
      </c>
      <c r="K45" s="2"/>
      <c r="L45" s="6">
        <f t="shared" si="32"/>
        <v>432.5</v>
      </c>
      <c r="M45" s="2"/>
      <c r="N45" s="7">
        <f t="shared" si="33"/>
        <v>2.778313098220595</v>
      </c>
      <c r="O45" s="11"/>
      <c r="P45" s="6">
        <v>2676.63</v>
      </c>
      <c r="Q45" s="2"/>
      <c r="R45" s="7">
        <f t="shared" si="34"/>
        <v>0</v>
      </c>
      <c r="S45" s="2"/>
      <c r="T45" s="6">
        <v>778.35</v>
      </c>
      <c r="U45" s="2"/>
      <c r="V45" s="7">
        <f t="shared" si="35"/>
        <v>4.3873328032195992E-3</v>
      </c>
      <c r="W45" s="2"/>
      <c r="X45" s="6">
        <f t="shared" si="36"/>
        <v>1898.2800000000002</v>
      </c>
      <c r="Y45" s="2"/>
      <c r="Z45" s="7">
        <f t="shared" si="37"/>
        <v>2.4388514164578918</v>
      </c>
    </row>
    <row r="46" spans="1:26" s="26" customFormat="1" outlineLevel="1" collapsed="1" x14ac:dyDescent="0.25">
      <c r="A46" s="27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SUM(OSRRefD22_6x_0)</f>
        <v>415</v>
      </c>
      <c r="E46" s="1"/>
      <c r="F46" s="5">
        <f t="shared" si="30"/>
        <v>0</v>
      </c>
      <c r="G46" s="1"/>
      <c r="H46" s="1">
        <f>SUM(OSRRefH22_6x_0)</f>
        <v>400</v>
      </c>
      <c r="I46" s="1"/>
      <c r="J46" s="5">
        <f t="shared" si="31"/>
        <v>1.0900144862925228E-2</v>
      </c>
      <c r="K46" s="1"/>
      <c r="L46" s="1">
        <f t="shared" si="32"/>
        <v>15</v>
      </c>
      <c r="M46" s="1"/>
      <c r="N46" s="5">
        <f t="shared" si="33"/>
        <v>3.7499999999999999E-2</v>
      </c>
      <c r="O46" s="13"/>
      <c r="P46" s="1">
        <f>SUM(OSRRefP22_6x_0)</f>
        <v>415</v>
      </c>
      <c r="Q46" s="1"/>
      <c r="R46" s="5">
        <f t="shared" si="34"/>
        <v>0</v>
      </c>
      <c r="S46" s="1"/>
      <c r="T46" s="1">
        <f>SUM(OSRRefT22_6x_0)</f>
        <v>1896.09</v>
      </c>
      <c r="U46" s="1"/>
      <c r="V46" s="5">
        <f t="shared" si="35"/>
        <v>1.0687708427900879E-2</v>
      </c>
      <c r="W46" s="1"/>
      <c r="X46" s="1">
        <f t="shared" si="36"/>
        <v>-1481.09</v>
      </c>
      <c r="Y46" s="1"/>
      <c r="Z46" s="5">
        <f t="shared" si="37"/>
        <v>-0.78112853292828921</v>
      </c>
    </row>
    <row r="47" spans="1:26" s="24" customFormat="1" hidden="1" outlineLevel="2" x14ac:dyDescent="0.25">
      <c r="A47" s="25"/>
      <c r="B47" s="11" t="str">
        <f>CONCATENATE("          ", "6279", " - ", "GENERAL EXPENSE")</f>
        <v xml:space="preserve">          6279 - GENERAL EXPENSE</v>
      </c>
      <c r="C47" s="11"/>
      <c r="D47" s="6">
        <v>415</v>
      </c>
      <c r="E47" s="2"/>
      <c r="F47" s="7">
        <f t="shared" si="30"/>
        <v>0</v>
      </c>
      <c r="G47" s="2"/>
      <c r="H47" s="6">
        <v>400</v>
      </c>
      <c r="I47" s="2"/>
      <c r="J47" s="7">
        <f t="shared" si="31"/>
        <v>1.0900144862925228E-2</v>
      </c>
      <c r="K47" s="2"/>
      <c r="L47" s="6">
        <f t="shared" si="32"/>
        <v>15</v>
      </c>
      <c r="M47" s="2"/>
      <c r="N47" s="7">
        <f t="shared" si="33"/>
        <v>3.7499999999999999E-2</v>
      </c>
      <c r="O47" s="11"/>
      <c r="P47" s="6">
        <v>415</v>
      </c>
      <c r="Q47" s="2"/>
      <c r="R47" s="7">
        <f t="shared" si="34"/>
        <v>0</v>
      </c>
      <c r="S47" s="2"/>
      <c r="T47" s="6">
        <v>1896.09</v>
      </c>
      <c r="U47" s="2"/>
      <c r="V47" s="7">
        <f t="shared" si="35"/>
        <v>1.0687708427900879E-2</v>
      </c>
      <c r="W47" s="2"/>
      <c r="X47" s="6">
        <f t="shared" si="36"/>
        <v>-1481.09</v>
      </c>
      <c r="Y47" s="2"/>
      <c r="Z47" s="7">
        <f t="shared" si="37"/>
        <v>-0.78112853292828921</v>
      </c>
    </row>
    <row r="48" spans="1:26" s="26" customFormat="1" outlineLevel="1" collapsed="1" x14ac:dyDescent="0.25">
      <c r="A48" s="27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SUM(OSRRefD22_7x_0)</f>
        <v>881.67</v>
      </c>
      <c r="E48" s="1"/>
      <c r="F48" s="5">
        <f t="shared" si="30"/>
        <v>0</v>
      </c>
      <c r="G48" s="1"/>
      <c r="H48" s="1">
        <f>SUM(OSRRefH22_7x_0)</f>
        <v>0</v>
      </c>
      <c r="I48" s="1"/>
      <c r="J48" s="5">
        <f t="shared" si="31"/>
        <v>0</v>
      </c>
      <c r="K48" s="1"/>
      <c r="L48" s="1">
        <f t="shared" si="32"/>
        <v>881.67</v>
      </c>
      <c r="M48" s="1"/>
      <c r="N48" s="5">
        <f t="shared" si="33"/>
        <v>0</v>
      </c>
      <c r="O48" s="13"/>
      <c r="P48" s="1">
        <f>SUM(OSRRefP22_7x_0)</f>
        <v>1183.8200000000002</v>
      </c>
      <c r="Q48" s="1"/>
      <c r="R48" s="5">
        <f t="shared" si="34"/>
        <v>0</v>
      </c>
      <c r="S48" s="1"/>
      <c r="T48" s="1">
        <f>SUM(OSRRefT22_7x_0)</f>
        <v>5754.7999999999993</v>
      </c>
      <c r="U48" s="1"/>
      <c r="V48" s="5">
        <f t="shared" si="35"/>
        <v>3.24381355636515E-2</v>
      </c>
      <c r="W48" s="1"/>
      <c r="X48" s="1">
        <f t="shared" si="36"/>
        <v>-4570.9799999999996</v>
      </c>
      <c r="Y48" s="1"/>
      <c r="Z48" s="5">
        <f t="shared" si="37"/>
        <v>-0.79428998401334538</v>
      </c>
    </row>
    <row r="49" spans="1:26" s="24" customFormat="1" hidden="1" outlineLevel="2" x14ac:dyDescent="0.25">
      <c r="A49" s="25"/>
      <c r="B49" s="11" t="str">
        <f>CONCATENATE("          ", "6373", " - ", "MAINTENANCE CONTRACTS")</f>
        <v xml:space="preserve">          6373 - MAINTENANCE CONTRACTS</v>
      </c>
      <c r="C49" s="11"/>
      <c r="D49" s="6"/>
      <c r="E49" s="2"/>
      <c r="F49" s="7">
        <f t="shared" si="30"/>
        <v>0</v>
      </c>
      <c r="G49" s="2"/>
      <c r="H49" s="6"/>
      <c r="I49" s="2"/>
      <c r="J49" s="7">
        <f t="shared" si="31"/>
        <v>0</v>
      </c>
      <c r="K49" s="2"/>
      <c r="L49" s="6">
        <f t="shared" si="32"/>
        <v>0</v>
      </c>
      <c r="M49" s="2"/>
      <c r="N49" s="7">
        <f t="shared" si="33"/>
        <v>0</v>
      </c>
      <c r="O49" s="11"/>
      <c r="P49" s="6">
        <v>166.13</v>
      </c>
      <c r="Q49" s="2"/>
      <c r="R49" s="7">
        <f t="shared" si="34"/>
        <v>0</v>
      </c>
      <c r="S49" s="2"/>
      <c r="T49" s="6">
        <v>45.65</v>
      </c>
      <c r="U49" s="2"/>
      <c r="V49" s="7">
        <f t="shared" si="35"/>
        <v>2.5731578655742877E-4</v>
      </c>
      <c r="W49" s="2"/>
      <c r="X49" s="6">
        <f t="shared" si="36"/>
        <v>120.47999999999999</v>
      </c>
      <c r="Y49" s="2"/>
      <c r="Z49" s="7">
        <f t="shared" si="37"/>
        <v>2.6392113910186197</v>
      </c>
    </row>
    <row r="50" spans="1:26" s="24" customFormat="1" hidden="1" outlineLevel="2" x14ac:dyDescent="0.25">
      <c r="A50" s="25"/>
      <c r="B50" s="11" t="str">
        <f>CONCATENATE("          ", "6375", " - ", "OUTSIDE REPAIRS &amp; MAINTENANCE")</f>
        <v xml:space="preserve">          6375 - OUTSIDE REPAIRS &amp; MAINTENANCE</v>
      </c>
      <c r="C50" s="11"/>
      <c r="D50" s="6">
        <v>881.67</v>
      </c>
      <c r="E50" s="2"/>
      <c r="F50" s="7">
        <f t="shared" si="30"/>
        <v>0</v>
      </c>
      <c r="G50" s="2"/>
      <c r="H50" s="6"/>
      <c r="I50" s="2"/>
      <c r="J50" s="7">
        <f t="shared" si="31"/>
        <v>0</v>
      </c>
      <c r="K50" s="2"/>
      <c r="L50" s="6">
        <f t="shared" si="32"/>
        <v>881.67</v>
      </c>
      <c r="M50" s="2"/>
      <c r="N50" s="7">
        <f t="shared" si="33"/>
        <v>0</v>
      </c>
      <c r="O50" s="11"/>
      <c r="P50" s="6">
        <v>1017.69</v>
      </c>
      <c r="Q50" s="2"/>
      <c r="R50" s="7">
        <f t="shared" si="34"/>
        <v>0</v>
      </c>
      <c r="S50" s="2"/>
      <c r="T50" s="6">
        <v>5709.15</v>
      </c>
      <c r="U50" s="2"/>
      <c r="V50" s="7">
        <f t="shared" si="35"/>
        <v>3.2180819777094076E-2</v>
      </c>
      <c r="W50" s="2"/>
      <c r="X50" s="6">
        <f t="shared" si="36"/>
        <v>-4691.4599999999991</v>
      </c>
      <c r="Y50" s="2"/>
      <c r="Z50" s="7">
        <f t="shared" si="37"/>
        <v>-0.82174404245815913</v>
      </c>
    </row>
    <row r="51" spans="1:26" s="26" customFormat="1" outlineLevel="1" collapsed="1" x14ac:dyDescent="0.25">
      <c r="A51" s="27"/>
      <c r="B51" s="13" t="str">
        <f>CONCATENATE("     ","Services                                          ")</f>
        <v xml:space="preserve">     Services                                          </v>
      </c>
      <c r="C51" s="13"/>
      <c r="D51" s="1">
        <f>SUM(OSRRefD22_8x_0)</f>
        <v>0</v>
      </c>
      <c r="E51" s="1"/>
      <c r="F51" s="5">
        <f t="shared" ref="F51:F54" si="38">IF(D$12=0,0,D51/D$12)</f>
        <v>0</v>
      </c>
      <c r="G51" s="1"/>
      <c r="H51" s="1">
        <f>SUM(OSRRefH22_8x_0)</f>
        <v>381.79</v>
      </c>
      <c r="I51" s="1"/>
      <c r="J51" s="5">
        <f t="shared" ref="J51:J54" si="39">IF(H$12=0,0,H51/H$12)</f>
        <v>1.0403915768040558E-2</v>
      </c>
      <c r="K51" s="1"/>
      <c r="L51" s="1">
        <f t="shared" ref="L51:L54" si="40">+D51-H51</f>
        <v>-381.79</v>
      </c>
      <c r="M51" s="1"/>
      <c r="N51" s="5">
        <f t="shared" ref="N51:N54" si="41">IF(H51=0,0,L51/H51)</f>
        <v>-1</v>
      </c>
      <c r="O51" s="13"/>
      <c r="P51" s="1">
        <f>SUM(OSRRefP22_8x_0)</f>
        <v>183.08</v>
      </c>
      <c r="Q51" s="1"/>
      <c r="R51" s="5">
        <f t="shared" ref="R51:R54" si="42">IF(P$12=0,0,P51/P$12)</f>
        <v>0</v>
      </c>
      <c r="S51" s="1"/>
      <c r="T51" s="1">
        <f>SUM(OSRRefT22_8x_0)</f>
        <v>2102.23</v>
      </c>
      <c r="U51" s="1"/>
      <c r="V51" s="5">
        <f t="shared" ref="V51:V54" si="43">IF(T$12=0,0,T51/T$12)</f>
        <v>1.1849659714668642E-2</v>
      </c>
      <c r="W51" s="1"/>
      <c r="X51" s="1">
        <f t="shared" ref="X51:X54" si="44">+P51-T51</f>
        <v>-1919.15</v>
      </c>
      <c r="Y51" s="1"/>
      <c r="Z51" s="5">
        <f t="shared" ref="Z51:Z54" si="45">IF(T51=0,0,X51/T51)</f>
        <v>-0.9129115272829329</v>
      </c>
    </row>
    <row r="52" spans="1:26" s="24" customFormat="1" hidden="1" outlineLevel="2" x14ac:dyDescent="0.25">
      <c r="A52" s="25"/>
      <c r="B52" s="11" t="str">
        <f>CONCATENATE("          ", "6282", " - ", "JANITORIAL/EXTERMINATOR EXPENS")</f>
        <v xml:space="preserve">          6282 - JANITORIAL/EXTERMINATOR EXPENS</v>
      </c>
      <c r="C52" s="11"/>
      <c r="D52" s="6"/>
      <c r="E52" s="2"/>
      <c r="F52" s="7">
        <f t="shared" si="38"/>
        <v>0</v>
      </c>
      <c r="G52" s="2"/>
      <c r="H52" s="6">
        <v>141.93</v>
      </c>
      <c r="I52" s="2"/>
      <c r="J52" s="7">
        <f t="shared" si="39"/>
        <v>3.867643900987444E-3</v>
      </c>
      <c r="K52" s="2"/>
      <c r="L52" s="6">
        <f t="shared" si="40"/>
        <v>-141.93</v>
      </c>
      <c r="M52" s="2"/>
      <c r="N52" s="7">
        <f t="shared" si="41"/>
        <v>-1</v>
      </c>
      <c r="O52" s="11"/>
      <c r="P52" s="6">
        <v>356.12</v>
      </c>
      <c r="Q52" s="2"/>
      <c r="R52" s="7">
        <f t="shared" si="42"/>
        <v>0</v>
      </c>
      <c r="S52" s="2"/>
      <c r="T52" s="6">
        <v>1781.58</v>
      </c>
      <c r="U52" s="2"/>
      <c r="V52" s="7">
        <f t="shared" si="43"/>
        <v>1.0042248828367666E-2</v>
      </c>
      <c r="W52" s="2"/>
      <c r="X52" s="6">
        <f t="shared" si="44"/>
        <v>-1425.46</v>
      </c>
      <c r="Y52" s="2"/>
      <c r="Z52" s="7">
        <f t="shared" si="45"/>
        <v>-0.80011001470604748</v>
      </c>
    </row>
    <row r="53" spans="1:26" s="24" customFormat="1" hidden="1" outlineLevel="2" x14ac:dyDescent="0.25">
      <c r="A53" s="25"/>
      <c r="B53" s="11" t="str">
        <f>CONCATENATE("          ", "6285", " - ", "JANITORIAL SERVICES")</f>
        <v xml:space="preserve">          6285 - JANITORIAL SERVICES</v>
      </c>
      <c r="C53" s="11"/>
      <c r="D53" s="6"/>
      <c r="E53" s="2"/>
      <c r="F53" s="7">
        <f t="shared" si="38"/>
        <v>0</v>
      </c>
      <c r="G53" s="2"/>
      <c r="H53" s="6">
        <v>53.86</v>
      </c>
      <c r="I53" s="2"/>
      <c r="J53" s="7">
        <f t="shared" si="39"/>
        <v>1.467704505792882E-3</v>
      </c>
      <c r="K53" s="2"/>
      <c r="L53" s="6">
        <f t="shared" si="40"/>
        <v>-53.86</v>
      </c>
      <c r="M53" s="2"/>
      <c r="N53" s="7">
        <f t="shared" si="41"/>
        <v>-1</v>
      </c>
      <c r="O53" s="11"/>
      <c r="P53" s="6">
        <v>-173.04</v>
      </c>
      <c r="Q53" s="2"/>
      <c r="R53" s="7">
        <f t="shared" si="42"/>
        <v>0</v>
      </c>
      <c r="S53" s="2"/>
      <c r="T53" s="6">
        <v>134.65</v>
      </c>
      <c r="U53" s="2"/>
      <c r="V53" s="7">
        <f t="shared" si="43"/>
        <v>7.5898292792897666E-4</v>
      </c>
      <c r="W53" s="2"/>
      <c r="X53" s="6">
        <f t="shared" si="44"/>
        <v>-307.69</v>
      </c>
      <c r="Y53" s="2"/>
      <c r="Z53" s="7">
        <f t="shared" si="45"/>
        <v>-2.2851095432603046</v>
      </c>
    </row>
    <row r="54" spans="1:26" s="24" customFormat="1" hidden="1" outlineLevel="2" x14ac:dyDescent="0.25">
      <c r="A54" s="25"/>
      <c r="B54" s="11" t="str">
        <f>CONCATENATE("          ", "6286", " - ", "LAUNDRY EXPENSE")</f>
        <v xml:space="preserve">          6286 - LAUNDRY EXPENSE</v>
      </c>
      <c r="C54" s="11"/>
      <c r="D54" s="6"/>
      <c r="E54" s="2"/>
      <c r="F54" s="7">
        <f t="shared" si="38"/>
        <v>0</v>
      </c>
      <c r="G54" s="2"/>
      <c r="H54" s="6">
        <v>186</v>
      </c>
      <c r="I54" s="2"/>
      <c r="J54" s="7">
        <f t="shared" si="39"/>
        <v>5.0685673612602304E-3</v>
      </c>
      <c r="K54" s="2"/>
      <c r="L54" s="6">
        <f t="shared" si="40"/>
        <v>-186</v>
      </c>
      <c r="M54" s="2"/>
      <c r="N54" s="7">
        <f t="shared" si="41"/>
        <v>-1</v>
      </c>
      <c r="O54" s="11"/>
      <c r="P54" s="6"/>
      <c r="Q54" s="2"/>
      <c r="R54" s="7">
        <f t="shared" si="42"/>
        <v>0</v>
      </c>
      <c r="S54" s="2"/>
      <c r="T54" s="6">
        <v>186</v>
      </c>
      <c r="U54" s="2"/>
      <c r="V54" s="7">
        <f t="shared" si="43"/>
        <v>1.0484279583719989E-3</v>
      </c>
      <c r="W54" s="2"/>
      <c r="X54" s="6">
        <f t="shared" si="44"/>
        <v>-186</v>
      </c>
      <c r="Y54" s="2"/>
      <c r="Z54" s="7">
        <f t="shared" si="45"/>
        <v>-1</v>
      </c>
    </row>
    <row r="55" spans="1:26" s="26" customFormat="1" outlineLevel="1" collapsed="1" x14ac:dyDescent="0.25">
      <c r="A55" s="27"/>
      <c r="B55" s="13" t="str">
        <f>CONCATENATE("     ","Supplies                                          ")</f>
        <v xml:space="preserve">     Supplies                                          </v>
      </c>
      <c r="C55" s="13"/>
      <c r="D55" s="1">
        <f>SUM(OSRRefD22_9x_0)</f>
        <v>0</v>
      </c>
      <c r="E55" s="1"/>
      <c r="F55" s="5">
        <f t="shared" ref="F55:F58" si="46">IF(D$12=0,0,D55/D$12)</f>
        <v>0</v>
      </c>
      <c r="G55" s="1"/>
      <c r="H55" s="1">
        <f>SUM(OSRRefH22_9x_0)</f>
        <v>196.06</v>
      </c>
      <c r="I55" s="1"/>
      <c r="J55" s="5">
        <f t="shared" ref="J55:J58" si="47">IF(H$12=0,0,H55/H$12)</f>
        <v>5.3427060045628007E-3</v>
      </c>
      <c r="K55" s="1"/>
      <c r="L55" s="1">
        <f t="shared" ref="L55:L58" si="48">+D55-H55</f>
        <v>-196.06</v>
      </c>
      <c r="M55" s="1"/>
      <c r="N55" s="5">
        <f t="shared" ref="N55:N58" si="49">IF(H55=0,0,L55/H55)</f>
        <v>-1</v>
      </c>
      <c r="O55" s="13"/>
      <c r="P55" s="1">
        <f>SUM(OSRRefP22_9x_0)</f>
        <v>0</v>
      </c>
      <c r="Q55" s="1"/>
      <c r="R55" s="5">
        <f t="shared" ref="R55:R58" si="50">IF(P$12=0,0,P55/P$12)</f>
        <v>0</v>
      </c>
      <c r="S55" s="1"/>
      <c r="T55" s="1">
        <f>SUM(OSRRefT22_9x_0)</f>
        <v>6293.35</v>
      </c>
      <c r="U55" s="1"/>
      <c r="V55" s="5">
        <f t="shared" ref="V55:V58" si="51">IF(T$12=0,0,T55/T$12)</f>
        <v>3.5473785439894732E-2</v>
      </c>
      <c r="W55" s="1"/>
      <c r="X55" s="1">
        <f t="shared" ref="X55:X58" si="52">+P55-T55</f>
        <v>-6293.35</v>
      </c>
      <c r="Y55" s="1"/>
      <c r="Z55" s="5">
        <f t="shared" ref="Z55:Z58" si="53">IF(T55=0,0,X55/T55)</f>
        <v>-1</v>
      </c>
    </row>
    <row r="56" spans="1:26" s="24" customFormat="1" hidden="1" outlineLevel="2" x14ac:dyDescent="0.25">
      <c r="A56" s="25"/>
      <c r="B56" s="11" t="str">
        <f>CONCATENATE("          ", "6237", " - ", "JANITORIAL SUPPLIES")</f>
        <v xml:space="preserve">          6237 - JANITORIAL SUPPLIES</v>
      </c>
      <c r="C56" s="11"/>
      <c r="D56" s="6"/>
      <c r="E56" s="2"/>
      <c r="F56" s="7">
        <f t="shared" si="46"/>
        <v>0</v>
      </c>
      <c r="G56" s="2"/>
      <c r="H56" s="6">
        <v>2.8</v>
      </c>
      <c r="I56" s="2"/>
      <c r="J56" s="7">
        <f t="shared" si="47"/>
        <v>7.6301014040476586E-5</v>
      </c>
      <c r="K56" s="2"/>
      <c r="L56" s="6">
        <f t="shared" si="48"/>
        <v>-2.8</v>
      </c>
      <c r="M56" s="2"/>
      <c r="N56" s="7">
        <f t="shared" si="49"/>
        <v>-1</v>
      </c>
      <c r="O56" s="11"/>
      <c r="P56" s="6"/>
      <c r="Q56" s="2"/>
      <c r="R56" s="7">
        <f t="shared" si="50"/>
        <v>0</v>
      </c>
      <c r="S56" s="2"/>
      <c r="T56" s="6">
        <v>776.95</v>
      </c>
      <c r="U56" s="2"/>
      <c r="V56" s="7">
        <f t="shared" si="51"/>
        <v>4.3794414099845415E-3</v>
      </c>
      <c r="W56" s="2"/>
      <c r="X56" s="6">
        <f t="shared" si="52"/>
        <v>-776.95</v>
      </c>
      <c r="Y56" s="2"/>
      <c r="Z56" s="7">
        <f t="shared" si="53"/>
        <v>-1</v>
      </c>
    </row>
    <row r="57" spans="1:26" s="24" customFormat="1" hidden="1" outlineLevel="2" x14ac:dyDescent="0.25">
      <c r="A57" s="25"/>
      <c r="B57" s="11" t="str">
        <f>CONCATENATE("          ", "6243", " - ", "PAPER SUPPLIES")</f>
        <v xml:space="preserve">          6243 - PAPER SUPPLIES</v>
      </c>
      <c r="C57" s="11"/>
      <c r="D57" s="6"/>
      <c r="E57" s="2"/>
      <c r="F57" s="7">
        <f t="shared" si="46"/>
        <v>0</v>
      </c>
      <c r="G57" s="2"/>
      <c r="H57" s="6">
        <v>29.45</v>
      </c>
      <c r="I57" s="2"/>
      <c r="J57" s="7">
        <f t="shared" si="47"/>
        <v>8.0252316553286983E-4</v>
      </c>
      <c r="K57" s="2"/>
      <c r="L57" s="6">
        <f t="shared" si="48"/>
        <v>-29.45</v>
      </c>
      <c r="M57" s="2"/>
      <c r="N57" s="7">
        <f t="shared" si="49"/>
        <v>-1</v>
      </c>
      <c r="O57" s="11"/>
      <c r="P57" s="6"/>
      <c r="Q57" s="2"/>
      <c r="R57" s="7">
        <f t="shared" si="50"/>
        <v>0</v>
      </c>
      <c r="S57" s="2"/>
      <c r="T57" s="6">
        <v>704.76</v>
      </c>
      <c r="U57" s="2"/>
      <c r="V57" s="7">
        <f t="shared" si="51"/>
        <v>3.9725273545282254E-3</v>
      </c>
      <c r="W57" s="2"/>
      <c r="X57" s="6">
        <f t="shared" si="52"/>
        <v>-704.76</v>
      </c>
      <c r="Y57" s="2"/>
      <c r="Z57" s="7">
        <f t="shared" si="53"/>
        <v>-1</v>
      </c>
    </row>
    <row r="58" spans="1:26" s="24" customFormat="1" hidden="1" outlineLevel="2" x14ac:dyDescent="0.25">
      <c r="A58" s="25"/>
      <c r="B58" s="11" t="str">
        <f>CONCATENATE("          ", "6247", " - ", "STORE SUPPLIES")</f>
        <v xml:space="preserve">          6247 - STORE SUPPLIES</v>
      </c>
      <c r="C58" s="11"/>
      <c r="D58" s="6"/>
      <c r="E58" s="2"/>
      <c r="F58" s="7">
        <f t="shared" si="46"/>
        <v>0</v>
      </c>
      <c r="G58" s="2"/>
      <c r="H58" s="6">
        <v>163.81</v>
      </c>
      <c r="I58" s="2"/>
      <c r="J58" s="7">
        <f t="shared" si="47"/>
        <v>4.4638818249894538E-3</v>
      </c>
      <c r="K58" s="2"/>
      <c r="L58" s="6">
        <f t="shared" si="48"/>
        <v>-163.81</v>
      </c>
      <c r="M58" s="2"/>
      <c r="N58" s="7">
        <f t="shared" si="49"/>
        <v>-1</v>
      </c>
      <c r="O58" s="11"/>
      <c r="P58" s="6"/>
      <c r="Q58" s="2"/>
      <c r="R58" s="7">
        <f t="shared" si="50"/>
        <v>0</v>
      </c>
      <c r="S58" s="2"/>
      <c r="T58" s="6">
        <v>4811.6400000000003</v>
      </c>
      <c r="U58" s="2"/>
      <c r="V58" s="7">
        <f t="shared" si="51"/>
        <v>2.7121816675381966E-2</v>
      </c>
      <c r="W58" s="2"/>
      <c r="X58" s="6">
        <f t="shared" si="52"/>
        <v>-4811.6400000000003</v>
      </c>
      <c r="Y58" s="2"/>
      <c r="Z58" s="7">
        <f t="shared" si="53"/>
        <v>-1</v>
      </c>
    </row>
    <row r="59" spans="1:26" s="26" customFormat="1" outlineLevel="1" collapsed="1" x14ac:dyDescent="0.25">
      <c r="A59" s="27"/>
      <c r="B59" s="13" t="str">
        <f>CONCATENATE("     ","Telephone/Data Lines                              ")</f>
        <v xml:space="preserve">     Telephone/Data Lines                              </v>
      </c>
      <c r="C59" s="13"/>
      <c r="D59" s="1">
        <f>SUM(OSRRefD22_10x_0)</f>
        <v>30</v>
      </c>
      <c r="E59" s="1"/>
      <c r="F59" s="5">
        <f t="shared" ref="F59:F60" si="54">IF(D$12=0,0,D59/D$12)</f>
        <v>0</v>
      </c>
      <c r="G59" s="1"/>
      <c r="H59" s="1">
        <f>SUM(OSRRefH22_10x_0)</f>
        <v>91.01</v>
      </c>
      <c r="I59" s="1"/>
      <c r="J59" s="5">
        <f t="shared" ref="J59:J60" si="55">IF(H$12=0,0,H59/H$12)</f>
        <v>2.4800554599370625E-3</v>
      </c>
      <c r="K59" s="1"/>
      <c r="L59" s="1">
        <f t="shared" ref="L59:L60" si="56">+D59-H59</f>
        <v>-61.010000000000005</v>
      </c>
      <c r="M59" s="1"/>
      <c r="N59" s="5">
        <f t="shared" ref="N59:N60" si="57">IF(H59=0,0,L59/H59)</f>
        <v>-0.67036589385781786</v>
      </c>
      <c r="O59" s="13"/>
      <c r="P59" s="1">
        <f>SUM(OSRRefP22_10x_0)</f>
        <v>244.32</v>
      </c>
      <c r="Q59" s="1"/>
      <c r="R59" s="5">
        <f t="shared" ref="R59:R60" si="58">IF(P$12=0,0,P59/P$12)</f>
        <v>0</v>
      </c>
      <c r="S59" s="1"/>
      <c r="T59" s="1">
        <f>SUM(OSRRefT22_10x_0)</f>
        <v>455.05</v>
      </c>
      <c r="U59" s="1"/>
      <c r="V59" s="5">
        <f t="shared" ref="V59:V60" si="59">IF(T$12=0,0,T59/T$12)</f>
        <v>2.5649846368665493E-3</v>
      </c>
      <c r="W59" s="1"/>
      <c r="X59" s="1">
        <f t="shared" ref="X59:X60" si="60">+P59-T59</f>
        <v>-210.73000000000002</v>
      </c>
      <c r="Y59" s="1"/>
      <c r="Z59" s="5">
        <f t="shared" ref="Z59:Z60" si="61">IF(T59=0,0,X59/T59)</f>
        <v>-0.46309196791561369</v>
      </c>
    </row>
    <row r="60" spans="1:26" s="24" customFormat="1" hidden="1" outlineLevel="2" x14ac:dyDescent="0.25">
      <c r="A60" s="25"/>
      <c r="B60" s="11" t="str">
        <f>CONCATENATE("          ", "6309", " - ", "TELEPHONE")</f>
        <v xml:space="preserve">          6309 - TELEPHONE</v>
      </c>
      <c r="C60" s="11"/>
      <c r="D60" s="6">
        <v>30</v>
      </c>
      <c r="E60" s="2"/>
      <c r="F60" s="7">
        <f t="shared" si="54"/>
        <v>0</v>
      </c>
      <c r="G60" s="2"/>
      <c r="H60" s="6">
        <v>91.01</v>
      </c>
      <c r="I60" s="2"/>
      <c r="J60" s="7">
        <f t="shared" si="55"/>
        <v>2.4800554599370625E-3</v>
      </c>
      <c r="K60" s="2"/>
      <c r="L60" s="6">
        <f t="shared" si="56"/>
        <v>-61.010000000000005</v>
      </c>
      <c r="M60" s="2"/>
      <c r="N60" s="7">
        <f t="shared" si="57"/>
        <v>-0.67036589385781786</v>
      </c>
      <c r="O60" s="11"/>
      <c r="P60" s="6">
        <v>244.32</v>
      </c>
      <c r="Q60" s="2"/>
      <c r="R60" s="7">
        <f t="shared" si="58"/>
        <v>0</v>
      </c>
      <c r="S60" s="2"/>
      <c r="T60" s="6">
        <v>455.05</v>
      </c>
      <c r="U60" s="2"/>
      <c r="V60" s="7">
        <f t="shared" si="59"/>
        <v>2.5649846368665493E-3</v>
      </c>
      <c r="W60" s="2"/>
      <c r="X60" s="6">
        <f t="shared" si="60"/>
        <v>-210.73000000000002</v>
      </c>
      <c r="Y60" s="2"/>
      <c r="Z60" s="7">
        <f t="shared" si="61"/>
        <v>-0.46309196791561369</v>
      </c>
    </row>
    <row r="61" spans="1:26" s="53" customFormat="1" x14ac:dyDescent="0.25">
      <c r="A61" s="37"/>
      <c r="B61" s="37"/>
      <c r="C61" s="37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7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9" t="s">
        <v>0</v>
      </c>
      <c r="C62" s="10"/>
      <c r="D62" s="4">
        <f>SUM(0)</f>
        <v>0</v>
      </c>
      <c r="E62" s="4"/>
      <c r="F62" s="12">
        <f>IF(D$12=0,0,D62/D$12)</f>
        <v>0</v>
      </c>
      <c r="G62" s="4"/>
      <c r="H62" s="4">
        <f>SUM(0)</f>
        <v>0</v>
      </c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>
        <f>SUM(0)</f>
        <v>0</v>
      </c>
      <c r="Q62" s="4"/>
      <c r="R62" s="12">
        <f>IF(P$12=0,0,P62/P$12)</f>
        <v>0</v>
      </c>
      <c r="S62" s="4"/>
      <c r="T62" s="4">
        <f>SUM(0)</f>
        <v>0</v>
      </c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10"/>
      <c r="B64" s="28" t="s">
        <v>3</v>
      </c>
      <c r="C64" s="28"/>
      <c r="D64" s="20">
        <f>+D20-D22+D62</f>
        <v>-1914.84</v>
      </c>
      <c r="E64" s="14"/>
      <c r="F64" s="22">
        <f>IF(D$12=0,0,D64/D$12)</f>
        <v>0</v>
      </c>
      <c r="G64" s="14"/>
      <c r="H64" s="20">
        <f>+H20-H22+H62</f>
        <v>5813.4500000000025</v>
      </c>
      <c r="I64" s="14"/>
      <c r="J64" s="22">
        <f>IF(H$12=0,0,H64/H$12)</f>
        <v>0.15841861788343173</v>
      </c>
      <c r="K64" s="15"/>
      <c r="L64" s="20">
        <f>+D64-H64</f>
        <v>-7728.2900000000027</v>
      </c>
      <c r="M64" s="15"/>
      <c r="N64" s="22">
        <f>IF(H64=0,0,L64/H64)</f>
        <v>-1.3293810043949805</v>
      </c>
      <c r="O64" s="29"/>
      <c r="P64" s="20">
        <f>+P20-P22+P62</f>
        <v>-4702.8500000000004</v>
      </c>
      <c r="Q64" s="14"/>
      <c r="R64" s="22">
        <f>IF(P$12=0,0,P64/P$12)</f>
        <v>0</v>
      </c>
      <c r="S64" s="14"/>
      <c r="T64" s="20">
        <f>+T20-T22+T62</f>
        <v>16065.209999999992</v>
      </c>
      <c r="U64" s="14"/>
      <c r="V64" s="22">
        <f>IF(T$12=0,0,T64/T$12)</f>
        <v>9.0554921081276413E-2</v>
      </c>
      <c r="W64" s="15"/>
      <c r="X64" s="20">
        <f>+P64-T64</f>
        <v>-20768.05999999999</v>
      </c>
      <c r="Y64" s="15"/>
      <c r="Z64" s="22">
        <f>IF(T64=0,0,X64/T64)</f>
        <v>-1.2927350467251908</v>
      </c>
    </row>
    <row r="65" spans="1:26" x14ac:dyDescent="0.25">
      <c r="A65" s="9"/>
      <c r="B65" s="10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51"/>
      <c r="B66" s="10" t="s">
        <v>13</v>
      </c>
      <c r="C66" s="10"/>
      <c r="D66" s="4"/>
      <c r="E66" s="4"/>
      <c r="F66" s="12">
        <f>IF(D$12=0,0,D66/D$12)</f>
        <v>0</v>
      </c>
      <c r="G66" s="4"/>
      <c r="H66" s="4">
        <v>4621.96</v>
      </c>
      <c r="I66" s="4"/>
      <c r="J66" s="12">
        <f>IF(H$12=0,0,H66/H$12)</f>
        <v>0.12595008387661472</v>
      </c>
      <c r="K66" s="4"/>
      <c r="L66" s="4">
        <f>+D66-H66</f>
        <v>-4621.96</v>
      </c>
      <c r="M66" s="4"/>
      <c r="N66" s="12">
        <f>IF(H66=0,0,L66/H66)</f>
        <v>-1</v>
      </c>
      <c r="O66" s="10"/>
      <c r="P66" s="4"/>
      <c r="Q66" s="4"/>
      <c r="R66" s="12">
        <f>IF(P$12=0,0,P66/P$12)</f>
        <v>0</v>
      </c>
      <c r="S66" s="4"/>
      <c r="T66" s="4">
        <v>18786.36</v>
      </c>
      <c r="U66" s="4"/>
      <c r="V66" s="12">
        <f>IF(T$12=0,0,T66/T$12)</f>
        <v>0.1058932530109752</v>
      </c>
      <c r="W66" s="4"/>
      <c r="X66" s="4">
        <f>+P66-T66</f>
        <v>-18786.36</v>
      </c>
      <c r="Y66" s="4"/>
      <c r="Z66" s="12">
        <f>IF(T66=0,0,X66/T66)</f>
        <v>-1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8" t="s">
        <v>4</v>
      </c>
      <c r="C68" s="28"/>
      <c r="D68" s="31">
        <f>+D64-D66</f>
        <v>-1914.84</v>
      </c>
      <c r="E68" s="14"/>
      <c r="F68" s="34">
        <f>IF(D$12=0,0,D68/D$12)</f>
        <v>0</v>
      </c>
      <c r="G68" s="14"/>
      <c r="H68" s="31">
        <f>+H64-H66</f>
        <v>1191.4900000000025</v>
      </c>
      <c r="I68" s="14"/>
      <c r="J68" s="34">
        <f>IF(H$12=0,0,H68/H$12)</f>
        <v>3.2468534006817019E-2</v>
      </c>
      <c r="K68" s="15"/>
      <c r="L68" s="31">
        <f>D68-H68</f>
        <v>-3106.3300000000027</v>
      </c>
      <c r="M68" s="15"/>
      <c r="N68" s="34">
        <f>IF(H68=0,0,L68/H68)</f>
        <v>-2.6070969961980346</v>
      </c>
      <c r="O68" s="29"/>
      <c r="P68" s="31">
        <f>+P64-P66</f>
        <v>-4702.8500000000004</v>
      </c>
      <c r="Q68" s="14"/>
      <c r="R68" s="34">
        <f>IF(P$12=0,0,P68/P$12)</f>
        <v>0</v>
      </c>
      <c r="S68" s="14"/>
      <c r="T68" s="31">
        <f>+T64-T66</f>
        <v>-2721.1500000000087</v>
      </c>
      <c r="U68" s="14"/>
      <c r="V68" s="34">
        <f>IF(T$12=0,0,T68/T$12)</f>
        <v>-1.5338331929698785E-2</v>
      </c>
      <c r="W68" s="15"/>
      <c r="X68" s="31">
        <f>P68-T68</f>
        <v>-1981.6999999999916</v>
      </c>
      <c r="Y68" s="15"/>
      <c r="Z68" s="34">
        <f>IF(T68=0,0,X68/T68)</f>
        <v>0.72825827315656444</v>
      </c>
    </row>
    <row r="69" spans="1:26" ht="15.75" thickTop="1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8" t="s">
        <v>5</v>
      </c>
      <c r="C71" s="28"/>
      <c r="D71" s="32">
        <f>SUM(D68:D70)</f>
        <v>-1914.84</v>
      </c>
      <c r="E71" s="14"/>
      <c r="F71" s="30">
        <f>IF(D$12=0,0,D71/D$12)</f>
        <v>0</v>
      </c>
      <c r="G71" s="14"/>
      <c r="H71" s="32">
        <f>SUM(H68:H70)</f>
        <v>1191.4900000000025</v>
      </c>
      <c r="I71" s="14"/>
      <c r="J71" s="30">
        <f>IF(H$12=0,0,H71/H$12)</f>
        <v>3.2468534006817019E-2</v>
      </c>
      <c r="K71" s="15"/>
      <c r="L71" s="32">
        <f>+D71-H71</f>
        <v>-3106.3300000000027</v>
      </c>
      <c r="M71" s="15"/>
      <c r="N71" s="30">
        <f>IF(H71=0,0,L71/H71)</f>
        <v>-2.6070969961980346</v>
      </c>
      <c r="O71" s="29"/>
      <c r="P71" s="32">
        <f>SUM(P68:P70)</f>
        <v>-4702.8500000000004</v>
      </c>
      <c r="Q71" s="14"/>
      <c r="R71" s="30">
        <f>IF(P$12=0,0,P71/P$12)</f>
        <v>0</v>
      </c>
      <c r="S71" s="14"/>
      <c r="T71" s="32">
        <f>SUM(T68:T70)</f>
        <v>-2721.1500000000087</v>
      </c>
      <c r="U71" s="14"/>
      <c r="V71" s="30">
        <f>IF(T$12=0,0,T71/T$12)</f>
        <v>-1.5338331929698785E-2</v>
      </c>
      <c r="W71" s="15"/>
      <c r="X71" s="32">
        <f>+P71-T71</f>
        <v>-1981.6999999999916</v>
      </c>
      <c r="Y71" s="15"/>
      <c r="Z71" s="30">
        <f>IF(T71=0,0,X71/T71)</f>
        <v>0.72825827315656444</v>
      </c>
    </row>
    <row r="72" spans="1:26" ht="15.75" thickTop="1" x14ac:dyDescent="0.25">
      <c r="A72" s="9"/>
      <c r="C72" s="9"/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54">
        <v>44174.685569062502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6" t="s">
        <v>313</v>
      </c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A75" s="9"/>
      <c r="B75" s="61"/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","313", " - ", "Convenience Store")</f>
        <v>Department 313 - Convenience Store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58695.67</v>
      </c>
      <c r="I12" s="4"/>
      <c r="J12" s="12"/>
      <c r="K12" s="4"/>
      <c r="L12" s="4">
        <f t="shared" ref="L12:L17" si="0">+D12-H12</f>
        <v>-58695.67</v>
      </c>
      <c r="M12" s="4"/>
      <c r="N12" s="12">
        <f t="shared" ref="N12:N17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297881.58999999997</v>
      </c>
      <c r="U12" s="4"/>
      <c r="V12" s="12"/>
      <c r="W12" s="4"/>
      <c r="X12" s="4">
        <f t="shared" ref="X12:X17" si="2">+P12-T12</f>
        <v>-297881.58999999997</v>
      </c>
      <c r="Y12" s="4"/>
      <c r="Z12" s="12">
        <f t="shared" ref="Z12:Z17" si="3">IF(T12=0,0,X12/T12)</f>
        <v>-1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7" si="4">0</f>
        <v>0</v>
      </c>
      <c r="E13" s="2"/>
      <c r="F13" s="19"/>
      <c r="G13" s="2"/>
      <c r="H13" s="2">
        <f>--11147.8</f>
        <v>11147.8</v>
      </c>
      <c r="I13" s="2"/>
      <c r="J13" s="19"/>
      <c r="K13" s="2"/>
      <c r="L13" s="2">
        <f t="shared" si="0"/>
        <v>-11147.8</v>
      </c>
      <c r="M13" s="2"/>
      <c r="N13" s="19">
        <f t="shared" si="1"/>
        <v>-1</v>
      </c>
      <c r="O13" s="11"/>
      <c r="P13" s="2">
        <f t="shared" ref="P13:P17" si="5">0</f>
        <v>0</v>
      </c>
      <c r="Q13" s="2"/>
      <c r="R13" s="19"/>
      <c r="S13" s="2"/>
      <c r="T13" s="2">
        <f>--61147.87</f>
        <v>61147.87</v>
      </c>
      <c r="U13" s="2"/>
      <c r="V13" s="19"/>
      <c r="W13" s="2"/>
      <c r="X13" s="2">
        <f t="shared" si="2"/>
        <v>-61147.87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 t="shared" si="4"/>
        <v>0</v>
      </c>
      <c r="E14" s="2"/>
      <c r="F14" s="19"/>
      <c r="G14" s="2"/>
      <c r="H14" s="2">
        <f>--237.09</f>
        <v>237.09</v>
      </c>
      <c r="I14" s="2"/>
      <c r="J14" s="19"/>
      <c r="K14" s="2"/>
      <c r="L14" s="2">
        <f t="shared" si="0"/>
        <v>-237.09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--1919.17</f>
        <v>1919.17</v>
      </c>
      <c r="U14" s="2"/>
      <c r="V14" s="19"/>
      <c r="W14" s="2"/>
      <c r="X14" s="2">
        <f t="shared" si="2"/>
        <v>-1919.17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19"/>
      <c r="G15" s="2"/>
      <c r="H15" s="2">
        <f>--47135.09</f>
        <v>47135.09</v>
      </c>
      <c r="I15" s="2"/>
      <c r="J15" s="19"/>
      <c r="K15" s="2"/>
      <c r="L15" s="2">
        <f t="shared" si="0"/>
        <v>-47135.09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--233789.62</f>
        <v>233789.62</v>
      </c>
      <c r="U15" s="2"/>
      <c r="V15" s="19"/>
      <c r="W15" s="2"/>
      <c r="X15" s="2">
        <f t="shared" si="2"/>
        <v>-233789.62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"4134", " - ", "NON-TAXABLE SALES-SODA")</f>
        <v xml:space="preserve">          4134 - NON-TAXABLE SALES-SODA</v>
      </c>
      <c r="C16" s="11"/>
      <c r="D16" s="2">
        <f t="shared" si="4"/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--0.39</f>
        <v>0.39</v>
      </c>
      <c r="U16" s="2"/>
      <c r="V16" s="19"/>
      <c r="W16" s="2"/>
      <c r="X16" s="2">
        <f t="shared" si="2"/>
        <v>-0.39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"4137", " - ", "NON-TAXABLE SALES-WATER")</f>
        <v xml:space="preserve">          4137 - NON-TAXABLE SALES-WATER</v>
      </c>
      <c r="C17" s="11"/>
      <c r="D17" s="2">
        <f t="shared" si="4"/>
        <v>0</v>
      </c>
      <c r="E17" s="2"/>
      <c r="F17" s="19"/>
      <c r="G17" s="2"/>
      <c r="H17" s="2">
        <f>--175.69</f>
        <v>175.69</v>
      </c>
      <c r="I17" s="2"/>
      <c r="J17" s="19"/>
      <c r="K17" s="2"/>
      <c r="L17" s="2">
        <f t="shared" si="0"/>
        <v>-175.69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--1024.54</f>
        <v>1024.54</v>
      </c>
      <c r="U17" s="2"/>
      <c r="V17" s="19"/>
      <c r="W17" s="2"/>
      <c r="X17" s="2">
        <f t="shared" si="2"/>
        <v>-1024.54</v>
      </c>
      <c r="Y17" s="2"/>
      <c r="Z17" s="19">
        <f t="shared" si="3"/>
        <v>-1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9" t="s">
        <v>8</v>
      </c>
      <c r="C19" s="10"/>
      <c r="D19" s="4">
        <f>SUM(OSRRefD16x_0)</f>
        <v>0</v>
      </c>
      <c r="E19" s="4"/>
      <c r="F19" s="12">
        <f t="shared" ref="F19:F21" si="6">IF(D$12=0,0,D19/D$12)</f>
        <v>0</v>
      </c>
      <c r="G19" s="4"/>
      <c r="H19" s="4">
        <f>SUM(OSRRefH16x_0)</f>
        <v>27261.74</v>
      </c>
      <c r="I19" s="4"/>
      <c r="J19" s="12">
        <f t="shared" ref="J19:J21" si="7">IF(H$12=0,0,H19/H$12)</f>
        <v>0.46445913301611519</v>
      </c>
      <c r="K19" s="4"/>
      <c r="L19" s="4">
        <f t="shared" ref="L19:L21" si="8">+D19-H19</f>
        <v>-27261.74</v>
      </c>
      <c r="M19" s="4"/>
      <c r="N19" s="12">
        <f t="shared" ref="N19:N21" si="9">IF(H19=0,0,L19/H19)</f>
        <v>-1</v>
      </c>
      <c r="O19" s="10"/>
      <c r="P19" s="4">
        <f>SUM(OSRRefP16x_0)</f>
        <v>-613.59</v>
      </c>
      <c r="Q19" s="4"/>
      <c r="R19" s="12">
        <f t="shared" ref="R19:R21" si="10">IF(P$12=0,0,P19/P$12)</f>
        <v>0</v>
      </c>
      <c r="S19" s="4"/>
      <c r="T19" s="4">
        <f>SUM(OSRRefT16x_0)</f>
        <v>141604.79999999999</v>
      </c>
      <c r="U19" s="4"/>
      <c r="V19" s="12">
        <f t="shared" ref="V19:V21" si="11">IF(T$12=0,0,T19/T$12)</f>
        <v>0.47537278151362089</v>
      </c>
      <c r="W19" s="4"/>
      <c r="X19" s="4">
        <f t="shared" ref="X19:X21" si="12">+P19-T19</f>
        <v>-142218.38999999998</v>
      </c>
      <c r="Y19" s="4"/>
      <c r="Z19" s="12">
        <f t="shared" ref="Z19:Z21" si="13">IF(T19=0,0,X19/T19)</f>
        <v>-1.004333115826582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6"/>
        <v>0</v>
      </c>
      <c r="G20" s="2"/>
      <c r="H20" s="2">
        <v>27947.230000000003</v>
      </c>
      <c r="I20" s="2"/>
      <c r="J20" s="19">
        <f t="shared" si="7"/>
        <v>0.47613784798776476</v>
      </c>
      <c r="K20" s="2"/>
      <c r="L20" s="2">
        <f t="shared" si="8"/>
        <v>-27947.230000000003</v>
      </c>
      <c r="M20" s="2"/>
      <c r="N20" s="19">
        <f t="shared" si="9"/>
        <v>-1</v>
      </c>
      <c r="O20" s="11"/>
      <c r="P20" s="2">
        <v>-613.59</v>
      </c>
      <c r="Q20" s="2"/>
      <c r="R20" s="19">
        <f t="shared" si="10"/>
        <v>0</v>
      </c>
      <c r="S20" s="2"/>
      <c r="T20" s="2">
        <v>150482.44</v>
      </c>
      <c r="U20" s="2"/>
      <c r="V20" s="19">
        <f t="shared" si="11"/>
        <v>0.5051753617939263</v>
      </c>
      <c r="W20" s="2"/>
      <c r="X20" s="2">
        <f t="shared" si="12"/>
        <v>-151096.03</v>
      </c>
      <c r="Y20" s="2"/>
      <c r="Z20" s="19">
        <f t="shared" si="13"/>
        <v>-1.0040774857185994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6"/>
        <v>0</v>
      </c>
      <c r="G21" s="2"/>
      <c r="H21" s="2">
        <v>-685.49</v>
      </c>
      <c r="I21" s="2"/>
      <c r="J21" s="19">
        <f t="shared" si="7"/>
        <v>-1.1678714971649528E-2</v>
      </c>
      <c r="K21" s="2"/>
      <c r="L21" s="2">
        <f t="shared" si="8"/>
        <v>685.49</v>
      </c>
      <c r="M21" s="2"/>
      <c r="N21" s="19">
        <f t="shared" si="9"/>
        <v>-1</v>
      </c>
      <c r="O21" s="11"/>
      <c r="P21" s="2"/>
      <c r="Q21" s="2"/>
      <c r="R21" s="19">
        <f t="shared" si="10"/>
        <v>0</v>
      </c>
      <c r="S21" s="2"/>
      <c r="T21" s="2">
        <v>-8877.64</v>
      </c>
      <c r="U21" s="2"/>
      <c r="V21" s="19">
        <f t="shared" si="11"/>
        <v>-2.980258028030534E-2</v>
      </c>
      <c r="W21" s="2"/>
      <c r="X21" s="2">
        <f t="shared" si="12"/>
        <v>8877.64</v>
      </c>
      <c r="Y21" s="2"/>
      <c r="Z21" s="19">
        <f t="shared" si="13"/>
        <v>-1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D12-D19</f>
        <v>0</v>
      </c>
      <c r="E23" s="14"/>
      <c r="F23" s="22">
        <f>IF(D$12=0,0,D23/D$12)</f>
        <v>0</v>
      </c>
      <c r="G23" s="14"/>
      <c r="H23" s="20">
        <f>H12-H19</f>
        <v>31433.929999999997</v>
      </c>
      <c r="I23" s="14"/>
      <c r="J23" s="22">
        <f>IF(H$12=0,0,H23/H$12)</f>
        <v>0.53554086698388481</v>
      </c>
      <c r="K23" s="15"/>
      <c r="L23" s="20">
        <f>+D23-H23</f>
        <v>-31433.929999999997</v>
      </c>
      <c r="M23" s="15"/>
      <c r="N23" s="22">
        <f>IF(H23=0,0,L23/H23)</f>
        <v>-1</v>
      </c>
      <c r="O23" s="29"/>
      <c r="P23" s="20">
        <f>P12-P19</f>
        <v>613.59</v>
      </c>
      <c r="Q23" s="14"/>
      <c r="R23" s="22">
        <f>IF(P$12=0,0,P23/P$12)</f>
        <v>0</v>
      </c>
      <c r="S23" s="14"/>
      <c r="T23" s="20">
        <f>T12-T19</f>
        <v>156276.78999999998</v>
      </c>
      <c r="U23" s="14"/>
      <c r="V23" s="22">
        <f>IF(T$12=0,0,T23/T$12)</f>
        <v>0.52462721848637905</v>
      </c>
      <c r="W23" s="15"/>
      <c r="X23" s="20">
        <f>+P23-T23</f>
        <v>-155663.19999999998</v>
      </c>
      <c r="Y23" s="15"/>
      <c r="Z23" s="22">
        <f>IF(T23=0,0,X23/T23)</f>
        <v>-0.99607369718817496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6309.5499999999993</v>
      </c>
      <c r="E25" s="21"/>
      <c r="F25" s="35">
        <f t="shared" ref="F25:F34" si="14">IF(D$12=0,0,D25/D$12)</f>
        <v>0</v>
      </c>
      <c r="G25" s="21"/>
      <c r="H25" s="21">
        <f>SUM(OSRRefH22x_0)</f>
        <v>17922.72</v>
      </c>
      <c r="I25" s="21"/>
      <c r="J25" s="35">
        <f t="shared" ref="J25:J34" si="15">IF(H$12=0,0,H25/H$12)</f>
        <v>0.30534995170853324</v>
      </c>
      <c r="K25" s="4"/>
      <c r="L25" s="21">
        <f t="shared" ref="L25:L34" si="16">+D25-H25</f>
        <v>-11613.170000000002</v>
      </c>
      <c r="M25" s="4"/>
      <c r="N25" s="35">
        <f t="shared" ref="N25:N34" si="17">IF(H25=0,0,L25/H25)</f>
        <v>-0.64795801083764082</v>
      </c>
      <c r="O25" s="10"/>
      <c r="P25" s="21">
        <f>SUM(OSRRefP22x_0)</f>
        <v>43974.91</v>
      </c>
      <c r="Q25" s="21"/>
      <c r="R25" s="35">
        <f t="shared" ref="R25:R34" si="18">IF(P$12=0,0,P25/P$12)</f>
        <v>0</v>
      </c>
      <c r="S25" s="21"/>
      <c r="T25" s="21">
        <f>SUM(OSRRefT22x_0)</f>
        <v>97424.430000000022</v>
      </c>
      <c r="U25" s="21"/>
      <c r="V25" s="35">
        <f t="shared" ref="V25:V34" si="19">IF(T$12=0,0,T25/T$12)</f>
        <v>0.32705757344722119</v>
      </c>
      <c r="W25" s="4"/>
      <c r="X25" s="21">
        <f t="shared" ref="X25:X34" si="20">+P25-T25</f>
        <v>-53449.520000000019</v>
      </c>
      <c r="Y25" s="4"/>
      <c r="Z25" s="35">
        <f t="shared" ref="Z25:Z34" si="21">IF(T25=0,0,X25/T25)</f>
        <v>-0.54862543203999248</v>
      </c>
    </row>
    <row r="26" spans="1:26" s="26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3672.65</v>
      </c>
      <c r="E26" s="1"/>
      <c r="F26" s="5">
        <f t="shared" si="14"/>
        <v>0</v>
      </c>
      <c r="G26" s="1"/>
      <c r="H26" s="1">
        <f>SUM(OSRRefH22_0x_0)</f>
        <v>4074.7299999999996</v>
      </c>
      <c r="I26" s="1"/>
      <c r="J26" s="5">
        <f t="shared" si="15"/>
        <v>6.9421304842418527E-2</v>
      </c>
      <c r="K26" s="1"/>
      <c r="L26" s="1">
        <f t="shared" si="16"/>
        <v>-402.07999999999947</v>
      </c>
      <c r="M26" s="1"/>
      <c r="N26" s="5">
        <f t="shared" si="17"/>
        <v>-9.8676476723611017E-2</v>
      </c>
      <c r="O26" s="13"/>
      <c r="P26" s="1">
        <f>SUM(OSRRefP22_0x_0)</f>
        <v>19810.689999999999</v>
      </c>
      <c r="Q26" s="1"/>
      <c r="R26" s="5">
        <f t="shared" si="18"/>
        <v>0</v>
      </c>
      <c r="S26" s="1"/>
      <c r="T26" s="1">
        <f>SUM(OSRRefT22_0x_0)</f>
        <v>22383.460000000003</v>
      </c>
      <c r="U26" s="1"/>
      <c r="V26" s="5">
        <f t="shared" si="19"/>
        <v>7.5142139532691513E-2</v>
      </c>
      <c r="W26" s="1"/>
      <c r="X26" s="1">
        <f t="shared" si="20"/>
        <v>-2572.7700000000041</v>
      </c>
      <c r="Y26" s="1"/>
      <c r="Z26" s="5">
        <f t="shared" si="21"/>
        <v>-0.11494067494480316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178.84</v>
      </c>
      <c r="E27" s="2"/>
      <c r="F27" s="7">
        <f t="shared" si="14"/>
        <v>0</v>
      </c>
      <c r="G27" s="2"/>
      <c r="H27" s="6">
        <v>409.9</v>
      </c>
      <c r="I27" s="2"/>
      <c r="J27" s="7">
        <f t="shared" si="15"/>
        <v>6.9834793605729351E-3</v>
      </c>
      <c r="K27" s="2"/>
      <c r="L27" s="6">
        <f t="shared" si="16"/>
        <v>-231.05999999999997</v>
      </c>
      <c r="M27" s="2"/>
      <c r="N27" s="7">
        <f t="shared" si="17"/>
        <v>-0.56369846303976578</v>
      </c>
      <c r="O27" s="11"/>
      <c r="P27" s="6">
        <v>1924.35</v>
      </c>
      <c r="Q27" s="2"/>
      <c r="R27" s="7">
        <f t="shared" si="18"/>
        <v>0</v>
      </c>
      <c r="S27" s="2"/>
      <c r="T27" s="6">
        <v>2819.86</v>
      </c>
      <c r="U27" s="2"/>
      <c r="V27" s="7">
        <f t="shared" si="19"/>
        <v>9.4663789057927369E-3</v>
      </c>
      <c r="W27" s="2"/>
      <c r="X27" s="6">
        <f t="shared" si="20"/>
        <v>-895.51000000000022</v>
      </c>
      <c r="Y27" s="2"/>
      <c r="Z27" s="7">
        <f t="shared" si="21"/>
        <v>-0.31757250359946954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146.74</v>
      </c>
      <c r="E28" s="2"/>
      <c r="F28" s="7">
        <f t="shared" si="14"/>
        <v>0</v>
      </c>
      <c r="G28" s="2"/>
      <c r="H28" s="6">
        <v>212.9</v>
      </c>
      <c r="I28" s="2"/>
      <c r="J28" s="7">
        <f t="shared" si="15"/>
        <v>3.6271840835959451E-3</v>
      </c>
      <c r="K28" s="2"/>
      <c r="L28" s="6">
        <f t="shared" si="16"/>
        <v>-66.16</v>
      </c>
      <c r="M28" s="2"/>
      <c r="N28" s="7">
        <f t="shared" si="17"/>
        <v>-0.31075622357914512</v>
      </c>
      <c r="O28" s="11"/>
      <c r="P28" s="6">
        <v>499.06</v>
      </c>
      <c r="Q28" s="2"/>
      <c r="R28" s="7">
        <f t="shared" si="18"/>
        <v>0</v>
      </c>
      <c r="S28" s="2"/>
      <c r="T28" s="6">
        <v>784.19</v>
      </c>
      <c r="U28" s="2"/>
      <c r="V28" s="7">
        <f t="shared" si="19"/>
        <v>2.6325561106344307E-3</v>
      </c>
      <c r="W28" s="2"/>
      <c r="X28" s="6">
        <f t="shared" si="20"/>
        <v>-285.13000000000005</v>
      </c>
      <c r="Y28" s="2"/>
      <c r="Z28" s="7">
        <f t="shared" si="21"/>
        <v>-0.36359810760147415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2021.26</v>
      </c>
      <c r="E29" s="2"/>
      <c r="F29" s="7">
        <f t="shared" si="14"/>
        <v>0</v>
      </c>
      <c r="G29" s="2"/>
      <c r="H29" s="6">
        <v>2019.97</v>
      </c>
      <c r="I29" s="2"/>
      <c r="J29" s="7">
        <f t="shared" si="15"/>
        <v>3.4414293251955386E-2</v>
      </c>
      <c r="K29" s="2"/>
      <c r="L29" s="6">
        <f t="shared" si="16"/>
        <v>1.2899999999999636</v>
      </c>
      <c r="M29" s="2"/>
      <c r="N29" s="7">
        <f t="shared" si="17"/>
        <v>6.3862334589125764E-4</v>
      </c>
      <c r="O29" s="11"/>
      <c r="P29" s="6">
        <v>10106.299999999999</v>
      </c>
      <c r="Q29" s="2"/>
      <c r="R29" s="7">
        <f t="shared" si="18"/>
        <v>0</v>
      </c>
      <c r="S29" s="2"/>
      <c r="T29" s="6">
        <v>10099.85</v>
      </c>
      <c r="U29" s="2"/>
      <c r="V29" s="7">
        <f t="shared" si="19"/>
        <v>3.3905586444600358E-2</v>
      </c>
      <c r="W29" s="2"/>
      <c r="X29" s="6">
        <f t="shared" si="20"/>
        <v>6.4499999999989086</v>
      </c>
      <c r="Y29" s="2"/>
      <c r="Z29" s="7">
        <f t="shared" si="21"/>
        <v>6.3862334589116754E-4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20.62</v>
      </c>
      <c r="E30" s="2"/>
      <c r="F30" s="7">
        <f t="shared" si="14"/>
        <v>0</v>
      </c>
      <c r="G30" s="2"/>
      <c r="H30" s="6">
        <v>29.13</v>
      </c>
      <c r="I30" s="2"/>
      <c r="J30" s="7">
        <f t="shared" si="15"/>
        <v>4.9628873816416098E-4</v>
      </c>
      <c r="K30" s="2"/>
      <c r="L30" s="6">
        <f t="shared" si="16"/>
        <v>-8.509999999999998</v>
      </c>
      <c r="M30" s="2"/>
      <c r="N30" s="7">
        <f t="shared" si="17"/>
        <v>-0.29213868863714376</v>
      </c>
      <c r="O30" s="11"/>
      <c r="P30" s="6">
        <v>70.14</v>
      </c>
      <c r="Q30" s="2"/>
      <c r="R30" s="7">
        <f t="shared" si="18"/>
        <v>0</v>
      </c>
      <c r="S30" s="2"/>
      <c r="T30" s="6">
        <v>140.19999999999999</v>
      </c>
      <c r="U30" s="2"/>
      <c r="V30" s="7">
        <f t="shared" si="19"/>
        <v>4.7065681366881387E-4</v>
      </c>
      <c r="W30" s="2"/>
      <c r="X30" s="6">
        <f t="shared" si="20"/>
        <v>-70.059999999999988</v>
      </c>
      <c r="Y30" s="2"/>
      <c r="Z30" s="7">
        <f t="shared" si="21"/>
        <v>-0.49971469329529239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973.28</v>
      </c>
      <c r="E31" s="2"/>
      <c r="F31" s="7">
        <f t="shared" si="14"/>
        <v>0</v>
      </c>
      <c r="G31" s="2"/>
      <c r="H31" s="6">
        <v>568.97</v>
      </c>
      <c r="I31" s="2"/>
      <c r="J31" s="7">
        <f t="shared" si="15"/>
        <v>9.693560018992884E-3</v>
      </c>
      <c r="K31" s="2"/>
      <c r="L31" s="6">
        <f t="shared" si="16"/>
        <v>404.30999999999995</v>
      </c>
      <c r="M31" s="2"/>
      <c r="N31" s="7">
        <f t="shared" si="17"/>
        <v>0.71059985587992325</v>
      </c>
      <c r="O31" s="11"/>
      <c r="P31" s="6">
        <v>3490.92</v>
      </c>
      <c r="Q31" s="2"/>
      <c r="R31" s="7">
        <f t="shared" si="18"/>
        <v>0</v>
      </c>
      <c r="S31" s="2"/>
      <c r="T31" s="6">
        <v>3362.61</v>
      </c>
      <c r="U31" s="2"/>
      <c r="V31" s="7">
        <f t="shared" si="19"/>
        <v>1.1288411613487093E-2</v>
      </c>
      <c r="W31" s="2"/>
      <c r="X31" s="6">
        <f t="shared" si="20"/>
        <v>128.30999999999995</v>
      </c>
      <c r="Y31" s="2"/>
      <c r="Z31" s="7">
        <f t="shared" si="21"/>
        <v>3.8157859519837252E-2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>
        <v>203.53</v>
      </c>
      <c r="E32" s="2"/>
      <c r="F32" s="7">
        <f t="shared" si="14"/>
        <v>0</v>
      </c>
      <c r="G32" s="2"/>
      <c r="H32" s="6">
        <v>407.06</v>
      </c>
      <c r="I32" s="2"/>
      <c r="J32" s="7">
        <f t="shared" si="15"/>
        <v>6.9350941900825054E-3</v>
      </c>
      <c r="K32" s="2"/>
      <c r="L32" s="6">
        <f t="shared" si="16"/>
        <v>-203.53</v>
      </c>
      <c r="M32" s="2"/>
      <c r="N32" s="7">
        <f t="shared" si="17"/>
        <v>-0.5</v>
      </c>
      <c r="O32" s="11"/>
      <c r="P32" s="6">
        <v>2035.3</v>
      </c>
      <c r="Q32" s="2"/>
      <c r="R32" s="7">
        <f t="shared" si="18"/>
        <v>0</v>
      </c>
      <c r="S32" s="2"/>
      <c r="T32" s="6">
        <v>2547.7199999999998</v>
      </c>
      <c r="U32" s="2"/>
      <c r="V32" s="7">
        <f t="shared" si="19"/>
        <v>8.552794417405923E-3</v>
      </c>
      <c r="W32" s="2"/>
      <c r="X32" s="6">
        <f t="shared" si="20"/>
        <v>-512.41999999999985</v>
      </c>
      <c r="Y32" s="2"/>
      <c r="Z32" s="7">
        <f t="shared" si="21"/>
        <v>-0.20112885246416398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>
        <v>128.38</v>
      </c>
      <c r="E33" s="2"/>
      <c r="F33" s="7">
        <f t="shared" si="14"/>
        <v>0</v>
      </c>
      <c r="G33" s="2"/>
      <c r="H33" s="6">
        <v>256.76</v>
      </c>
      <c r="I33" s="2"/>
      <c r="J33" s="7">
        <f t="shared" si="15"/>
        <v>4.3744283010995529E-3</v>
      </c>
      <c r="K33" s="2"/>
      <c r="L33" s="6">
        <f t="shared" si="16"/>
        <v>-128.38</v>
      </c>
      <c r="M33" s="2"/>
      <c r="N33" s="7">
        <f t="shared" si="17"/>
        <v>-0.5</v>
      </c>
      <c r="O33" s="11"/>
      <c r="P33" s="6">
        <v>1283.8</v>
      </c>
      <c r="Q33" s="2"/>
      <c r="R33" s="7">
        <f t="shared" si="18"/>
        <v>0</v>
      </c>
      <c r="S33" s="2"/>
      <c r="T33" s="6">
        <v>1816.6</v>
      </c>
      <c r="U33" s="2"/>
      <c r="V33" s="7">
        <f t="shared" si="19"/>
        <v>6.0983963460111788E-3</v>
      </c>
      <c r="W33" s="2"/>
      <c r="X33" s="6">
        <f t="shared" si="20"/>
        <v>-532.79999999999995</v>
      </c>
      <c r="Y33" s="2"/>
      <c r="Z33" s="7">
        <f t="shared" si="21"/>
        <v>-0.29329516679511175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6"/>
      <c r="E34" s="2"/>
      <c r="F34" s="7">
        <f t="shared" si="14"/>
        <v>0</v>
      </c>
      <c r="G34" s="2"/>
      <c r="H34" s="6">
        <v>170.04</v>
      </c>
      <c r="I34" s="2"/>
      <c r="J34" s="7">
        <f t="shared" si="15"/>
        <v>2.8969768979551641E-3</v>
      </c>
      <c r="K34" s="2"/>
      <c r="L34" s="6">
        <f t="shared" si="16"/>
        <v>-170.04</v>
      </c>
      <c r="M34" s="2"/>
      <c r="N34" s="7">
        <f t="shared" si="17"/>
        <v>-1</v>
      </c>
      <c r="O34" s="11"/>
      <c r="P34" s="6">
        <v>400.82</v>
      </c>
      <c r="Q34" s="2"/>
      <c r="R34" s="7">
        <f t="shared" si="18"/>
        <v>0</v>
      </c>
      <c r="S34" s="2"/>
      <c r="T34" s="6">
        <v>812.43</v>
      </c>
      <c r="U34" s="2"/>
      <c r="V34" s="7">
        <f t="shared" si="19"/>
        <v>2.7273588810909732E-3</v>
      </c>
      <c r="W34" s="2"/>
      <c r="X34" s="6">
        <f t="shared" si="20"/>
        <v>-411.60999999999996</v>
      </c>
      <c r="Y34" s="2"/>
      <c r="Z34" s="7">
        <f t="shared" si="21"/>
        <v>-0.50664057211082802</v>
      </c>
    </row>
    <row r="35" spans="1:26" s="26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2505</v>
      </c>
      <c r="E35" s="1"/>
      <c r="F35" s="5">
        <f t="shared" ref="F35:F40" si="22">IF(D$12=0,0,D35/D$12)</f>
        <v>0</v>
      </c>
      <c r="G35" s="1"/>
      <c r="H35" s="1">
        <f>SUM(OSRRefH22_1x_0)</f>
        <v>10697.92</v>
      </c>
      <c r="I35" s="1"/>
      <c r="J35" s="5">
        <f t="shared" ref="J35:J40" si="23">IF(H$12=0,0,H35/H$12)</f>
        <v>0.18226080390597807</v>
      </c>
      <c r="K35" s="1"/>
      <c r="L35" s="1">
        <f t="shared" ref="L35:L40" si="24">+D35-H35</f>
        <v>-8192.92</v>
      </c>
      <c r="M35" s="1"/>
      <c r="N35" s="5">
        <f t="shared" ref="N35:N40" si="25">IF(H35=0,0,L35/H35)</f>
        <v>-0.76584233196733575</v>
      </c>
      <c r="O35" s="13"/>
      <c r="P35" s="1">
        <f>SUM(OSRRefP22_1x_0)</f>
        <v>23136.42</v>
      </c>
      <c r="Q35" s="1"/>
      <c r="R35" s="5">
        <f t="shared" ref="R35:R40" si="26">IF(P$12=0,0,P35/P$12)</f>
        <v>0</v>
      </c>
      <c r="S35" s="1"/>
      <c r="T35" s="1">
        <f>SUM(OSRRefT22_1x_0)</f>
        <v>57521.08</v>
      </c>
      <c r="U35" s="1"/>
      <c r="V35" s="5">
        <f t="shared" ref="V35:V40" si="27">IF(T$12=0,0,T35/T$12)</f>
        <v>0.19310048667324492</v>
      </c>
      <c r="W35" s="1"/>
      <c r="X35" s="1">
        <f t="shared" ref="X35:X40" si="28">+P35-T35</f>
        <v>-34384.660000000003</v>
      </c>
      <c r="Y35" s="1"/>
      <c r="Z35" s="5">
        <f t="shared" ref="Z35:Z40" si="29">IF(T35=0,0,X35/T35)</f>
        <v>-0.59777493746640364</v>
      </c>
    </row>
    <row r="36" spans="1:26" s="24" customFormat="1" hidden="1" outlineLevel="2" x14ac:dyDescent="0.25">
      <c r="A36" s="25"/>
      <c r="B36" s="11" t="str">
        <f>CONCATENATE("          ", "6002", " - ", "STAFF SALARIES")</f>
        <v xml:space="preserve">          6002 - STAFF SALARIES</v>
      </c>
      <c r="C36" s="11"/>
      <c r="D36" s="6">
        <v>2505</v>
      </c>
      <c r="E36" s="2"/>
      <c r="F36" s="7">
        <f t="shared" si="22"/>
        <v>0</v>
      </c>
      <c r="G36" s="2"/>
      <c r="H36" s="6">
        <v>5044.79</v>
      </c>
      <c r="I36" s="2"/>
      <c r="J36" s="7">
        <f t="shared" si="23"/>
        <v>8.5948247971272845E-2</v>
      </c>
      <c r="K36" s="2"/>
      <c r="L36" s="6">
        <f t="shared" si="24"/>
        <v>-2539.79</v>
      </c>
      <c r="M36" s="2"/>
      <c r="N36" s="7">
        <f t="shared" si="25"/>
        <v>-0.50344811181436688</v>
      </c>
      <c r="O36" s="11"/>
      <c r="P36" s="6">
        <v>23136.42</v>
      </c>
      <c r="Q36" s="2"/>
      <c r="R36" s="7">
        <f t="shared" si="26"/>
        <v>0</v>
      </c>
      <c r="S36" s="2"/>
      <c r="T36" s="6">
        <v>28807.47</v>
      </c>
      <c r="U36" s="2"/>
      <c r="V36" s="7">
        <f t="shared" si="27"/>
        <v>9.6707789158772803E-2</v>
      </c>
      <c r="W36" s="2"/>
      <c r="X36" s="6">
        <f t="shared" si="28"/>
        <v>-5671.0500000000029</v>
      </c>
      <c r="Y36" s="2"/>
      <c r="Z36" s="7">
        <f t="shared" si="29"/>
        <v>-0.19686039766768837</v>
      </c>
    </row>
    <row r="37" spans="1:26" s="24" customFormat="1" hidden="1" outlineLevel="2" x14ac:dyDescent="0.25">
      <c r="A37" s="25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2"/>
        <v>0</v>
      </c>
      <c r="G37" s="2"/>
      <c r="H37" s="6"/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769.68</v>
      </c>
      <c r="U37" s="2"/>
      <c r="V37" s="7">
        <f t="shared" si="27"/>
        <v>2.5838454803467381E-3</v>
      </c>
      <c r="W37" s="2"/>
      <c r="X37" s="6">
        <f t="shared" si="28"/>
        <v>-769.68</v>
      </c>
      <c r="Y37" s="2"/>
      <c r="Z37" s="7">
        <f t="shared" si="29"/>
        <v>-1</v>
      </c>
    </row>
    <row r="38" spans="1:26" s="24" customFormat="1" hidden="1" outlineLevel="2" x14ac:dyDescent="0.25">
      <c r="A38" s="25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2"/>
        <v>0</v>
      </c>
      <c r="G38" s="2"/>
      <c r="H38" s="6">
        <v>624</v>
      </c>
      <c r="I38" s="2"/>
      <c r="J38" s="7">
        <f t="shared" si="23"/>
        <v>1.0631107882404274E-2</v>
      </c>
      <c r="K38" s="2"/>
      <c r="L38" s="6">
        <f t="shared" si="24"/>
        <v>-624</v>
      </c>
      <c r="M38" s="2"/>
      <c r="N38" s="7">
        <f t="shared" si="25"/>
        <v>-1</v>
      </c>
      <c r="O38" s="11"/>
      <c r="P38" s="6"/>
      <c r="Q38" s="2"/>
      <c r="R38" s="7">
        <f t="shared" si="26"/>
        <v>0</v>
      </c>
      <c r="S38" s="2"/>
      <c r="T38" s="6">
        <v>2613.19</v>
      </c>
      <c r="U38" s="2"/>
      <c r="V38" s="7">
        <f t="shared" si="27"/>
        <v>8.7725797354579731E-3</v>
      </c>
      <c r="W38" s="2"/>
      <c r="X38" s="6">
        <f t="shared" si="28"/>
        <v>-2613.19</v>
      </c>
      <c r="Y38" s="2"/>
      <c r="Z38" s="7">
        <f t="shared" si="29"/>
        <v>-1</v>
      </c>
    </row>
    <row r="39" spans="1:26" s="24" customFormat="1" hidden="1" outlineLevel="2" x14ac:dyDescent="0.25">
      <c r="A39" s="25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22"/>
        <v>0</v>
      </c>
      <c r="G39" s="2"/>
      <c r="H39" s="6">
        <v>4975.13</v>
      </c>
      <c r="I39" s="2"/>
      <c r="J39" s="7">
        <f t="shared" si="23"/>
        <v>8.4761448331708289E-2</v>
      </c>
      <c r="K39" s="2"/>
      <c r="L39" s="6">
        <f t="shared" si="24"/>
        <v>-4975.13</v>
      </c>
      <c r="M39" s="2"/>
      <c r="N39" s="7">
        <f t="shared" si="25"/>
        <v>-1</v>
      </c>
      <c r="O39" s="11"/>
      <c r="P39" s="6"/>
      <c r="Q39" s="2"/>
      <c r="R39" s="7">
        <f t="shared" si="26"/>
        <v>0</v>
      </c>
      <c r="S39" s="2"/>
      <c r="T39" s="6">
        <v>21775.26</v>
      </c>
      <c r="U39" s="2"/>
      <c r="V39" s="7">
        <f t="shared" si="27"/>
        <v>7.3100388647717368E-2</v>
      </c>
      <c r="W39" s="2"/>
      <c r="X39" s="6">
        <f t="shared" si="28"/>
        <v>-21775.26</v>
      </c>
      <c r="Y39" s="2"/>
      <c r="Z39" s="7">
        <f t="shared" si="29"/>
        <v>-1</v>
      </c>
    </row>
    <row r="40" spans="1:26" s="24" customFormat="1" hidden="1" outlineLevel="2" x14ac:dyDescent="0.25">
      <c r="A40" s="25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2"/>
        <v>0</v>
      </c>
      <c r="G40" s="2"/>
      <c r="H40" s="6">
        <v>54</v>
      </c>
      <c r="I40" s="2"/>
      <c r="J40" s="7">
        <f t="shared" si="23"/>
        <v>9.1999972059267745E-4</v>
      </c>
      <c r="K40" s="2"/>
      <c r="L40" s="6">
        <f t="shared" si="24"/>
        <v>-54</v>
      </c>
      <c r="M40" s="2"/>
      <c r="N40" s="7">
        <f t="shared" si="25"/>
        <v>-1</v>
      </c>
      <c r="O40" s="11"/>
      <c r="P40" s="6"/>
      <c r="Q40" s="2"/>
      <c r="R40" s="7">
        <f t="shared" si="26"/>
        <v>0</v>
      </c>
      <c r="S40" s="2"/>
      <c r="T40" s="6">
        <v>3555.48</v>
      </c>
      <c r="U40" s="2"/>
      <c r="V40" s="7">
        <f t="shared" si="27"/>
        <v>1.1935883650950031E-2</v>
      </c>
      <c r="W40" s="2"/>
      <c r="X40" s="6">
        <f t="shared" si="28"/>
        <v>-3555.48</v>
      </c>
      <c r="Y40" s="2"/>
      <c r="Z40" s="7">
        <f t="shared" si="29"/>
        <v>-1</v>
      </c>
    </row>
    <row r="41" spans="1:26" s="26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56" si="30">IF(D$12=0,0,D41/D$12)</f>
        <v>0</v>
      </c>
      <c r="G41" s="1"/>
      <c r="H41" s="1">
        <f>SUM(OSRRefH22_2x_0)</f>
        <v>360</v>
      </c>
      <c r="I41" s="1"/>
      <c r="J41" s="5">
        <f t="shared" ref="J41:J56" si="31">IF(H$12=0,0,H41/H$12)</f>
        <v>6.1333314706178499E-3</v>
      </c>
      <c r="K41" s="1"/>
      <c r="L41" s="1">
        <f t="shared" ref="L41:L56" si="32">+D41-H41</f>
        <v>-360</v>
      </c>
      <c r="M41" s="1"/>
      <c r="N41" s="5">
        <f t="shared" ref="N41:N56" si="33">IF(H41=0,0,L41/H41)</f>
        <v>-1</v>
      </c>
      <c r="O41" s="13"/>
      <c r="P41" s="1">
        <f>SUM(OSRRefP22_2x_0)</f>
        <v>0</v>
      </c>
      <c r="Q41" s="1"/>
      <c r="R41" s="5">
        <f t="shared" ref="R41:R56" si="34">IF(P$12=0,0,P41/P$12)</f>
        <v>0</v>
      </c>
      <c r="S41" s="1"/>
      <c r="T41" s="1">
        <f>SUM(OSRRefT22_2x_0)</f>
        <v>620.20000000000005</v>
      </c>
      <c r="U41" s="1"/>
      <c r="V41" s="5">
        <f t="shared" ref="V41:V56" si="35">IF(T$12=0,0,T41/T$12)</f>
        <v>2.0820353483409302E-3</v>
      </c>
      <c r="W41" s="1"/>
      <c r="X41" s="1">
        <f t="shared" ref="X41:X56" si="36">+P41-T41</f>
        <v>-620.20000000000005</v>
      </c>
      <c r="Y41" s="1"/>
      <c r="Z41" s="5">
        <f t="shared" ref="Z41:Z56" si="37">IF(T41=0,0,X41/T41)</f>
        <v>-1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30"/>
        <v>0</v>
      </c>
      <c r="G42" s="2"/>
      <c r="H42" s="6">
        <v>360</v>
      </c>
      <c r="I42" s="2"/>
      <c r="J42" s="7">
        <f t="shared" si="31"/>
        <v>6.1333314706178499E-3</v>
      </c>
      <c r="K42" s="2"/>
      <c r="L42" s="6">
        <f t="shared" si="32"/>
        <v>-360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620.20000000000005</v>
      </c>
      <c r="U42" s="2"/>
      <c r="V42" s="7">
        <f t="shared" si="35"/>
        <v>2.0820353483409302E-3</v>
      </c>
      <c r="W42" s="2"/>
      <c r="X42" s="6">
        <f t="shared" si="36"/>
        <v>-620.20000000000005</v>
      </c>
      <c r="Y42" s="2"/>
      <c r="Z42" s="7">
        <f t="shared" si="37"/>
        <v>-1</v>
      </c>
    </row>
    <row r="43" spans="1:26" s="26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30"/>
        <v>0</v>
      </c>
      <c r="G43" s="1"/>
      <c r="H43" s="1">
        <f>SUM(OSRRefH22_3x_0)</f>
        <v>-22.66</v>
      </c>
      <c r="I43" s="1"/>
      <c r="J43" s="5">
        <f t="shared" si="31"/>
        <v>-3.8605914201166801E-4</v>
      </c>
      <c r="K43" s="1"/>
      <c r="L43" s="1">
        <f t="shared" si="32"/>
        <v>22.66</v>
      </c>
      <c r="M43" s="1"/>
      <c r="N43" s="5">
        <f t="shared" si="33"/>
        <v>-1</v>
      </c>
      <c r="O43" s="13"/>
      <c r="P43" s="1">
        <f>SUM(OSRRefP22_3x_0)</f>
        <v>0</v>
      </c>
      <c r="Q43" s="1"/>
      <c r="R43" s="5">
        <f t="shared" si="34"/>
        <v>0</v>
      </c>
      <c r="S43" s="1"/>
      <c r="T43" s="1">
        <f>SUM(OSRRefT22_3x_0)</f>
        <v>-113.47</v>
      </c>
      <c r="U43" s="1"/>
      <c r="V43" s="5">
        <f t="shared" si="35"/>
        <v>-3.8092317151926041E-4</v>
      </c>
      <c r="W43" s="1"/>
      <c r="X43" s="1">
        <f t="shared" si="36"/>
        <v>113.47</v>
      </c>
      <c r="Y43" s="1"/>
      <c r="Z43" s="5">
        <f t="shared" si="37"/>
        <v>-1</v>
      </c>
    </row>
    <row r="44" spans="1:26" s="24" customFormat="1" hidden="1" outlineLevel="2" x14ac:dyDescent="0.25">
      <c r="A44" s="25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30"/>
        <v>0</v>
      </c>
      <c r="G44" s="2"/>
      <c r="H44" s="6">
        <v>-22.66</v>
      </c>
      <c r="I44" s="2"/>
      <c r="J44" s="7">
        <f t="shared" si="31"/>
        <v>-3.8605914201166801E-4</v>
      </c>
      <c r="K44" s="2"/>
      <c r="L44" s="6">
        <f t="shared" si="32"/>
        <v>22.66</v>
      </c>
      <c r="M44" s="2"/>
      <c r="N44" s="7">
        <f t="shared" si="33"/>
        <v>-1</v>
      </c>
      <c r="O44" s="11"/>
      <c r="P44" s="6"/>
      <c r="Q44" s="2"/>
      <c r="R44" s="7">
        <f t="shared" si="34"/>
        <v>0</v>
      </c>
      <c r="S44" s="2"/>
      <c r="T44" s="6">
        <v>-113.47</v>
      </c>
      <c r="U44" s="2"/>
      <c r="V44" s="7">
        <f t="shared" si="35"/>
        <v>-3.8092317151926041E-4</v>
      </c>
      <c r="W44" s="2"/>
      <c r="X44" s="6">
        <f t="shared" si="36"/>
        <v>113.47</v>
      </c>
      <c r="Y44" s="2"/>
      <c r="Z44" s="7">
        <f t="shared" si="37"/>
        <v>-1</v>
      </c>
    </row>
    <row r="45" spans="1:26" s="26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0</v>
      </c>
      <c r="E45" s="1"/>
      <c r="F45" s="5">
        <f t="shared" si="30"/>
        <v>0</v>
      </c>
      <c r="G45" s="1"/>
      <c r="H45" s="1">
        <f>SUM(OSRRefH22_4x_0)</f>
        <v>2258.17</v>
      </c>
      <c r="I45" s="1"/>
      <c r="J45" s="5">
        <f t="shared" si="31"/>
        <v>3.8472514241680862E-2</v>
      </c>
      <c r="K45" s="1"/>
      <c r="L45" s="1">
        <f t="shared" si="32"/>
        <v>-2258.17</v>
      </c>
      <c r="M45" s="1"/>
      <c r="N45" s="5">
        <f t="shared" si="33"/>
        <v>-1</v>
      </c>
      <c r="O45" s="13"/>
      <c r="P45" s="1">
        <f>SUM(OSRRefP22_4x_0)</f>
        <v>240</v>
      </c>
      <c r="Q45" s="1"/>
      <c r="R45" s="5">
        <f t="shared" si="34"/>
        <v>0</v>
      </c>
      <c r="S45" s="1"/>
      <c r="T45" s="1">
        <f>SUM(OSRRefT22_4x_0)</f>
        <v>10056.969999999999</v>
      </c>
      <c r="U45" s="1"/>
      <c r="V45" s="5">
        <f t="shared" si="35"/>
        <v>3.3761636628836314E-2</v>
      </c>
      <c r="W45" s="1"/>
      <c r="X45" s="1">
        <f t="shared" si="36"/>
        <v>-9816.9699999999993</v>
      </c>
      <c r="Y45" s="1"/>
      <c r="Z45" s="5">
        <f t="shared" si="37"/>
        <v>-0.97613595347306392</v>
      </c>
    </row>
    <row r="46" spans="1:26" s="24" customFormat="1" hidden="1" outlineLevel="2" x14ac:dyDescent="0.25">
      <c r="A46" s="25"/>
      <c r="B46" s="11" t="str">
        <f>CONCATENATE("          ", "6381", " - ", "BANK/CREDIT CARD FEES")</f>
        <v xml:space="preserve">          6381 - BANK/CREDIT CARD FEES</v>
      </c>
      <c r="C46" s="11"/>
      <c r="D46" s="6"/>
      <c r="E46" s="2"/>
      <c r="F46" s="7">
        <f t="shared" si="30"/>
        <v>0</v>
      </c>
      <c r="G46" s="2"/>
      <c r="H46" s="6">
        <v>2258.17</v>
      </c>
      <c r="I46" s="2"/>
      <c r="J46" s="7">
        <f t="shared" si="31"/>
        <v>3.8472514241680862E-2</v>
      </c>
      <c r="K46" s="2"/>
      <c r="L46" s="6">
        <f t="shared" si="32"/>
        <v>-2258.17</v>
      </c>
      <c r="M46" s="2"/>
      <c r="N46" s="7">
        <f t="shared" si="33"/>
        <v>-1</v>
      </c>
      <c r="O46" s="11"/>
      <c r="P46" s="6">
        <v>240</v>
      </c>
      <c r="Q46" s="2"/>
      <c r="R46" s="7">
        <f t="shared" si="34"/>
        <v>0</v>
      </c>
      <c r="S46" s="2"/>
      <c r="T46" s="6">
        <v>10056.969999999999</v>
      </c>
      <c r="U46" s="2"/>
      <c r="V46" s="7">
        <f t="shared" si="35"/>
        <v>3.3761636628836314E-2</v>
      </c>
      <c r="W46" s="2"/>
      <c r="X46" s="6">
        <f t="shared" si="36"/>
        <v>-9816.9699999999993</v>
      </c>
      <c r="Y46" s="2"/>
      <c r="Z46" s="7">
        <f t="shared" si="37"/>
        <v>-0.97613595347306392</v>
      </c>
    </row>
    <row r="47" spans="1:26" s="26" customFormat="1" outlineLevel="1" collapsed="1" x14ac:dyDescent="0.25">
      <c r="A47" s="27"/>
      <c r="B47" s="13" t="str">
        <f>CONCATENATE("     ","Discounts and Markdowns                           ")</f>
        <v xml:space="preserve">     Discounts and Markdowns                           </v>
      </c>
      <c r="C47" s="13"/>
      <c r="D47" s="1">
        <f>SUM(OSRRefD22_5x_0)</f>
        <v>0</v>
      </c>
      <c r="E47" s="1"/>
      <c r="F47" s="5">
        <f t="shared" si="30"/>
        <v>0</v>
      </c>
      <c r="G47" s="1"/>
      <c r="H47" s="1">
        <f>SUM(OSRRefH22_5x_0)</f>
        <v>10.59</v>
      </c>
      <c r="I47" s="1"/>
      <c r="J47" s="5">
        <f t="shared" si="31"/>
        <v>1.8042216742734175E-4</v>
      </c>
      <c r="K47" s="1"/>
      <c r="L47" s="1">
        <f t="shared" si="32"/>
        <v>-10.59</v>
      </c>
      <c r="M47" s="1"/>
      <c r="N47" s="5">
        <f t="shared" si="33"/>
        <v>-1</v>
      </c>
      <c r="O47" s="13"/>
      <c r="P47" s="1">
        <f>SUM(OSRRefP22_5x_0)</f>
        <v>0</v>
      </c>
      <c r="Q47" s="1"/>
      <c r="R47" s="5">
        <f t="shared" si="34"/>
        <v>0</v>
      </c>
      <c r="S47" s="1"/>
      <c r="T47" s="1">
        <f>SUM(OSRRefT22_5x_0)</f>
        <v>59.75</v>
      </c>
      <c r="U47" s="1"/>
      <c r="V47" s="5">
        <f t="shared" si="35"/>
        <v>2.0058305718053944E-4</v>
      </c>
      <c r="W47" s="1"/>
      <c r="X47" s="1">
        <f t="shared" si="36"/>
        <v>-59.75</v>
      </c>
      <c r="Y47" s="1"/>
      <c r="Z47" s="5">
        <f t="shared" si="37"/>
        <v>-1</v>
      </c>
    </row>
    <row r="48" spans="1:26" s="24" customFormat="1" hidden="1" outlineLevel="2" x14ac:dyDescent="0.25">
      <c r="A48" s="25"/>
      <c r="B48" s="11" t="str">
        <f>CONCATENATE("          ", "6382", " - ", "DISCOUNTS/MARK DOWNS")</f>
        <v xml:space="preserve">          6382 - DISCOUNTS/MARK DOWNS</v>
      </c>
      <c r="C48" s="11"/>
      <c r="D48" s="6"/>
      <c r="E48" s="2"/>
      <c r="F48" s="7">
        <f t="shared" si="30"/>
        <v>0</v>
      </c>
      <c r="G48" s="2"/>
      <c r="H48" s="6">
        <v>10.59</v>
      </c>
      <c r="I48" s="2"/>
      <c r="J48" s="7">
        <f t="shared" si="31"/>
        <v>1.8042216742734175E-4</v>
      </c>
      <c r="K48" s="2"/>
      <c r="L48" s="6">
        <f t="shared" si="32"/>
        <v>-10.59</v>
      </c>
      <c r="M48" s="2"/>
      <c r="N48" s="7">
        <f t="shared" si="33"/>
        <v>-1</v>
      </c>
      <c r="O48" s="11"/>
      <c r="P48" s="6"/>
      <c r="Q48" s="2"/>
      <c r="R48" s="7">
        <f t="shared" si="34"/>
        <v>0</v>
      </c>
      <c r="S48" s="2"/>
      <c r="T48" s="6">
        <v>59.75</v>
      </c>
      <c r="U48" s="2"/>
      <c r="V48" s="7">
        <f t="shared" si="35"/>
        <v>2.0058305718053944E-4</v>
      </c>
      <c r="W48" s="2"/>
      <c r="X48" s="6">
        <f t="shared" si="36"/>
        <v>-59.75</v>
      </c>
      <c r="Y48" s="2"/>
      <c r="Z48" s="7">
        <f t="shared" si="37"/>
        <v>-1</v>
      </c>
    </row>
    <row r="49" spans="1:26" s="26" customFormat="1" outlineLevel="1" collapsed="1" x14ac:dyDescent="0.25">
      <c r="A49" s="27"/>
      <c r="B49" s="13" t="str">
        <f>CONCATENATE("     ","Freight out/Postage                               ")</f>
        <v xml:space="preserve">     Freight out/Postage                               </v>
      </c>
      <c r="C49" s="13"/>
      <c r="D49" s="1">
        <f>SUM(OSRRefD22_6x_0)</f>
        <v>9.9</v>
      </c>
      <c r="E49" s="1"/>
      <c r="F49" s="5">
        <f t="shared" si="30"/>
        <v>0</v>
      </c>
      <c r="G49" s="1"/>
      <c r="H49" s="1">
        <f>SUM(OSRRefH22_6x_0)</f>
        <v>17.329999999999998</v>
      </c>
      <c r="I49" s="1"/>
      <c r="J49" s="5">
        <f t="shared" si="31"/>
        <v>2.9525176218279811E-4</v>
      </c>
      <c r="K49" s="1"/>
      <c r="L49" s="1">
        <f t="shared" si="32"/>
        <v>-7.4299999999999979</v>
      </c>
      <c r="M49" s="1"/>
      <c r="N49" s="5">
        <f t="shared" si="33"/>
        <v>-0.42873629544143099</v>
      </c>
      <c r="O49" s="13"/>
      <c r="P49" s="1">
        <f>SUM(OSRRefP22_6x_0)</f>
        <v>105.33</v>
      </c>
      <c r="Q49" s="1"/>
      <c r="R49" s="5">
        <f t="shared" si="34"/>
        <v>0</v>
      </c>
      <c r="S49" s="1"/>
      <c r="T49" s="1">
        <f>SUM(OSRRefT22_6x_0)</f>
        <v>188.61</v>
      </c>
      <c r="U49" s="1"/>
      <c r="V49" s="5">
        <f t="shared" si="35"/>
        <v>6.3317105296772469E-4</v>
      </c>
      <c r="W49" s="1"/>
      <c r="X49" s="1">
        <f t="shared" si="36"/>
        <v>-83.280000000000015</v>
      </c>
      <c r="Y49" s="1"/>
      <c r="Z49" s="5">
        <f t="shared" si="37"/>
        <v>-0.44154604739939562</v>
      </c>
    </row>
    <row r="50" spans="1:26" s="24" customFormat="1" hidden="1" outlineLevel="2" x14ac:dyDescent="0.25">
      <c r="A50" s="25"/>
      <c r="B50" s="11" t="str">
        <f>CONCATENATE("          ", "6305", " - ", "FREIGHT OUT")</f>
        <v xml:space="preserve">          6305 - FREIGHT OUT</v>
      </c>
      <c r="C50" s="11"/>
      <c r="D50" s="6">
        <v>9.9</v>
      </c>
      <c r="E50" s="2"/>
      <c r="F50" s="7">
        <f t="shared" si="30"/>
        <v>0</v>
      </c>
      <c r="G50" s="2"/>
      <c r="H50" s="6">
        <v>17.329999999999998</v>
      </c>
      <c r="I50" s="2"/>
      <c r="J50" s="7">
        <f t="shared" si="31"/>
        <v>2.9525176218279811E-4</v>
      </c>
      <c r="K50" s="2"/>
      <c r="L50" s="6">
        <f t="shared" si="32"/>
        <v>-7.4299999999999979</v>
      </c>
      <c r="M50" s="2"/>
      <c r="N50" s="7">
        <f t="shared" si="33"/>
        <v>-0.42873629544143099</v>
      </c>
      <c r="O50" s="11"/>
      <c r="P50" s="6">
        <v>105.33</v>
      </c>
      <c r="Q50" s="2"/>
      <c r="R50" s="7">
        <f t="shared" si="34"/>
        <v>0</v>
      </c>
      <c r="S50" s="2"/>
      <c r="T50" s="6">
        <v>188.61</v>
      </c>
      <c r="U50" s="2"/>
      <c r="V50" s="7">
        <f t="shared" si="35"/>
        <v>6.3317105296772469E-4</v>
      </c>
      <c r="W50" s="2"/>
      <c r="X50" s="6">
        <f t="shared" si="36"/>
        <v>-83.280000000000015</v>
      </c>
      <c r="Y50" s="2"/>
      <c r="Z50" s="7">
        <f t="shared" si="37"/>
        <v>-0.44154604739939562</v>
      </c>
    </row>
    <row r="51" spans="1:26" s="26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SUM(OSRRefD22_7x_0)</f>
        <v>0</v>
      </c>
      <c r="E51" s="1"/>
      <c r="F51" s="5">
        <f t="shared" si="30"/>
        <v>0</v>
      </c>
      <c r="G51" s="1"/>
      <c r="H51" s="1">
        <f>SUM(OSRRefH22_7x_0)</f>
        <v>43.35</v>
      </c>
      <c r="I51" s="1"/>
      <c r="J51" s="5">
        <f t="shared" si="31"/>
        <v>7.3855533125356614E-4</v>
      </c>
      <c r="K51" s="1"/>
      <c r="L51" s="1">
        <f t="shared" si="32"/>
        <v>-43.35</v>
      </c>
      <c r="M51" s="1"/>
      <c r="N51" s="5">
        <f t="shared" si="33"/>
        <v>-1</v>
      </c>
      <c r="O51" s="13"/>
      <c r="P51" s="1">
        <f>SUM(OSRRefP22_7x_0)</f>
        <v>0</v>
      </c>
      <c r="Q51" s="1"/>
      <c r="R51" s="5">
        <f t="shared" si="34"/>
        <v>0</v>
      </c>
      <c r="S51" s="1"/>
      <c r="T51" s="1">
        <f>SUM(OSRRefT22_7x_0)</f>
        <v>951.7</v>
      </c>
      <c r="U51" s="1"/>
      <c r="V51" s="5">
        <f t="shared" si="35"/>
        <v>3.1948936488488604E-3</v>
      </c>
      <c r="W51" s="1"/>
      <c r="X51" s="1">
        <f t="shared" si="36"/>
        <v>-951.7</v>
      </c>
      <c r="Y51" s="1"/>
      <c r="Z51" s="5">
        <f t="shared" si="37"/>
        <v>-1</v>
      </c>
    </row>
    <row r="52" spans="1:26" s="24" customFormat="1" hidden="1" outlineLevel="2" x14ac:dyDescent="0.25">
      <c r="A52" s="25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30"/>
        <v>0</v>
      </c>
      <c r="G52" s="2"/>
      <c r="H52" s="6">
        <v>43.35</v>
      </c>
      <c r="I52" s="2"/>
      <c r="J52" s="7">
        <f t="shared" si="31"/>
        <v>7.3855533125356614E-4</v>
      </c>
      <c r="K52" s="2"/>
      <c r="L52" s="6">
        <f t="shared" si="32"/>
        <v>-43.35</v>
      </c>
      <c r="M52" s="2"/>
      <c r="N52" s="7">
        <f t="shared" si="33"/>
        <v>-1</v>
      </c>
      <c r="O52" s="11"/>
      <c r="P52" s="6"/>
      <c r="Q52" s="2"/>
      <c r="R52" s="7">
        <f t="shared" si="34"/>
        <v>0</v>
      </c>
      <c r="S52" s="2"/>
      <c r="T52" s="6">
        <v>951.7</v>
      </c>
      <c r="U52" s="2"/>
      <c r="V52" s="7">
        <f t="shared" si="35"/>
        <v>3.1948936488488604E-3</v>
      </c>
      <c r="W52" s="2"/>
      <c r="X52" s="6">
        <f t="shared" si="36"/>
        <v>-951.7</v>
      </c>
      <c r="Y52" s="2"/>
      <c r="Z52" s="7">
        <f t="shared" si="37"/>
        <v>-1</v>
      </c>
    </row>
    <row r="53" spans="1:26" s="26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SUM(OSRRefD22_8x_0)</f>
        <v>0</v>
      </c>
      <c r="E53" s="1"/>
      <c r="F53" s="5">
        <f t="shared" si="30"/>
        <v>0</v>
      </c>
      <c r="G53" s="1"/>
      <c r="H53" s="1">
        <f>SUM(OSRRefH22_8x_0)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3"/>
      <c r="P53" s="1">
        <f>SUM(OSRRefP22_8x_0)</f>
        <v>24.12</v>
      </c>
      <c r="Q53" s="1"/>
      <c r="R53" s="5">
        <f t="shared" si="34"/>
        <v>0</v>
      </c>
      <c r="S53" s="1"/>
      <c r="T53" s="1">
        <f>SUM(OSRRefT22_8x_0)</f>
        <v>1040.72</v>
      </c>
      <c r="U53" s="1"/>
      <c r="V53" s="5">
        <f t="shared" si="35"/>
        <v>3.4937372262582598E-3</v>
      </c>
      <c r="W53" s="1"/>
      <c r="X53" s="1">
        <f t="shared" si="36"/>
        <v>-1016.6</v>
      </c>
      <c r="Y53" s="1"/>
      <c r="Z53" s="5">
        <f t="shared" si="37"/>
        <v>-0.97682373741256057</v>
      </c>
    </row>
    <row r="54" spans="1:26" s="24" customFormat="1" hidden="1" outlineLevel="2" x14ac:dyDescent="0.25">
      <c r="A54" s="25"/>
      <c r="B54" s="11" t="str">
        <f>CONCATENATE("          ", "6371", " - ", "COMPUTER SOFTWARE MAINTENANCE")</f>
        <v xml:space="preserve">          6371 - COMPUTER SOFTWARE MAINTENANCE</v>
      </c>
      <c r="C54" s="11"/>
      <c r="D54" s="6"/>
      <c r="E54" s="2"/>
      <c r="F54" s="7">
        <f t="shared" si="30"/>
        <v>0</v>
      </c>
      <c r="G54" s="2"/>
      <c r="H54" s="6"/>
      <c r="I54" s="2"/>
      <c r="J54" s="7">
        <f t="shared" si="31"/>
        <v>0</v>
      </c>
      <c r="K54" s="2"/>
      <c r="L54" s="6">
        <f t="shared" si="32"/>
        <v>0</v>
      </c>
      <c r="M54" s="2"/>
      <c r="N54" s="7">
        <f t="shared" si="33"/>
        <v>0</v>
      </c>
      <c r="O54" s="11"/>
      <c r="P54" s="6"/>
      <c r="Q54" s="2"/>
      <c r="R54" s="7">
        <f t="shared" si="34"/>
        <v>0</v>
      </c>
      <c r="S54" s="2"/>
      <c r="T54" s="6">
        <v>437.31</v>
      </c>
      <c r="U54" s="2"/>
      <c r="V54" s="7">
        <f t="shared" si="35"/>
        <v>1.4680665562447146E-3</v>
      </c>
      <c r="W54" s="2"/>
      <c r="X54" s="6">
        <f t="shared" si="36"/>
        <v>-437.31</v>
      </c>
      <c r="Y54" s="2"/>
      <c r="Z54" s="7">
        <f t="shared" si="37"/>
        <v>-1</v>
      </c>
    </row>
    <row r="55" spans="1:26" s="24" customFormat="1" hidden="1" outlineLevel="2" x14ac:dyDescent="0.25">
      <c r="A55" s="25"/>
      <c r="B55" s="11" t="str">
        <f>CONCATENATE("          ", "6373", " - ", "MAINTENANCE CONTRACTS")</f>
        <v xml:space="preserve">          6373 - MAINTENANCE CONTRACTS</v>
      </c>
      <c r="C55" s="11"/>
      <c r="D55" s="6"/>
      <c r="E55" s="2"/>
      <c r="F55" s="7">
        <f t="shared" si="30"/>
        <v>0</v>
      </c>
      <c r="G55" s="2"/>
      <c r="H55" s="6"/>
      <c r="I55" s="2"/>
      <c r="J55" s="7">
        <f t="shared" si="31"/>
        <v>0</v>
      </c>
      <c r="K55" s="2"/>
      <c r="L55" s="6">
        <f t="shared" si="32"/>
        <v>0</v>
      </c>
      <c r="M55" s="2"/>
      <c r="N55" s="7">
        <f t="shared" si="33"/>
        <v>0</v>
      </c>
      <c r="O55" s="11"/>
      <c r="P55" s="6">
        <v>24.12</v>
      </c>
      <c r="Q55" s="2"/>
      <c r="R55" s="7">
        <f t="shared" si="34"/>
        <v>0</v>
      </c>
      <c r="S55" s="2"/>
      <c r="T55" s="6">
        <v>22.83</v>
      </c>
      <c r="U55" s="2"/>
      <c r="V55" s="7">
        <f t="shared" si="35"/>
        <v>7.6641191555342511E-5</v>
      </c>
      <c r="W55" s="2"/>
      <c r="X55" s="6">
        <f t="shared" si="36"/>
        <v>1.2900000000000027</v>
      </c>
      <c r="Y55" s="2"/>
      <c r="Z55" s="7">
        <f t="shared" si="37"/>
        <v>5.6504599211563852E-2</v>
      </c>
    </row>
    <row r="56" spans="1:26" s="24" customFormat="1" hidden="1" outlineLevel="2" x14ac:dyDescent="0.25">
      <c r="A56" s="25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30"/>
        <v>0</v>
      </c>
      <c r="G56" s="2"/>
      <c r="H56" s="6"/>
      <c r="I56" s="2"/>
      <c r="J56" s="7">
        <f t="shared" si="31"/>
        <v>0</v>
      </c>
      <c r="K56" s="2"/>
      <c r="L56" s="6">
        <f t="shared" si="32"/>
        <v>0</v>
      </c>
      <c r="M56" s="2"/>
      <c r="N56" s="7">
        <f t="shared" si="33"/>
        <v>0</v>
      </c>
      <c r="O56" s="11"/>
      <c r="P56" s="6"/>
      <c r="Q56" s="2"/>
      <c r="R56" s="7">
        <f t="shared" si="34"/>
        <v>0</v>
      </c>
      <c r="S56" s="2"/>
      <c r="T56" s="6">
        <v>580.58000000000004</v>
      </c>
      <c r="U56" s="2"/>
      <c r="V56" s="7">
        <f t="shared" si="35"/>
        <v>1.9490294784582024E-3</v>
      </c>
      <c r="W56" s="2"/>
      <c r="X56" s="6">
        <f t="shared" si="36"/>
        <v>-580.58000000000004</v>
      </c>
      <c r="Y56" s="2"/>
      <c r="Z56" s="7">
        <f t="shared" si="37"/>
        <v>-1</v>
      </c>
    </row>
    <row r="57" spans="1:26" s="26" customFormat="1" outlineLevel="1" collapsed="1" x14ac:dyDescent="0.25">
      <c r="A57" s="27"/>
      <c r="B57" s="13" t="str">
        <f>CONCATENATE("     ","Services                                          ")</f>
        <v xml:space="preserve">     Services                                          </v>
      </c>
      <c r="C57" s="13"/>
      <c r="D57" s="1">
        <f>SUM(OSRRefD22_9x_0)</f>
        <v>0</v>
      </c>
      <c r="E57" s="1"/>
      <c r="F57" s="5">
        <f t="shared" ref="F57:F64" si="38">IF(D$12=0,0,D57/D$12)</f>
        <v>0</v>
      </c>
      <c r="G57" s="1"/>
      <c r="H57" s="1">
        <f>SUM(OSRRefH22_9x_0)</f>
        <v>103.35</v>
      </c>
      <c r="I57" s="1"/>
      <c r="J57" s="5">
        <f t="shared" ref="J57:J64" si="39">IF(H$12=0,0,H57/H$12)</f>
        <v>1.7607772430232077E-3</v>
      </c>
      <c r="K57" s="1"/>
      <c r="L57" s="1">
        <f t="shared" ref="L57:L64" si="40">+D57-H57</f>
        <v>-103.35</v>
      </c>
      <c r="M57" s="1"/>
      <c r="N57" s="5">
        <f t="shared" ref="N57:N64" si="41">IF(H57=0,0,L57/H57)</f>
        <v>-1</v>
      </c>
      <c r="O57" s="13"/>
      <c r="P57" s="1">
        <f>SUM(OSRRefP22_9x_0)</f>
        <v>0</v>
      </c>
      <c r="Q57" s="1"/>
      <c r="R57" s="5">
        <f t="shared" ref="R57:R64" si="42">IF(P$12=0,0,P57/P$12)</f>
        <v>0</v>
      </c>
      <c r="S57" s="1"/>
      <c r="T57" s="1">
        <f>SUM(OSRRefT22_9x_0)</f>
        <v>732.46</v>
      </c>
      <c r="U57" s="1"/>
      <c r="V57" s="5">
        <f t="shared" ref="V57:V64" si="43">IF(T$12=0,0,T57/T$12)</f>
        <v>2.4588965031373711E-3</v>
      </c>
      <c r="W57" s="1"/>
      <c r="X57" s="1">
        <f t="shared" ref="X57:X64" si="44">+P57-T57</f>
        <v>-732.46</v>
      </c>
      <c r="Y57" s="1"/>
      <c r="Z57" s="5">
        <f t="shared" ref="Z57:Z64" si="45">IF(T57=0,0,X57/T57)</f>
        <v>-1</v>
      </c>
    </row>
    <row r="58" spans="1:26" s="24" customFormat="1" hidden="1" outlineLevel="2" x14ac:dyDescent="0.25">
      <c r="A58" s="25"/>
      <c r="B58" s="11" t="str">
        <f>CONCATENATE("          ", "6286", " - ", "LAUNDRY EXPENSE")</f>
        <v xml:space="preserve">          6286 - LAUNDRY EXPENSE</v>
      </c>
      <c r="C58" s="11"/>
      <c r="D58" s="6"/>
      <c r="E58" s="2"/>
      <c r="F58" s="7">
        <f t="shared" si="38"/>
        <v>0</v>
      </c>
      <c r="G58" s="2"/>
      <c r="H58" s="6">
        <v>103.35</v>
      </c>
      <c r="I58" s="2"/>
      <c r="J58" s="7">
        <f t="shared" si="39"/>
        <v>1.7607772430232077E-3</v>
      </c>
      <c r="K58" s="2"/>
      <c r="L58" s="6">
        <f t="shared" si="40"/>
        <v>-103.35</v>
      </c>
      <c r="M58" s="2"/>
      <c r="N58" s="7">
        <f t="shared" si="41"/>
        <v>-1</v>
      </c>
      <c r="O58" s="11"/>
      <c r="P58" s="6"/>
      <c r="Q58" s="2"/>
      <c r="R58" s="7">
        <f t="shared" si="42"/>
        <v>0</v>
      </c>
      <c r="S58" s="2"/>
      <c r="T58" s="6">
        <v>732.46</v>
      </c>
      <c r="U58" s="2"/>
      <c r="V58" s="7">
        <f t="shared" si="43"/>
        <v>2.4588965031373711E-3</v>
      </c>
      <c r="W58" s="2"/>
      <c r="X58" s="6">
        <f t="shared" si="44"/>
        <v>-732.46</v>
      </c>
      <c r="Y58" s="2"/>
      <c r="Z58" s="7">
        <f t="shared" si="45"/>
        <v>-1</v>
      </c>
    </row>
    <row r="59" spans="1:26" s="26" customFormat="1" outlineLevel="1" collapsed="1" x14ac:dyDescent="0.25">
      <c r="A59" s="27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SUM(OSRRefD22_10x_0)</f>
        <v>0</v>
      </c>
      <c r="E59" s="1"/>
      <c r="F59" s="5">
        <f t="shared" si="38"/>
        <v>0</v>
      </c>
      <c r="G59" s="1"/>
      <c r="H59" s="1">
        <f>SUM(OSRRefH22_10x_0)</f>
        <v>253.19</v>
      </c>
      <c r="I59" s="1"/>
      <c r="J59" s="5">
        <f t="shared" si="39"/>
        <v>4.3136060973492591E-3</v>
      </c>
      <c r="K59" s="1"/>
      <c r="L59" s="1">
        <f t="shared" si="40"/>
        <v>-253.19</v>
      </c>
      <c r="M59" s="1"/>
      <c r="N59" s="5">
        <f t="shared" si="41"/>
        <v>-1</v>
      </c>
      <c r="O59" s="13"/>
      <c r="P59" s="1">
        <f>SUM(OSRRefP22_10x_0)</f>
        <v>0</v>
      </c>
      <c r="Q59" s="1"/>
      <c r="R59" s="5">
        <f t="shared" si="42"/>
        <v>0</v>
      </c>
      <c r="S59" s="1"/>
      <c r="T59" s="1">
        <f>SUM(OSRRefT22_10x_0)</f>
        <v>3312.35</v>
      </c>
      <c r="U59" s="1"/>
      <c r="V59" s="5">
        <f t="shared" si="43"/>
        <v>1.1119686852752466E-2</v>
      </c>
      <c r="W59" s="1"/>
      <c r="X59" s="1">
        <f t="shared" si="44"/>
        <v>-3312.35</v>
      </c>
      <c r="Y59" s="1"/>
      <c r="Z59" s="5">
        <f t="shared" si="45"/>
        <v>-1</v>
      </c>
    </row>
    <row r="60" spans="1:26" s="24" customFormat="1" hidden="1" outlineLevel="2" x14ac:dyDescent="0.25">
      <c r="A60" s="25"/>
      <c r="B60" s="11" t="str">
        <f>CONCATENATE("          ", "6234", " - ", "EXPENDABLE SUPPLIES &amp; EQUIPMEN")</f>
        <v xml:space="preserve">          6234 - EXPENDABLE SUPPLIES &amp; EQUIPMEN</v>
      </c>
      <c r="C60" s="11"/>
      <c r="D60" s="6"/>
      <c r="E60" s="2"/>
      <c r="F60" s="7">
        <f t="shared" si="38"/>
        <v>0</v>
      </c>
      <c r="G60" s="2"/>
      <c r="H60" s="6"/>
      <c r="I60" s="2"/>
      <c r="J60" s="7">
        <f t="shared" si="39"/>
        <v>0</v>
      </c>
      <c r="K60" s="2"/>
      <c r="L60" s="6">
        <f t="shared" si="40"/>
        <v>0</v>
      </c>
      <c r="M60" s="2"/>
      <c r="N60" s="7">
        <f t="shared" si="41"/>
        <v>0</v>
      </c>
      <c r="O60" s="11"/>
      <c r="P60" s="6"/>
      <c r="Q60" s="2"/>
      <c r="R60" s="7">
        <f t="shared" si="42"/>
        <v>0</v>
      </c>
      <c r="S60" s="2"/>
      <c r="T60" s="6">
        <v>354.82</v>
      </c>
      <c r="U60" s="2"/>
      <c r="V60" s="7">
        <f t="shared" si="43"/>
        <v>1.1911444409840838E-3</v>
      </c>
      <c r="W60" s="2"/>
      <c r="X60" s="6">
        <f t="shared" si="44"/>
        <v>-354.82</v>
      </c>
      <c r="Y60" s="2"/>
      <c r="Z60" s="7">
        <f t="shared" si="45"/>
        <v>-1</v>
      </c>
    </row>
    <row r="61" spans="1:26" s="24" customFormat="1" hidden="1" outlineLevel="2" x14ac:dyDescent="0.25">
      <c r="A61" s="25"/>
      <c r="B61" s="11" t="str">
        <f>CONCATENATE("          ", "6237", " - ", "JANITORIAL SUPPLIES")</f>
        <v xml:space="preserve">          6237 - JANITORIAL SUPPLIES</v>
      </c>
      <c r="C61" s="11"/>
      <c r="D61" s="6"/>
      <c r="E61" s="2"/>
      <c r="F61" s="7">
        <f t="shared" si="38"/>
        <v>0</v>
      </c>
      <c r="G61" s="2"/>
      <c r="H61" s="6"/>
      <c r="I61" s="2"/>
      <c r="J61" s="7">
        <f t="shared" si="39"/>
        <v>0</v>
      </c>
      <c r="K61" s="2"/>
      <c r="L61" s="6">
        <f t="shared" si="40"/>
        <v>0</v>
      </c>
      <c r="M61" s="2"/>
      <c r="N61" s="7">
        <f t="shared" si="41"/>
        <v>0</v>
      </c>
      <c r="O61" s="11"/>
      <c r="P61" s="6"/>
      <c r="Q61" s="2"/>
      <c r="R61" s="7">
        <f t="shared" si="42"/>
        <v>0</v>
      </c>
      <c r="S61" s="2"/>
      <c r="T61" s="6">
        <v>151.25</v>
      </c>
      <c r="U61" s="2"/>
      <c r="V61" s="7">
        <f t="shared" si="43"/>
        <v>5.0775209035241152E-4</v>
      </c>
      <c r="W61" s="2"/>
      <c r="X61" s="6">
        <f t="shared" si="44"/>
        <v>-151.25</v>
      </c>
      <c r="Y61" s="2"/>
      <c r="Z61" s="7">
        <f t="shared" si="45"/>
        <v>-1</v>
      </c>
    </row>
    <row r="62" spans="1:26" s="24" customFormat="1" hidden="1" outlineLevel="2" x14ac:dyDescent="0.25">
      <c r="A62" s="25"/>
      <c r="B62" s="11" t="str">
        <f>CONCATENATE("          ", "6241", " - ", "OFFICE EXPENSE")</f>
        <v xml:space="preserve">          6241 - OFFICE EXPENSE</v>
      </c>
      <c r="C62" s="11"/>
      <c r="D62" s="6"/>
      <c r="E62" s="2"/>
      <c r="F62" s="7">
        <f t="shared" si="38"/>
        <v>0</v>
      </c>
      <c r="G62" s="2"/>
      <c r="H62" s="6">
        <v>67.34</v>
      </c>
      <c r="I62" s="2"/>
      <c r="J62" s="7">
        <f t="shared" si="39"/>
        <v>1.1472737256427944E-3</v>
      </c>
      <c r="K62" s="2"/>
      <c r="L62" s="6">
        <f t="shared" si="40"/>
        <v>-67.34</v>
      </c>
      <c r="M62" s="2"/>
      <c r="N62" s="7">
        <f t="shared" si="41"/>
        <v>-1</v>
      </c>
      <c r="O62" s="11"/>
      <c r="P62" s="6"/>
      <c r="Q62" s="2"/>
      <c r="R62" s="7">
        <f t="shared" si="42"/>
        <v>0</v>
      </c>
      <c r="S62" s="2"/>
      <c r="T62" s="6">
        <v>328.56</v>
      </c>
      <c r="U62" s="2"/>
      <c r="V62" s="7">
        <f t="shared" si="43"/>
        <v>1.1029886069830635E-3</v>
      </c>
      <c r="W62" s="2"/>
      <c r="X62" s="6">
        <f t="shared" si="44"/>
        <v>-328.56</v>
      </c>
      <c r="Y62" s="2"/>
      <c r="Z62" s="7">
        <f t="shared" si="45"/>
        <v>-1</v>
      </c>
    </row>
    <row r="63" spans="1:26" s="24" customFormat="1" hidden="1" outlineLevel="2" x14ac:dyDescent="0.25">
      <c r="A63" s="25"/>
      <c r="B63" s="11" t="str">
        <f>CONCATENATE("          ", "6245", " - ", "PRINTING")</f>
        <v xml:space="preserve">          6245 - PRINTING</v>
      </c>
      <c r="C63" s="11"/>
      <c r="D63" s="6"/>
      <c r="E63" s="2"/>
      <c r="F63" s="7">
        <f t="shared" si="38"/>
        <v>0</v>
      </c>
      <c r="G63" s="2"/>
      <c r="H63" s="6">
        <v>37.44</v>
      </c>
      <c r="I63" s="2"/>
      <c r="J63" s="7">
        <f t="shared" si="39"/>
        <v>6.378664729442563E-4</v>
      </c>
      <c r="K63" s="2"/>
      <c r="L63" s="6">
        <f t="shared" si="40"/>
        <v>-37.44</v>
      </c>
      <c r="M63" s="2"/>
      <c r="N63" s="7">
        <f t="shared" si="41"/>
        <v>-1</v>
      </c>
      <c r="O63" s="11"/>
      <c r="P63" s="6"/>
      <c r="Q63" s="2"/>
      <c r="R63" s="7">
        <f t="shared" si="42"/>
        <v>0</v>
      </c>
      <c r="S63" s="2"/>
      <c r="T63" s="6">
        <v>81.739999999999995</v>
      </c>
      <c r="U63" s="2"/>
      <c r="V63" s="7">
        <f t="shared" si="43"/>
        <v>2.7440433630020574E-4</v>
      </c>
      <c r="W63" s="2"/>
      <c r="X63" s="6">
        <f t="shared" si="44"/>
        <v>-81.739999999999995</v>
      </c>
      <c r="Y63" s="2"/>
      <c r="Z63" s="7">
        <f t="shared" si="45"/>
        <v>-1</v>
      </c>
    </row>
    <row r="64" spans="1:26" s="24" customFormat="1" hidden="1" outlineLevel="2" x14ac:dyDescent="0.25">
      <c r="A64" s="25"/>
      <c r="B64" s="11" t="str">
        <f>CONCATENATE("          ", "6247", " - ", "STORE SUPPLIES")</f>
        <v xml:space="preserve">          6247 - STORE SUPPLIES</v>
      </c>
      <c r="C64" s="11"/>
      <c r="D64" s="6"/>
      <c r="E64" s="2"/>
      <c r="F64" s="7">
        <f t="shared" si="38"/>
        <v>0</v>
      </c>
      <c r="G64" s="2"/>
      <c r="H64" s="6">
        <v>148.41</v>
      </c>
      <c r="I64" s="2"/>
      <c r="J64" s="7">
        <f t="shared" si="39"/>
        <v>2.5284658987622085E-3</v>
      </c>
      <c r="K64" s="2"/>
      <c r="L64" s="6">
        <f t="shared" si="40"/>
        <v>-148.41</v>
      </c>
      <c r="M64" s="2"/>
      <c r="N64" s="7">
        <f t="shared" si="41"/>
        <v>-1</v>
      </c>
      <c r="O64" s="11"/>
      <c r="P64" s="6"/>
      <c r="Q64" s="2"/>
      <c r="R64" s="7">
        <f t="shared" si="42"/>
        <v>0</v>
      </c>
      <c r="S64" s="2"/>
      <c r="T64" s="6">
        <v>2395.98</v>
      </c>
      <c r="U64" s="2"/>
      <c r="V64" s="7">
        <f t="shared" si="43"/>
        <v>8.0433973781327012E-3</v>
      </c>
      <c r="W64" s="2"/>
      <c r="X64" s="6">
        <f t="shared" si="44"/>
        <v>-2395.98</v>
      </c>
      <c r="Y64" s="2"/>
      <c r="Z64" s="7">
        <f t="shared" si="45"/>
        <v>-1</v>
      </c>
    </row>
    <row r="65" spans="1:26" s="26" customFormat="1" outlineLevel="1" collapsed="1" x14ac:dyDescent="0.25">
      <c r="A65" s="27"/>
      <c r="B65" s="13" t="str">
        <f>CONCATENATE("     ","Telephone/Data Lines                              ")</f>
        <v xml:space="preserve">     Telephone/Data Lines                              </v>
      </c>
      <c r="C65" s="13"/>
      <c r="D65" s="1">
        <f>SUM(OSRRefD22_11x_0)</f>
        <v>122</v>
      </c>
      <c r="E65" s="1"/>
      <c r="F65" s="5">
        <f t="shared" ref="F65:F68" si="46">IF(D$12=0,0,D65/D$12)</f>
        <v>0</v>
      </c>
      <c r="G65" s="1"/>
      <c r="H65" s="1">
        <f>SUM(OSRRefH22_11x_0)</f>
        <v>126.75</v>
      </c>
      <c r="I65" s="1"/>
      <c r="J65" s="5">
        <f t="shared" ref="J65:J68" si="47">IF(H$12=0,0,H65/H$12)</f>
        <v>2.1594437886133678E-3</v>
      </c>
      <c r="K65" s="1"/>
      <c r="L65" s="1">
        <f t="shared" ref="L65:L68" si="48">+D65-H65</f>
        <v>-4.75</v>
      </c>
      <c r="M65" s="1"/>
      <c r="N65" s="5">
        <f t="shared" ref="N65:N68" si="49">IF(H65=0,0,L65/H65)</f>
        <v>-3.7475345167652857E-2</v>
      </c>
      <c r="O65" s="13"/>
      <c r="P65" s="1">
        <f>SUM(OSRRefP22_11x_0)</f>
        <v>658.35</v>
      </c>
      <c r="Q65" s="1"/>
      <c r="R65" s="5">
        <f t="shared" ref="R65:R68" si="50">IF(P$12=0,0,P65/P$12)</f>
        <v>0</v>
      </c>
      <c r="S65" s="1"/>
      <c r="T65" s="1">
        <f>SUM(OSRRefT22_11x_0)</f>
        <v>574.6</v>
      </c>
      <c r="U65" s="1"/>
      <c r="V65" s="5">
        <f t="shared" ref="V65:V68" si="51">IF(T$12=0,0,T65/T$12)</f>
        <v>1.9289543875470789E-3</v>
      </c>
      <c r="W65" s="1"/>
      <c r="X65" s="1">
        <f t="shared" ref="X65:X68" si="52">+P65-T65</f>
        <v>83.75</v>
      </c>
      <c r="Y65" s="1"/>
      <c r="Z65" s="5">
        <f t="shared" ref="Z65:Z68" si="53">IF(T65=0,0,X65/T65)</f>
        <v>0.14575356769926906</v>
      </c>
    </row>
    <row r="66" spans="1:26" s="24" customFormat="1" hidden="1" outlineLevel="2" x14ac:dyDescent="0.25">
      <c r="A66" s="25"/>
      <c r="B66" s="11" t="str">
        <f>CONCATENATE("          ", "6309", " - ", "TELEPHONE")</f>
        <v xml:space="preserve">          6309 - TELEPHONE</v>
      </c>
      <c r="C66" s="11"/>
      <c r="D66" s="6">
        <v>122</v>
      </c>
      <c r="E66" s="2"/>
      <c r="F66" s="7">
        <f t="shared" si="46"/>
        <v>0</v>
      </c>
      <c r="G66" s="2"/>
      <c r="H66" s="6">
        <v>126.75</v>
      </c>
      <c r="I66" s="2"/>
      <c r="J66" s="7">
        <f t="shared" si="47"/>
        <v>2.1594437886133678E-3</v>
      </c>
      <c r="K66" s="2"/>
      <c r="L66" s="6">
        <f t="shared" si="48"/>
        <v>-4.75</v>
      </c>
      <c r="M66" s="2"/>
      <c r="N66" s="7">
        <f t="shared" si="49"/>
        <v>-3.7475345167652857E-2</v>
      </c>
      <c r="O66" s="11"/>
      <c r="P66" s="6">
        <v>658.35</v>
      </c>
      <c r="Q66" s="2"/>
      <c r="R66" s="7">
        <f t="shared" si="50"/>
        <v>0</v>
      </c>
      <c r="S66" s="2"/>
      <c r="T66" s="6">
        <v>574.6</v>
      </c>
      <c r="U66" s="2"/>
      <c r="V66" s="7">
        <f t="shared" si="51"/>
        <v>1.9289543875470789E-3</v>
      </c>
      <c r="W66" s="2"/>
      <c r="X66" s="6">
        <f t="shared" si="52"/>
        <v>83.75</v>
      </c>
      <c r="Y66" s="2"/>
      <c r="Z66" s="7">
        <f t="shared" si="53"/>
        <v>0.14575356769926906</v>
      </c>
    </row>
    <row r="67" spans="1:26" s="26" customFormat="1" outlineLevel="1" collapsed="1" x14ac:dyDescent="0.25">
      <c r="A67" s="27"/>
      <c r="B67" s="13" t="str">
        <f>CONCATENATE("     ","Training                                          ")</f>
        <v xml:space="preserve">     Training                                          </v>
      </c>
      <c r="C67" s="13"/>
      <c r="D67" s="1">
        <f>SUM(OSRRefD22_12x_0)</f>
        <v>0</v>
      </c>
      <c r="E67" s="1"/>
      <c r="F67" s="5">
        <f t="shared" si="46"/>
        <v>0</v>
      </c>
      <c r="G67" s="1"/>
      <c r="H67" s="1">
        <f>SUM(OSRRefH22_12x_0)</f>
        <v>0</v>
      </c>
      <c r="I67" s="1"/>
      <c r="J67" s="5">
        <f t="shared" si="47"/>
        <v>0</v>
      </c>
      <c r="K67" s="1"/>
      <c r="L67" s="1">
        <f t="shared" si="48"/>
        <v>0</v>
      </c>
      <c r="M67" s="1"/>
      <c r="N67" s="5">
        <f t="shared" si="49"/>
        <v>0</v>
      </c>
      <c r="O67" s="13"/>
      <c r="P67" s="1">
        <f>SUM(OSRRefP22_12x_0)</f>
        <v>0</v>
      </c>
      <c r="Q67" s="1"/>
      <c r="R67" s="5">
        <f t="shared" si="50"/>
        <v>0</v>
      </c>
      <c r="S67" s="1"/>
      <c r="T67" s="1">
        <f>SUM(OSRRefT22_12x_0)</f>
        <v>96</v>
      </c>
      <c r="U67" s="1"/>
      <c r="V67" s="5">
        <f t="shared" si="51"/>
        <v>3.2227570693442323E-4</v>
      </c>
      <c r="W67" s="1"/>
      <c r="X67" s="1">
        <f t="shared" si="52"/>
        <v>-96</v>
      </c>
      <c r="Y67" s="1"/>
      <c r="Z67" s="5">
        <f t="shared" si="53"/>
        <v>-1</v>
      </c>
    </row>
    <row r="68" spans="1:26" s="24" customFormat="1" hidden="1" outlineLevel="2" x14ac:dyDescent="0.25">
      <c r="A68" s="25"/>
      <c r="B68" s="11" t="str">
        <f>CONCATENATE("          ", "6376", " - ", "TRAINING")</f>
        <v xml:space="preserve">          6376 - TRAINING</v>
      </c>
      <c r="C68" s="11"/>
      <c r="D68" s="6"/>
      <c r="E68" s="2"/>
      <c r="F68" s="7">
        <f t="shared" si="46"/>
        <v>0</v>
      </c>
      <c r="G68" s="2"/>
      <c r="H68" s="6"/>
      <c r="I68" s="2"/>
      <c r="J68" s="7">
        <f t="shared" si="47"/>
        <v>0</v>
      </c>
      <c r="K68" s="2"/>
      <c r="L68" s="6">
        <f t="shared" si="48"/>
        <v>0</v>
      </c>
      <c r="M68" s="2"/>
      <c r="N68" s="7">
        <f t="shared" si="49"/>
        <v>0</v>
      </c>
      <c r="O68" s="11"/>
      <c r="P68" s="6"/>
      <c r="Q68" s="2"/>
      <c r="R68" s="7">
        <f t="shared" si="50"/>
        <v>0</v>
      </c>
      <c r="S68" s="2"/>
      <c r="T68" s="6">
        <v>96</v>
      </c>
      <c r="U68" s="2"/>
      <c r="V68" s="7">
        <f t="shared" si="51"/>
        <v>3.2227570693442323E-4</v>
      </c>
      <c r="W68" s="2"/>
      <c r="X68" s="6">
        <f t="shared" si="52"/>
        <v>-96</v>
      </c>
      <c r="Y68" s="2"/>
      <c r="Z68" s="7">
        <f t="shared" si="53"/>
        <v>-1</v>
      </c>
    </row>
    <row r="69" spans="1:26" s="53" customFormat="1" x14ac:dyDescent="0.25">
      <c r="A69" s="37"/>
      <c r="B69" s="37"/>
      <c r="C69" s="37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9" t="s">
        <v>0</v>
      </c>
      <c r="C70" s="10"/>
      <c r="D70" s="4">
        <f>SUM(0)</f>
        <v>0</v>
      </c>
      <c r="E70" s="4"/>
      <c r="F70" s="12">
        <f>IF(D$12=0,0,D70/D$12)</f>
        <v>0</v>
      </c>
      <c r="G70" s="4"/>
      <c r="H70" s="4">
        <f>SUM(0)</f>
        <v>0</v>
      </c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>
        <f>SUM(0)</f>
        <v>0</v>
      </c>
      <c r="Q70" s="4"/>
      <c r="R70" s="12">
        <f>IF(P$12=0,0,P70/P$12)</f>
        <v>0</v>
      </c>
      <c r="S70" s="4"/>
      <c r="T70" s="4">
        <f>SUM(0)</f>
        <v>0</v>
      </c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8" t="s">
        <v>3</v>
      </c>
      <c r="C72" s="28"/>
      <c r="D72" s="20">
        <f>+D23-D25+D70</f>
        <v>-6309.5499999999993</v>
      </c>
      <c r="E72" s="14"/>
      <c r="F72" s="22">
        <f>IF(D$12=0,0,D72/D$12)</f>
        <v>0</v>
      </c>
      <c r="G72" s="14"/>
      <c r="H72" s="20">
        <f>+H23-H25+H70</f>
        <v>13511.209999999995</v>
      </c>
      <c r="I72" s="14"/>
      <c r="J72" s="22">
        <f>IF(H$12=0,0,H72/H$12)</f>
        <v>0.2301909152753516</v>
      </c>
      <c r="K72" s="15"/>
      <c r="L72" s="20">
        <f>+D72-H72</f>
        <v>-19820.759999999995</v>
      </c>
      <c r="M72" s="15"/>
      <c r="N72" s="22">
        <f>IF(H72=0,0,L72/H72)</f>
        <v>-1.4669863024851217</v>
      </c>
      <c r="O72" s="29"/>
      <c r="P72" s="20">
        <f>+P23-P25+P70</f>
        <v>-43361.320000000007</v>
      </c>
      <c r="Q72" s="14"/>
      <c r="R72" s="22">
        <f>IF(P$12=0,0,P72/P$12)</f>
        <v>0</v>
      </c>
      <c r="S72" s="14"/>
      <c r="T72" s="20">
        <f>+T23-T25+T70</f>
        <v>58852.359999999957</v>
      </c>
      <c r="U72" s="14"/>
      <c r="V72" s="22">
        <f>IF(T$12=0,0,T72/T$12)</f>
        <v>0.19756964503915789</v>
      </c>
      <c r="W72" s="15"/>
      <c r="X72" s="20">
        <f>+P72-T72</f>
        <v>-102213.67999999996</v>
      </c>
      <c r="Y72" s="15"/>
      <c r="Z72" s="22">
        <f>IF(T72=0,0,X72/T72)</f>
        <v>-1.736781328735161</v>
      </c>
    </row>
    <row r="73" spans="1:26" x14ac:dyDescent="0.25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51"/>
      <c r="B74" s="10" t="s">
        <v>13</v>
      </c>
      <c r="C74" s="10"/>
      <c r="D74" s="4"/>
      <c r="E74" s="4"/>
      <c r="F74" s="12">
        <f>IF(D$12=0,0,D74/D$12)</f>
        <v>0</v>
      </c>
      <c r="G74" s="4"/>
      <c r="H74" s="4">
        <v>7466.58</v>
      </c>
      <c r="I74" s="4"/>
      <c r="J74" s="12">
        <f>IF(H$12=0,0,H74/H$12)</f>
        <v>0.12720836136634953</v>
      </c>
      <c r="K74" s="4"/>
      <c r="L74" s="4">
        <f>+D74-H74</f>
        <v>-7466.58</v>
      </c>
      <c r="M74" s="4"/>
      <c r="N74" s="12">
        <f>IF(H74=0,0,L74/H74)</f>
        <v>-1</v>
      </c>
      <c r="O74" s="10"/>
      <c r="P74" s="4"/>
      <c r="Q74" s="4"/>
      <c r="R74" s="12">
        <f>IF(P$12=0,0,P74/P$12)</f>
        <v>0</v>
      </c>
      <c r="S74" s="4"/>
      <c r="T74" s="4">
        <v>31543.649999999998</v>
      </c>
      <c r="U74" s="4"/>
      <c r="V74" s="12">
        <f>IF(T$12=0,0,T74/T$12)</f>
        <v>0.10589325107335436</v>
      </c>
      <c r="W74" s="4"/>
      <c r="X74" s="4">
        <f>+P74-T74</f>
        <v>-31543.649999999998</v>
      </c>
      <c r="Y74" s="4"/>
      <c r="Z74" s="12">
        <f>IF(T74=0,0,X74/T74)</f>
        <v>-1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8" t="s">
        <v>4</v>
      </c>
      <c r="C76" s="28"/>
      <c r="D76" s="31">
        <f>+D72-D74</f>
        <v>-6309.5499999999993</v>
      </c>
      <c r="E76" s="14"/>
      <c r="F76" s="34">
        <f>IF(D$12=0,0,D76/D$12)</f>
        <v>0</v>
      </c>
      <c r="G76" s="14"/>
      <c r="H76" s="31">
        <f>+H72-H74</f>
        <v>6044.6299999999956</v>
      </c>
      <c r="I76" s="14"/>
      <c r="J76" s="34">
        <f>IF(H$12=0,0,H76/H$12)</f>
        <v>0.10298255390900207</v>
      </c>
      <c r="K76" s="15"/>
      <c r="L76" s="31">
        <f>D76-H76</f>
        <v>-12354.179999999995</v>
      </c>
      <c r="M76" s="15"/>
      <c r="N76" s="34">
        <f>IF(H76=0,0,L76/H76)</f>
        <v>-2.043827331035978</v>
      </c>
      <c r="O76" s="29"/>
      <c r="P76" s="31">
        <f>+P72-P74</f>
        <v>-43361.320000000007</v>
      </c>
      <c r="Q76" s="14"/>
      <c r="R76" s="34">
        <f>IF(P$12=0,0,P76/P$12)</f>
        <v>0</v>
      </c>
      <c r="S76" s="14"/>
      <c r="T76" s="31">
        <f>+T72-T74</f>
        <v>27308.709999999959</v>
      </c>
      <c r="U76" s="14"/>
      <c r="V76" s="34">
        <f>IF(T$12=0,0,T76/T$12)</f>
        <v>9.1676393965803529E-2</v>
      </c>
      <c r="W76" s="15"/>
      <c r="X76" s="31">
        <f>P76-T76</f>
        <v>-70670.02999999997</v>
      </c>
      <c r="Y76" s="15"/>
      <c r="Z76" s="34">
        <f>IF(T76=0,0,X76/T76)</f>
        <v>-2.5878201496885089</v>
      </c>
    </row>
    <row r="77" spans="1:26" ht="15.75" thickTop="1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8" t="s">
        <v>5</v>
      </c>
      <c r="C79" s="28"/>
      <c r="D79" s="32">
        <f>SUM(D76:D78)</f>
        <v>-6309.5499999999993</v>
      </c>
      <c r="E79" s="14"/>
      <c r="F79" s="30">
        <f>IF(D$12=0,0,D79/D$12)</f>
        <v>0</v>
      </c>
      <c r="G79" s="14"/>
      <c r="H79" s="32">
        <f>SUM(H76:H78)</f>
        <v>6044.6299999999956</v>
      </c>
      <c r="I79" s="14"/>
      <c r="J79" s="30">
        <f>IF(H$12=0,0,H79/H$12)</f>
        <v>0.10298255390900207</v>
      </c>
      <c r="K79" s="15"/>
      <c r="L79" s="32">
        <f>+D79-H79</f>
        <v>-12354.179999999995</v>
      </c>
      <c r="M79" s="15"/>
      <c r="N79" s="30">
        <f>IF(H79=0,0,L79/H79)</f>
        <v>-2.043827331035978</v>
      </c>
      <c r="O79" s="29"/>
      <c r="P79" s="32">
        <f>SUM(P76:P78)</f>
        <v>-43361.320000000007</v>
      </c>
      <c r="Q79" s="14"/>
      <c r="R79" s="30">
        <f>IF(P$12=0,0,P79/P$12)</f>
        <v>0</v>
      </c>
      <c r="S79" s="14"/>
      <c r="T79" s="32">
        <f>SUM(T76:T78)</f>
        <v>27308.709999999959</v>
      </c>
      <c r="U79" s="14"/>
      <c r="V79" s="30">
        <f>IF(T$12=0,0,T79/T$12)</f>
        <v>9.1676393965803529E-2</v>
      </c>
      <c r="W79" s="15"/>
      <c r="X79" s="32">
        <f>+P79-T79</f>
        <v>-70670.02999999997</v>
      </c>
      <c r="Y79" s="15"/>
      <c r="Z79" s="30">
        <f>IF(T79=0,0,X79/T79)</f>
        <v>-2.5878201496885089</v>
      </c>
    </row>
    <row r="80" spans="1:26" ht="15.75" thickTop="1" x14ac:dyDescent="0.25">
      <c r="A80" s="9"/>
      <c r="C80" s="9"/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54">
        <v>44174.685622569443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6" t="s">
        <v>313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A83" s="9"/>
      <c r="B83" s="61"/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25"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297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","321", " - ", "Student Union C-Store")</f>
        <v>Department 321 - Student Union C-Store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33948.630000000005</v>
      </c>
      <c r="I12" s="4"/>
      <c r="J12" s="12"/>
      <c r="K12" s="4"/>
      <c r="L12" s="4">
        <f t="shared" ref="L12:L14" si="0">+D12-H12</f>
        <v>-33948.630000000005</v>
      </c>
      <c r="M12" s="4"/>
      <c r="N12" s="12">
        <f t="shared" ref="N12:N14" si="1">IF(H12=0,0,L12/H12)</f>
        <v>-1</v>
      </c>
      <c r="O12" s="10"/>
      <c r="P12" s="4">
        <f>SUM(OSRRefP13x_0)</f>
        <v>2476.4700000000003</v>
      </c>
      <c r="Q12" s="4"/>
      <c r="R12" s="12"/>
      <c r="S12" s="4"/>
      <c r="T12" s="4">
        <f>SUM(OSRRefT13x_0)</f>
        <v>168134.68</v>
      </c>
      <c r="U12" s="4"/>
      <c r="V12" s="12"/>
      <c r="W12" s="4"/>
      <c r="X12" s="4">
        <f t="shared" ref="X12:X14" si="2">+P12-T12</f>
        <v>-165658.21</v>
      </c>
      <c r="Y12" s="4"/>
      <c r="Z12" s="12">
        <f t="shared" ref="Z12:Z14" si="3">IF(T12=0,0,X12/T12)</f>
        <v>-0.9852709149593647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--6560.59</f>
        <v>6560.59</v>
      </c>
      <c r="I13" s="2"/>
      <c r="J13" s="19"/>
      <c r="K13" s="2"/>
      <c r="L13" s="2">
        <f t="shared" si="0"/>
        <v>-6560.59</v>
      </c>
      <c r="M13" s="2"/>
      <c r="N13" s="19">
        <f t="shared" si="1"/>
        <v>-1</v>
      </c>
      <c r="O13" s="11"/>
      <c r="P13" s="2">
        <f>--444.59</f>
        <v>444.59</v>
      </c>
      <c r="Q13" s="2"/>
      <c r="R13" s="19"/>
      <c r="S13" s="2"/>
      <c r="T13" s="2">
        <f>--37750.31</f>
        <v>37750.31</v>
      </c>
      <c r="U13" s="2"/>
      <c r="V13" s="19"/>
      <c r="W13" s="2"/>
      <c r="X13" s="2">
        <f t="shared" si="2"/>
        <v>-37305.72</v>
      </c>
      <c r="Y13" s="2"/>
      <c r="Z13" s="19">
        <f t="shared" si="3"/>
        <v>-0.9882228781697423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>--27388.04</f>
        <v>27388.04</v>
      </c>
      <c r="I14" s="2"/>
      <c r="J14" s="19"/>
      <c r="K14" s="2"/>
      <c r="L14" s="2">
        <f t="shared" si="0"/>
        <v>-27388.04</v>
      </c>
      <c r="M14" s="2"/>
      <c r="N14" s="19">
        <f t="shared" si="1"/>
        <v>-1</v>
      </c>
      <c r="O14" s="11"/>
      <c r="P14" s="2">
        <f>--2031.88</f>
        <v>2031.88</v>
      </c>
      <c r="Q14" s="2"/>
      <c r="R14" s="19"/>
      <c r="S14" s="2"/>
      <c r="T14" s="2">
        <f>--130384.37</f>
        <v>130384.37</v>
      </c>
      <c r="U14" s="2"/>
      <c r="V14" s="19"/>
      <c r="W14" s="2"/>
      <c r="X14" s="2">
        <f t="shared" si="2"/>
        <v>-128352.48999999999</v>
      </c>
      <c r="Y14" s="2"/>
      <c r="Z14" s="19">
        <f t="shared" si="3"/>
        <v>-0.98441623025827407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5">IF(D$12=0,0,D16/D$12)</f>
        <v>0</v>
      </c>
      <c r="G16" s="4"/>
      <c r="H16" s="4">
        <f>SUM(OSRRefH16x_0)</f>
        <v>15688.05</v>
      </c>
      <c r="I16" s="4"/>
      <c r="J16" s="12">
        <f t="shared" ref="J16:J18" si="6">IF(H$12=0,0,H16/H$12)</f>
        <v>0.46211143130076227</v>
      </c>
      <c r="K16" s="4"/>
      <c r="L16" s="4">
        <f t="shared" ref="L16:L18" si="7">+D16-H16</f>
        <v>-15688.05</v>
      </c>
      <c r="M16" s="4"/>
      <c r="N16" s="12">
        <f t="shared" ref="N16:N18" si="8">IF(H16=0,0,L16/H16)</f>
        <v>-1</v>
      </c>
      <c r="O16" s="10"/>
      <c r="P16" s="4">
        <f>SUM(OSRRefP16x_0)</f>
        <v>-238.52</v>
      </c>
      <c r="Q16" s="4"/>
      <c r="R16" s="12">
        <f t="shared" ref="R16:R18" si="9">IF(P$12=0,0,P16/P$12)</f>
        <v>-9.6314512188720225E-2</v>
      </c>
      <c r="S16" s="4"/>
      <c r="T16" s="4">
        <f>SUM(OSRRefT16x_0)</f>
        <v>81382.259999999995</v>
      </c>
      <c r="U16" s="4"/>
      <c r="V16" s="12">
        <f t="shared" ref="V16:V18" si="10">IF(T$12=0,0,T16/T$12)</f>
        <v>0.48403018342200432</v>
      </c>
      <c r="W16" s="4"/>
      <c r="X16" s="4">
        <f t="shared" ref="X16:X18" si="11">+P16-T16</f>
        <v>-81620.78</v>
      </c>
      <c r="Y16" s="4"/>
      <c r="Z16" s="12">
        <f t="shared" ref="Z16:Z18" si="12">IF(T16=0,0,X16/T16)</f>
        <v>-1.0029308598704436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12632.5</v>
      </c>
      <c r="I17" s="2"/>
      <c r="J17" s="19">
        <f t="shared" si="6"/>
        <v>0.37210632652922954</v>
      </c>
      <c r="K17" s="2"/>
      <c r="L17" s="2">
        <f t="shared" si="7"/>
        <v>-12632.5</v>
      </c>
      <c r="M17" s="2"/>
      <c r="N17" s="19">
        <f t="shared" si="8"/>
        <v>-1</v>
      </c>
      <c r="O17" s="11"/>
      <c r="P17" s="2">
        <v>-238.52</v>
      </c>
      <c r="Q17" s="2"/>
      <c r="R17" s="19">
        <f t="shared" si="9"/>
        <v>-9.6314512188720225E-2</v>
      </c>
      <c r="S17" s="2"/>
      <c r="T17" s="2">
        <v>79329.7</v>
      </c>
      <c r="U17" s="2"/>
      <c r="V17" s="19">
        <f t="shared" si="10"/>
        <v>0.47182235098672087</v>
      </c>
      <c r="W17" s="2"/>
      <c r="X17" s="2">
        <f t="shared" si="11"/>
        <v>-79568.22</v>
      </c>
      <c r="Y17" s="2"/>
      <c r="Z17" s="19">
        <f t="shared" si="12"/>
        <v>-1.0030066923233039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>
        <v>3055.55</v>
      </c>
      <c r="I18" s="2"/>
      <c r="J18" s="19">
        <f t="shared" si="6"/>
        <v>9.0005104771532743E-2</v>
      </c>
      <c r="K18" s="2"/>
      <c r="L18" s="2">
        <f t="shared" si="7"/>
        <v>-3055.55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2052.56</v>
      </c>
      <c r="U18" s="2"/>
      <c r="V18" s="19">
        <f t="shared" si="10"/>
        <v>1.2207832435283429E-2</v>
      </c>
      <c r="W18" s="2"/>
      <c r="X18" s="2">
        <f t="shared" si="11"/>
        <v>-2052.56</v>
      </c>
      <c r="Y18" s="2"/>
      <c r="Z18" s="19">
        <f t="shared" si="12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18260.580000000005</v>
      </c>
      <c r="I20" s="14"/>
      <c r="J20" s="22">
        <f>IF(H$12=0,0,H20/H$12)</f>
        <v>0.53788856869923773</v>
      </c>
      <c r="K20" s="15"/>
      <c r="L20" s="20">
        <f>+D20-H20</f>
        <v>-18260.580000000005</v>
      </c>
      <c r="M20" s="15"/>
      <c r="N20" s="22">
        <f>IF(H20=0,0,L20/H20)</f>
        <v>-1</v>
      </c>
      <c r="O20" s="29"/>
      <c r="P20" s="20">
        <f>P12-P16</f>
        <v>2714.9900000000002</v>
      </c>
      <c r="Q20" s="14"/>
      <c r="R20" s="22">
        <f>IF(P$12=0,0,P20/P$12)</f>
        <v>1.0963145121887201</v>
      </c>
      <c r="S20" s="14"/>
      <c r="T20" s="20">
        <f>T12-T16</f>
        <v>86752.42</v>
      </c>
      <c r="U20" s="14"/>
      <c r="V20" s="22">
        <f>IF(T$12=0,0,T20/T$12)</f>
        <v>0.51596981657799568</v>
      </c>
      <c r="W20" s="15"/>
      <c r="X20" s="20">
        <f>+P20-T20</f>
        <v>-84037.43</v>
      </c>
      <c r="Y20" s="15"/>
      <c r="Z20" s="22">
        <f>IF(T20=0,0,X20/T20)</f>
        <v>-0.96870415833932921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4495.3099999999995</v>
      </c>
      <c r="E22" s="21"/>
      <c r="F22" s="35">
        <f t="shared" ref="F22:F31" si="13">IF(D$12=0,0,D22/D$12)</f>
        <v>0</v>
      </c>
      <c r="G22" s="21"/>
      <c r="H22" s="21">
        <f>SUM(OSRRefH22x_0)</f>
        <v>11635.26</v>
      </c>
      <c r="I22" s="21"/>
      <c r="J22" s="35">
        <f t="shared" ref="J22:J31" si="14">IF(H$12=0,0,H22/H$12)</f>
        <v>0.34273135616960093</v>
      </c>
      <c r="K22" s="4"/>
      <c r="L22" s="21">
        <f t="shared" ref="L22:L31" si="15">+D22-H22</f>
        <v>-7139.9500000000007</v>
      </c>
      <c r="M22" s="4"/>
      <c r="N22" s="35">
        <f t="shared" ref="N22:N31" si="16">IF(H22=0,0,L22/H22)</f>
        <v>-0.61364765376966224</v>
      </c>
      <c r="O22" s="10"/>
      <c r="P22" s="21">
        <f>SUM(OSRRefP22x_0)</f>
        <v>32171.810000000005</v>
      </c>
      <c r="Q22" s="21"/>
      <c r="R22" s="35">
        <f t="shared" ref="R22:R31" si="17">IF(P$12=0,0,P22/P$12)</f>
        <v>12.99099524726728</v>
      </c>
      <c r="S22" s="21"/>
      <c r="T22" s="21">
        <f>SUM(OSRRefT22x_0)</f>
        <v>64883.139999999992</v>
      </c>
      <c r="U22" s="21"/>
      <c r="V22" s="35">
        <f t="shared" ref="V22:V31" si="18">IF(T$12=0,0,T22/T$12)</f>
        <v>0.38589980365740129</v>
      </c>
      <c r="W22" s="4"/>
      <c r="X22" s="21">
        <f t="shared" ref="X22:X31" si="19">+P22-T22</f>
        <v>-32711.329999999987</v>
      </c>
      <c r="Y22" s="4"/>
      <c r="Z22" s="35">
        <f t="shared" ref="Z22:Z31" si="20">IF(T22=0,0,X22/T22)</f>
        <v>-0.50415762862278235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1358.35</v>
      </c>
      <c r="E23" s="1"/>
      <c r="F23" s="5">
        <f t="shared" si="13"/>
        <v>0</v>
      </c>
      <c r="G23" s="1"/>
      <c r="H23" s="1">
        <f>SUM(OSRRefH22_0x_0)</f>
        <v>2384.19</v>
      </c>
      <c r="I23" s="1"/>
      <c r="J23" s="5">
        <f t="shared" si="14"/>
        <v>7.0229343569976163E-2</v>
      </c>
      <c r="K23" s="1"/>
      <c r="L23" s="1">
        <f t="shared" si="15"/>
        <v>-1025.8400000000001</v>
      </c>
      <c r="M23" s="1"/>
      <c r="N23" s="5">
        <f t="shared" si="16"/>
        <v>-0.43026772195169016</v>
      </c>
      <c r="O23" s="13"/>
      <c r="P23" s="1">
        <f>SUM(OSRRefP22_0x_0)</f>
        <v>8101.4900000000007</v>
      </c>
      <c r="Q23" s="1"/>
      <c r="R23" s="5">
        <f t="shared" si="17"/>
        <v>3.2713862877402109</v>
      </c>
      <c r="S23" s="1"/>
      <c r="T23" s="1">
        <f>SUM(OSRRefT22_0x_0)</f>
        <v>8893.92</v>
      </c>
      <c r="U23" s="1"/>
      <c r="V23" s="5">
        <f t="shared" si="18"/>
        <v>5.2897593762333862E-2</v>
      </c>
      <c r="W23" s="1"/>
      <c r="X23" s="1">
        <f t="shared" si="19"/>
        <v>-792.42999999999938</v>
      </c>
      <c r="Y23" s="1"/>
      <c r="Z23" s="5">
        <f t="shared" si="20"/>
        <v>-8.9097945562811379E-2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>
        <v>159.12</v>
      </c>
      <c r="E24" s="2"/>
      <c r="F24" s="7">
        <f t="shared" si="13"/>
        <v>0</v>
      </c>
      <c r="G24" s="2"/>
      <c r="H24" s="6">
        <v>236.25</v>
      </c>
      <c r="I24" s="2"/>
      <c r="J24" s="7">
        <f t="shared" si="14"/>
        <v>6.9590437080966142E-3</v>
      </c>
      <c r="K24" s="2"/>
      <c r="L24" s="6">
        <f t="shared" si="15"/>
        <v>-77.13</v>
      </c>
      <c r="M24" s="2"/>
      <c r="N24" s="7">
        <f t="shared" si="16"/>
        <v>-0.32647619047619048</v>
      </c>
      <c r="O24" s="11"/>
      <c r="P24" s="6">
        <v>1667.09</v>
      </c>
      <c r="Q24" s="2"/>
      <c r="R24" s="7">
        <f t="shared" si="17"/>
        <v>0.67317189386505782</v>
      </c>
      <c r="S24" s="2"/>
      <c r="T24" s="6">
        <v>1481.21</v>
      </c>
      <c r="U24" s="2"/>
      <c r="V24" s="7">
        <f t="shared" si="18"/>
        <v>8.8096637766818843E-3</v>
      </c>
      <c r="W24" s="2"/>
      <c r="X24" s="6">
        <f t="shared" si="19"/>
        <v>185.87999999999988</v>
      </c>
      <c r="Y24" s="2"/>
      <c r="Z24" s="7">
        <f t="shared" si="20"/>
        <v>0.12549199640834174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>
        <v>23.77</v>
      </c>
      <c r="E25" s="2"/>
      <c r="F25" s="7">
        <f t="shared" si="13"/>
        <v>0</v>
      </c>
      <c r="G25" s="2"/>
      <c r="H25" s="6">
        <v>131.85</v>
      </c>
      <c r="I25" s="2"/>
      <c r="J25" s="7">
        <f t="shared" si="14"/>
        <v>3.8838091551853483E-3</v>
      </c>
      <c r="K25" s="2"/>
      <c r="L25" s="6">
        <f t="shared" si="15"/>
        <v>-108.08</v>
      </c>
      <c r="M25" s="2"/>
      <c r="N25" s="7">
        <f t="shared" si="16"/>
        <v>-0.81971937808115281</v>
      </c>
      <c r="O25" s="11"/>
      <c r="P25" s="6">
        <v>331.61</v>
      </c>
      <c r="Q25" s="2"/>
      <c r="R25" s="7">
        <f t="shared" si="17"/>
        <v>0.13390430734069056</v>
      </c>
      <c r="S25" s="2"/>
      <c r="T25" s="6">
        <v>492.47</v>
      </c>
      <c r="U25" s="2"/>
      <c r="V25" s="7">
        <f t="shared" si="18"/>
        <v>2.9290209491581393E-3</v>
      </c>
      <c r="W25" s="2"/>
      <c r="X25" s="6">
        <f t="shared" si="19"/>
        <v>-160.86000000000001</v>
      </c>
      <c r="Y25" s="2"/>
      <c r="Z25" s="7">
        <f t="shared" si="20"/>
        <v>-0.32663918614331838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>
        <v>683.68</v>
      </c>
      <c r="E26" s="2"/>
      <c r="F26" s="7">
        <f t="shared" si="13"/>
        <v>0</v>
      </c>
      <c r="G26" s="2"/>
      <c r="H26" s="6">
        <v>935.3</v>
      </c>
      <c r="I26" s="2"/>
      <c r="J26" s="7">
        <f t="shared" si="14"/>
        <v>2.7550449016646616E-2</v>
      </c>
      <c r="K26" s="2"/>
      <c r="L26" s="6">
        <f t="shared" si="15"/>
        <v>-251.62</v>
      </c>
      <c r="M26" s="2"/>
      <c r="N26" s="7">
        <f t="shared" si="16"/>
        <v>-0.2690259809686732</v>
      </c>
      <c r="O26" s="11"/>
      <c r="P26" s="6">
        <v>2734.72</v>
      </c>
      <c r="Q26" s="2"/>
      <c r="R26" s="7">
        <f t="shared" si="17"/>
        <v>1.1042814974540371</v>
      </c>
      <c r="S26" s="2"/>
      <c r="T26" s="6">
        <v>4676.5</v>
      </c>
      <c r="U26" s="2"/>
      <c r="V26" s="7">
        <f t="shared" si="18"/>
        <v>2.7814011957556884E-2</v>
      </c>
      <c r="W26" s="2"/>
      <c r="X26" s="6">
        <f t="shared" si="19"/>
        <v>-1941.7800000000002</v>
      </c>
      <c r="Y26" s="2"/>
      <c r="Z26" s="7">
        <f t="shared" si="20"/>
        <v>-0.41522078477493857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18.73</v>
      </c>
      <c r="E27" s="2"/>
      <c r="F27" s="7">
        <f t="shared" si="13"/>
        <v>0</v>
      </c>
      <c r="G27" s="2"/>
      <c r="H27" s="6">
        <v>18.04</v>
      </c>
      <c r="I27" s="2"/>
      <c r="J27" s="7">
        <f t="shared" si="14"/>
        <v>5.3139110473677425E-4</v>
      </c>
      <c r="K27" s="2"/>
      <c r="L27" s="6">
        <f t="shared" si="15"/>
        <v>0.69000000000000128</v>
      </c>
      <c r="M27" s="2"/>
      <c r="N27" s="7">
        <f t="shared" si="16"/>
        <v>3.8248337028824908E-2</v>
      </c>
      <c r="O27" s="11"/>
      <c r="P27" s="6">
        <v>62.01</v>
      </c>
      <c r="Q27" s="2"/>
      <c r="R27" s="7">
        <f t="shared" si="17"/>
        <v>2.5039673406098192E-2</v>
      </c>
      <c r="S27" s="2"/>
      <c r="T27" s="6">
        <v>75.87</v>
      </c>
      <c r="U27" s="2"/>
      <c r="V27" s="7">
        <f t="shared" si="18"/>
        <v>4.5124539446591275E-4</v>
      </c>
      <c r="W27" s="2"/>
      <c r="X27" s="6">
        <f t="shared" si="19"/>
        <v>-13.860000000000007</v>
      </c>
      <c r="Y27" s="2"/>
      <c r="Z27" s="7">
        <f t="shared" si="20"/>
        <v>-0.18268090154211158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>
        <v>257.25</v>
      </c>
      <c r="E28" s="2"/>
      <c r="F28" s="7">
        <f t="shared" si="13"/>
        <v>0</v>
      </c>
      <c r="G28" s="2"/>
      <c r="H28" s="6">
        <v>134.11000000000001</v>
      </c>
      <c r="I28" s="2"/>
      <c r="J28" s="7">
        <f t="shared" si="14"/>
        <v>3.9503803246257654E-3</v>
      </c>
      <c r="K28" s="2"/>
      <c r="L28" s="6">
        <f t="shared" si="15"/>
        <v>123.13999999999999</v>
      </c>
      <c r="M28" s="2"/>
      <c r="N28" s="7">
        <f t="shared" si="16"/>
        <v>0.91820147639996996</v>
      </c>
      <c r="O28" s="11"/>
      <c r="P28" s="6">
        <v>1254.1099999999999</v>
      </c>
      <c r="Q28" s="2"/>
      <c r="R28" s="7">
        <f t="shared" si="17"/>
        <v>0.50641033406421232</v>
      </c>
      <c r="S28" s="2"/>
      <c r="T28" s="6">
        <v>670.55</v>
      </c>
      <c r="U28" s="2"/>
      <c r="V28" s="7">
        <f t="shared" si="18"/>
        <v>3.9881718631754022E-3</v>
      </c>
      <c r="W28" s="2"/>
      <c r="X28" s="6">
        <f t="shared" si="19"/>
        <v>583.55999999999995</v>
      </c>
      <c r="Y28" s="2"/>
      <c r="Z28" s="7">
        <f t="shared" si="20"/>
        <v>0.87027067332786512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>
        <v>119.86</v>
      </c>
      <c r="E29" s="2"/>
      <c r="F29" s="7">
        <f t="shared" si="13"/>
        <v>0</v>
      </c>
      <c r="G29" s="2"/>
      <c r="H29" s="6">
        <v>840.08</v>
      </c>
      <c r="I29" s="2"/>
      <c r="J29" s="7">
        <f t="shared" si="14"/>
        <v>2.4745623019249964E-2</v>
      </c>
      <c r="K29" s="2"/>
      <c r="L29" s="6">
        <f t="shared" si="15"/>
        <v>-720.22</v>
      </c>
      <c r="M29" s="2"/>
      <c r="N29" s="7">
        <f t="shared" si="16"/>
        <v>-0.85732311208456335</v>
      </c>
      <c r="O29" s="11"/>
      <c r="P29" s="6">
        <v>958.88</v>
      </c>
      <c r="Q29" s="2"/>
      <c r="R29" s="7">
        <f t="shared" si="17"/>
        <v>0.38719629149555612</v>
      </c>
      <c r="S29" s="2"/>
      <c r="T29" s="6">
        <v>1098.8</v>
      </c>
      <c r="U29" s="2"/>
      <c r="V29" s="7">
        <f t="shared" si="18"/>
        <v>6.5352371087273606E-3</v>
      </c>
      <c r="W29" s="2"/>
      <c r="X29" s="6">
        <f t="shared" si="19"/>
        <v>-139.91999999999996</v>
      </c>
      <c r="Y29" s="2"/>
      <c r="Z29" s="7">
        <f t="shared" si="20"/>
        <v>-0.12733891518019655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>
        <v>95.94</v>
      </c>
      <c r="E30" s="2"/>
      <c r="F30" s="7">
        <f t="shared" si="13"/>
        <v>0</v>
      </c>
      <c r="G30" s="2"/>
      <c r="H30" s="6">
        <v>88.56</v>
      </c>
      <c r="I30" s="2"/>
      <c r="J30" s="7">
        <f t="shared" si="14"/>
        <v>2.6086472414350737E-3</v>
      </c>
      <c r="K30" s="2"/>
      <c r="L30" s="6">
        <f t="shared" si="15"/>
        <v>7.3799999999999955</v>
      </c>
      <c r="M30" s="2"/>
      <c r="N30" s="7">
        <f t="shared" si="16"/>
        <v>8.3333333333333273E-2</v>
      </c>
      <c r="O30" s="11"/>
      <c r="P30" s="6">
        <v>767.52</v>
      </c>
      <c r="Q30" s="2"/>
      <c r="R30" s="7">
        <f t="shared" si="17"/>
        <v>0.30992501423397006</v>
      </c>
      <c r="S30" s="2"/>
      <c r="T30" s="6">
        <v>398.52</v>
      </c>
      <c r="U30" s="2"/>
      <c r="V30" s="7">
        <f t="shared" si="18"/>
        <v>2.3702427125682816E-3</v>
      </c>
      <c r="W30" s="2"/>
      <c r="X30" s="6">
        <f t="shared" si="19"/>
        <v>369</v>
      </c>
      <c r="Y30" s="2"/>
      <c r="Z30" s="7">
        <f t="shared" si="20"/>
        <v>0.92592592592592593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3"/>
        <v>0</v>
      </c>
      <c r="G31" s="2"/>
      <c r="H31" s="6"/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>
        <v>325.55</v>
      </c>
      <c r="Q31" s="2"/>
      <c r="R31" s="7">
        <f t="shared" si="17"/>
        <v>0.13145727588058809</v>
      </c>
      <c r="S31" s="2"/>
      <c r="T31" s="6"/>
      <c r="U31" s="2"/>
      <c r="V31" s="7">
        <f t="shared" si="18"/>
        <v>0</v>
      </c>
      <c r="W31" s="2"/>
      <c r="X31" s="6">
        <f t="shared" si="19"/>
        <v>325.55</v>
      </c>
      <c r="Y31" s="2"/>
      <c r="Z31" s="7">
        <f t="shared" si="20"/>
        <v>0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1664</v>
      </c>
      <c r="E32" s="1"/>
      <c r="F32" s="5">
        <f t="shared" ref="F32:F37" si="21">IF(D$12=0,0,D32/D$12)</f>
        <v>0</v>
      </c>
      <c r="G32" s="1"/>
      <c r="H32" s="1">
        <f>SUM(OSRRefH22_1x_0)</f>
        <v>6001.04</v>
      </c>
      <c r="I32" s="1"/>
      <c r="J32" s="5">
        <f t="shared" ref="J32:J37" si="22">IF(H$12=0,0,H32/H$12)</f>
        <v>0.17676825250385653</v>
      </c>
      <c r="K32" s="1"/>
      <c r="L32" s="1">
        <f t="shared" ref="L32:L37" si="23">+D32-H32</f>
        <v>-4337.04</v>
      </c>
      <c r="M32" s="1"/>
      <c r="N32" s="5">
        <f t="shared" ref="N32:N37" si="24">IF(H32=0,0,L32/H32)</f>
        <v>-0.72271472944689585</v>
      </c>
      <c r="O32" s="13"/>
      <c r="P32" s="1">
        <f>SUM(OSRRefP22_1x_0)</f>
        <v>15859.96</v>
      </c>
      <c r="Q32" s="1"/>
      <c r="R32" s="5">
        <f t="shared" ref="R32:R37" si="25">IF(P$12=0,0,P32/P$12)</f>
        <v>6.404260903624917</v>
      </c>
      <c r="S32" s="1"/>
      <c r="T32" s="1">
        <f>SUM(OSRRefT22_1x_0)</f>
        <v>31639.910000000003</v>
      </c>
      <c r="U32" s="1"/>
      <c r="V32" s="5">
        <f t="shared" ref="V32:V37" si="26">IF(T$12=0,0,T32/T$12)</f>
        <v>0.18818193843173819</v>
      </c>
      <c r="W32" s="1"/>
      <c r="X32" s="1">
        <f t="shared" ref="X32:X37" si="27">+P32-T32</f>
        <v>-15779.950000000004</v>
      </c>
      <c r="Y32" s="1"/>
      <c r="Z32" s="5">
        <f t="shared" ref="Z32:Z37" si="28">IF(T32=0,0,X32/T32)</f>
        <v>-0.49873561587248516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>
        <v>1664</v>
      </c>
      <c r="E33" s="2"/>
      <c r="F33" s="7">
        <f t="shared" si="21"/>
        <v>0</v>
      </c>
      <c r="G33" s="2"/>
      <c r="H33" s="6">
        <v>1824</v>
      </c>
      <c r="I33" s="2"/>
      <c r="J33" s="7">
        <f t="shared" si="22"/>
        <v>5.3728235866955451E-2</v>
      </c>
      <c r="K33" s="2"/>
      <c r="L33" s="6">
        <f t="shared" si="23"/>
        <v>-160</v>
      </c>
      <c r="M33" s="2"/>
      <c r="N33" s="7">
        <f t="shared" si="24"/>
        <v>-8.771929824561403E-2</v>
      </c>
      <c r="O33" s="11"/>
      <c r="P33" s="6">
        <v>13728</v>
      </c>
      <c r="Q33" s="2"/>
      <c r="R33" s="7">
        <f t="shared" si="25"/>
        <v>5.5433742383311726</v>
      </c>
      <c r="S33" s="2"/>
      <c r="T33" s="6">
        <v>10272</v>
      </c>
      <c r="U33" s="2"/>
      <c r="V33" s="7">
        <f t="shared" si="26"/>
        <v>6.1093880215551011E-2</v>
      </c>
      <c r="W33" s="2"/>
      <c r="X33" s="6">
        <f t="shared" si="27"/>
        <v>3456</v>
      </c>
      <c r="Y33" s="2"/>
      <c r="Z33" s="7">
        <f t="shared" si="28"/>
        <v>0.3364485981308411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0</v>
      </c>
      <c r="M34" s="2"/>
      <c r="N34" s="7">
        <f t="shared" si="24"/>
        <v>0</v>
      </c>
      <c r="O34" s="11"/>
      <c r="P34" s="6">
        <v>2131.96</v>
      </c>
      <c r="Q34" s="2"/>
      <c r="R34" s="7">
        <f t="shared" si="25"/>
        <v>0.86088666529374469</v>
      </c>
      <c r="S34" s="2"/>
      <c r="T34" s="6">
        <v>1708.78</v>
      </c>
      <c r="U34" s="2"/>
      <c r="V34" s="7">
        <f t="shared" si="26"/>
        <v>1.0163162055561649E-2</v>
      </c>
      <c r="W34" s="2"/>
      <c r="X34" s="6">
        <f t="shared" si="27"/>
        <v>423.18000000000006</v>
      </c>
      <c r="Y34" s="2"/>
      <c r="Z34" s="7">
        <f t="shared" si="28"/>
        <v>0.24765037043972898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1"/>
        <v>0</v>
      </c>
      <c r="G35" s="2"/>
      <c r="H35" s="6">
        <v>1168.23</v>
      </c>
      <c r="I35" s="2"/>
      <c r="J35" s="7">
        <f t="shared" si="22"/>
        <v>3.4411697909459082E-2</v>
      </c>
      <c r="K35" s="2"/>
      <c r="L35" s="6">
        <f t="shared" si="23"/>
        <v>-1168.23</v>
      </c>
      <c r="M35" s="2"/>
      <c r="N35" s="7">
        <f t="shared" si="24"/>
        <v>-1</v>
      </c>
      <c r="O35" s="11"/>
      <c r="P35" s="6"/>
      <c r="Q35" s="2"/>
      <c r="R35" s="7">
        <f t="shared" si="25"/>
        <v>0</v>
      </c>
      <c r="S35" s="2"/>
      <c r="T35" s="6">
        <v>5694.48</v>
      </c>
      <c r="U35" s="2"/>
      <c r="V35" s="7">
        <f t="shared" si="26"/>
        <v>3.3868562987719127E-2</v>
      </c>
      <c r="W35" s="2"/>
      <c r="X35" s="6">
        <f t="shared" si="27"/>
        <v>-5694.48</v>
      </c>
      <c r="Y35" s="2"/>
      <c r="Z35" s="7">
        <f t="shared" si="28"/>
        <v>-1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1"/>
        <v>0</v>
      </c>
      <c r="G36" s="2"/>
      <c r="H36" s="6">
        <v>2903.81</v>
      </c>
      <c r="I36" s="2"/>
      <c r="J36" s="7">
        <f t="shared" si="22"/>
        <v>8.5535410412732396E-2</v>
      </c>
      <c r="K36" s="2"/>
      <c r="L36" s="6">
        <f t="shared" si="23"/>
        <v>-2903.81</v>
      </c>
      <c r="M36" s="2"/>
      <c r="N36" s="7">
        <f t="shared" si="24"/>
        <v>-1</v>
      </c>
      <c r="O36" s="11"/>
      <c r="P36" s="6">
        <v>0</v>
      </c>
      <c r="Q36" s="2"/>
      <c r="R36" s="7">
        <f t="shared" si="25"/>
        <v>0</v>
      </c>
      <c r="S36" s="2"/>
      <c r="T36" s="6">
        <v>13276.34</v>
      </c>
      <c r="U36" s="2"/>
      <c r="V36" s="7">
        <f t="shared" si="26"/>
        <v>7.8962531703750824E-2</v>
      </c>
      <c r="W36" s="2"/>
      <c r="X36" s="6">
        <f t="shared" si="27"/>
        <v>-13276.34</v>
      </c>
      <c r="Y36" s="2"/>
      <c r="Z36" s="7">
        <f t="shared" si="28"/>
        <v>-1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1"/>
        <v>0</v>
      </c>
      <c r="G37" s="2"/>
      <c r="H37" s="6">
        <v>105</v>
      </c>
      <c r="I37" s="2"/>
      <c r="J37" s="7">
        <f t="shared" si="22"/>
        <v>3.0929083147096066E-3</v>
      </c>
      <c r="K37" s="2"/>
      <c r="L37" s="6">
        <f t="shared" si="23"/>
        <v>-105</v>
      </c>
      <c r="M37" s="2"/>
      <c r="N37" s="7">
        <f t="shared" si="24"/>
        <v>-1</v>
      </c>
      <c r="O37" s="11"/>
      <c r="P37" s="6"/>
      <c r="Q37" s="2"/>
      <c r="R37" s="7">
        <f t="shared" si="25"/>
        <v>0</v>
      </c>
      <c r="S37" s="2"/>
      <c r="T37" s="6">
        <v>688.31</v>
      </c>
      <c r="U37" s="2"/>
      <c r="V37" s="7">
        <f t="shared" si="26"/>
        <v>4.0938014691555601E-3</v>
      </c>
      <c r="W37" s="2"/>
      <c r="X37" s="6">
        <f t="shared" si="27"/>
        <v>-688.31</v>
      </c>
      <c r="Y37" s="2"/>
      <c r="Z37" s="7">
        <f t="shared" si="28"/>
        <v>-1</v>
      </c>
    </row>
    <row r="38" spans="1:26" s="26" customFormat="1" outlineLevel="1" collapsed="1" x14ac:dyDescent="0.25">
      <c r="A38" s="27"/>
      <c r="B38" s="13" t="str">
        <f>CONCATENATE("     ","Bad Debts/Over/Short                              ")</f>
        <v xml:space="preserve">     Bad Debts/Over/Short                              </v>
      </c>
      <c r="C38" s="13"/>
      <c r="D38" s="1">
        <f>SUM(OSRRefD22_2x_0)</f>
        <v>0</v>
      </c>
      <c r="E38" s="1"/>
      <c r="F38" s="5">
        <f t="shared" ref="F38:F49" si="29">IF(D$12=0,0,D38/D$12)</f>
        <v>0</v>
      </c>
      <c r="G38" s="1"/>
      <c r="H38" s="1">
        <f>SUM(OSRRefH22_2x_0)</f>
        <v>-11.75</v>
      </c>
      <c r="I38" s="1"/>
      <c r="J38" s="5">
        <f t="shared" ref="J38:J49" si="30">IF(H$12=0,0,H38/H$12)</f>
        <v>-3.4611116855083688E-4</v>
      </c>
      <c r="K38" s="1"/>
      <c r="L38" s="1">
        <f t="shared" ref="L38:L49" si="31">+D38-H38</f>
        <v>11.75</v>
      </c>
      <c r="M38" s="1"/>
      <c r="N38" s="5">
        <f t="shared" ref="N38:N49" si="32">IF(H38=0,0,L38/H38)</f>
        <v>-1</v>
      </c>
      <c r="O38" s="13"/>
      <c r="P38" s="1">
        <f>SUM(OSRRefP22_2x_0)</f>
        <v>3.31</v>
      </c>
      <c r="Q38" s="1"/>
      <c r="R38" s="5">
        <f t="shared" ref="R38:R49" si="33">IF(P$12=0,0,P38/P$12)</f>
        <v>1.3365798899239642E-3</v>
      </c>
      <c r="S38" s="1"/>
      <c r="T38" s="1">
        <f>SUM(OSRRefT22_2x_0)</f>
        <v>-51.52</v>
      </c>
      <c r="U38" s="1"/>
      <c r="V38" s="5">
        <f t="shared" ref="V38:V49" si="34">IF(T$12=0,0,T38/T$12)</f>
        <v>-3.0642101914964842E-4</v>
      </c>
      <c r="W38" s="1"/>
      <c r="X38" s="1">
        <f t="shared" ref="X38:X49" si="35">+P38-T38</f>
        <v>54.830000000000005</v>
      </c>
      <c r="Y38" s="1"/>
      <c r="Z38" s="5">
        <f t="shared" ref="Z38:Z49" si="36">IF(T38=0,0,X38/T38)</f>
        <v>-1.0642468944099379</v>
      </c>
    </row>
    <row r="39" spans="1:26" s="24" customFormat="1" hidden="1" outlineLevel="2" x14ac:dyDescent="0.25">
      <c r="A39" s="25"/>
      <c r="B39" s="11" t="str">
        <f>CONCATENATE("          ", "6272", " - ", "CASH (OVER/SHORT)")</f>
        <v xml:space="preserve">          6272 - CASH (OVER/SHORT)</v>
      </c>
      <c r="C39" s="11"/>
      <c r="D39" s="6"/>
      <c r="E39" s="2"/>
      <c r="F39" s="7">
        <f t="shared" si="29"/>
        <v>0</v>
      </c>
      <c r="G39" s="2"/>
      <c r="H39" s="6">
        <v>-11.75</v>
      </c>
      <c r="I39" s="2"/>
      <c r="J39" s="7">
        <f t="shared" si="30"/>
        <v>-3.4611116855083688E-4</v>
      </c>
      <c r="K39" s="2"/>
      <c r="L39" s="6">
        <f t="shared" si="31"/>
        <v>11.75</v>
      </c>
      <c r="M39" s="2"/>
      <c r="N39" s="7">
        <f t="shared" si="32"/>
        <v>-1</v>
      </c>
      <c r="O39" s="11"/>
      <c r="P39" s="6">
        <v>3.31</v>
      </c>
      <c r="Q39" s="2"/>
      <c r="R39" s="7">
        <f t="shared" si="33"/>
        <v>1.3365798899239642E-3</v>
      </c>
      <c r="S39" s="2"/>
      <c r="T39" s="6">
        <v>-51.52</v>
      </c>
      <c r="U39" s="2"/>
      <c r="V39" s="7">
        <f t="shared" si="34"/>
        <v>-3.0642101914964842E-4</v>
      </c>
      <c r="W39" s="2"/>
      <c r="X39" s="6">
        <f t="shared" si="35"/>
        <v>54.830000000000005</v>
      </c>
      <c r="Y39" s="2"/>
      <c r="Z39" s="7">
        <f t="shared" si="36"/>
        <v>-1.0642468944099379</v>
      </c>
    </row>
    <row r="40" spans="1:26" s="26" customFormat="1" outlineLevel="1" collapsed="1" x14ac:dyDescent="0.25">
      <c r="A40" s="27"/>
      <c r="B40" s="13" t="str">
        <f>CONCATENATE("     ","Bank/card Fees                                    ")</f>
        <v xml:space="preserve">     Bank/card Fees                                    </v>
      </c>
      <c r="C40" s="13"/>
      <c r="D40" s="1">
        <f>SUM(OSRRefD22_3x_0)</f>
        <v>205.09</v>
      </c>
      <c r="E40" s="1"/>
      <c r="F40" s="5">
        <f t="shared" si="29"/>
        <v>0</v>
      </c>
      <c r="G40" s="1"/>
      <c r="H40" s="1">
        <f>SUM(OSRRefH22_3x_0)</f>
        <v>1325.39</v>
      </c>
      <c r="I40" s="1"/>
      <c r="J40" s="5">
        <f t="shared" si="30"/>
        <v>3.9041045249837765E-2</v>
      </c>
      <c r="K40" s="1"/>
      <c r="L40" s="1">
        <f t="shared" si="31"/>
        <v>-1120.3000000000002</v>
      </c>
      <c r="M40" s="1"/>
      <c r="N40" s="5">
        <f t="shared" si="32"/>
        <v>-0.84526064026437508</v>
      </c>
      <c r="O40" s="13"/>
      <c r="P40" s="1">
        <f>SUM(OSRRefP22_3x_0)</f>
        <v>399.33</v>
      </c>
      <c r="Q40" s="1"/>
      <c r="R40" s="5">
        <f t="shared" si="33"/>
        <v>0.16124968200705034</v>
      </c>
      <c r="S40" s="1"/>
      <c r="T40" s="1">
        <f>SUM(OSRRefT22_3x_0)</f>
        <v>5870.95</v>
      </c>
      <c r="U40" s="1"/>
      <c r="V40" s="5">
        <f t="shared" si="34"/>
        <v>3.4918138244887965E-2</v>
      </c>
      <c r="W40" s="1"/>
      <c r="X40" s="1">
        <f t="shared" si="35"/>
        <v>-5471.62</v>
      </c>
      <c r="Y40" s="1"/>
      <c r="Z40" s="5">
        <f t="shared" si="36"/>
        <v>-0.93198204719849431</v>
      </c>
    </row>
    <row r="41" spans="1:26" s="24" customFormat="1" hidden="1" outlineLevel="2" x14ac:dyDescent="0.25">
      <c r="A41" s="25"/>
      <c r="B41" s="11" t="str">
        <f>CONCATENATE("          ", "6381", " - ", "BANK/CREDIT CARD FEES")</f>
        <v xml:space="preserve">          6381 - BANK/CREDIT CARD FEES</v>
      </c>
      <c r="C41" s="11"/>
      <c r="D41" s="6">
        <v>205.09</v>
      </c>
      <c r="E41" s="2"/>
      <c r="F41" s="7">
        <f t="shared" si="29"/>
        <v>0</v>
      </c>
      <c r="G41" s="2"/>
      <c r="H41" s="6">
        <v>1325.39</v>
      </c>
      <c r="I41" s="2"/>
      <c r="J41" s="7">
        <f t="shared" si="30"/>
        <v>3.9041045249837765E-2</v>
      </c>
      <c r="K41" s="2"/>
      <c r="L41" s="6">
        <f t="shared" si="31"/>
        <v>-1120.3000000000002</v>
      </c>
      <c r="M41" s="2"/>
      <c r="N41" s="7">
        <f t="shared" si="32"/>
        <v>-0.84526064026437508</v>
      </c>
      <c r="O41" s="11"/>
      <c r="P41" s="6">
        <v>399.33</v>
      </c>
      <c r="Q41" s="2"/>
      <c r="R41" s="7">
        <f t="shared" si="33"/>
        <v>0.16124968200705034</v>
      </c>
      <c r="S41" s="2"/>
      <c r="T41" s="6">
        <v>5870.95</v>
      </c>
      <c r="U41" s="2"/>
      <c r="V41" s="7">
        <f t="shared" si="34"/>
        <v>3.4918138244887965E-2</v>
      </c>
      <c r="W41" s="2"/>
      <c r="X41" s="6">
        <f t="shared" si="35"/>
        <v>-5471.62</v>
      </c>
      <c r="Y41" s="2"/>
      <c r="Z41" s="7">
        <f t="shared" si="36"/>
        <v>-0.93198204719849431</v>
      </c>
    </row>
    <row r="42" spans="1:26" s="26" customFormat="1" outlineLevel="1" collapsed="1" x14ac:dyDescent="0.25">
      <c r="A42" s="27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SUM(OSRRefD22_4x_0)</f>
        <v>1075.3699999999999</v>
      </c>
      <c r="E42" s="1"/>
      <c r="F42" s="5">
        <f t="shared" si="29"/>
        <v>0</v>
      </c>
      <c r="G42" s="1"/>
      <c r="H42" s="1">
        <f>SUM(OSRRefH22_4x_0)</f>
        <v>968.86</v>
      </c>
      <c r="I42" s="1"/>
      <c r="J42" s="5">
        <f t="shared" si="30"/>
        <v>2.8539001426567137E-2</v>
      </c>
      <c r="K42" s="1"/>
      <c r="L42" s="1">
        <f t="shared" si="31"/>
        <v>106.50999999999988</v>
      </c>
      <c r="M42" s="1"/>
      <c r="N42" s="5">
        <f t="shared" si="32"/>
        <v>0.10993332370001845</v>
      </c>
      <c r="O42" s="13"/>
      <c r="P42" s="1">
        <f>SUM(OSRRefP22_4x_0)</f>
        <v>5376.85</v>
      </c>
      <c r="Q42" s="1"/>
      <c r="R42" s="5">
        <f t="shared" si="33"/>
        <v>2.1711751000415913</v>
      </c>
      <c r="S42" s="1"/>
      <c r="T42" s="1">
        <f>SUM(OSRRefT22_4x_0)</f>
        <v>4844.3</v>
      </c>
      <c r="U42" s="1"/>
      <c r="V42" s="5">
        <f t="shared" si="34"/>
        <v>2.8812021410455003E-2</v>
      </c>
      <c r="W42" s="1"/>
      <c r="X42" s="1">
        <f t="shared" si="35"/>
        <v>532.55000000000018</v>
      </c>
      <c r="Y42" s="1"/>
      <c r="Z42" s="5">
        <f t="shared" si="36"/>
        <v>0.10993332370001861</v>
      </c>
    </row>
    <row r="43" spans="1:26" s="24" customFormat="1" hidden="1" outlineLevel="2" x14ac:dyDescent="0.25">
      <c r="A43" s="25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1075.3699999999999</v>
      </c>
      <c r="E43" s="2"/>
      <c r="F43" s="7">
        <f t="shared" si="29"/>
        <v>0</v>
      </c>
      <c r="G43" s="2"/>
      <c r="H43" s="6">
        <v>968.86</v>
      </c>
      <c r="I43" s="2"/>
      <c r="J43" s="7">
        <f t="shared" si="30"/>
        <v>2.8539001426567137E-2</v>
      </c>
      <c r="K43" s="2"/>
      <c r="L43" s="6">
        <f t="shared" si="31"/>
        <v>106.50999999999988</v>
      </c>
      <c r="M43" s="2"/>
      <c r="N43" s="7">
        <f t="shared" si="32"/>
        <v>0.10993332370001845</v>
      </c>
      <c r="O43" s="11"/>
      <c r="P43" s="6">
        <v>5376.85</v>
      </c>
      <c r="Q43" s="2"/>
      <c r="R43" s="7">
        <f t="shared" si="33"/>
        <v>2.1711751000415913</v>
      </c>
      <c r="S43" s="2"/>
      <c r="T43" s="6">
        <v>4844.3</v>
      </c>
      <c r="U43" s="2"/>
      <c r="V43" s="7">
        <f t="shared" si="34"/>
        <v>2.8812021410455003E-2</v>
      </c>
      <c r="W43" s="2"/>
      <c r="X43" s="6">
        <f t="shared" si="35"/>
        <v>532.55000000000018</v>
      </c>
      <c r="Y43" s="2"/>
      <c r="Z43" s="7">
        <f t="shared" si="36"/>
        <v>0.10993332370001861</v>
      </c>
    </row>
    <row r="44" spans="1:26" s="26" customFormat="1" outlineLevel="1" collapsed="1" x14ac:dyDescent="0.25">
      <c r="A44" s="27"/>
      <c r="B44" s="13" t="str">
        <f>CONCATENATE("     ","General                                           ")</f>
        <v xml:space="preserve">     General                                           </v>
      </c>
      <c r="C44" s="13"/>
      <c r="D44" s="1">
        <f>SUM(OSRRefD22_5x_0)</f>
        <v>0</v>
      </c>
      <c r="E44" s="1"/>
      <c r="F44" s="5">
        <f t="shared" si="29"/>
        <v>0</v>
      </c>
      <c r="G44" s="1"/>
      <c r="H44" s="1">
        <f>SUM(OSRRefH22_5x_0)</f>
        <v>0</v>
      </c>
      <c r="I44" s="1"/>
      <c r="J44" s="5">
        <f t="shared" si="30"/>
        <v>0</v>
      </c>
      <c r="K44" s="1"/>
      <c r="L44" s="1">
        <f t="shared" si="31"/>
        <v>0</v>
      </c>
      <c r="M44" s="1"/>
      <c r="N44" s="5">
        <f t="shared" si="32"/>
        <v>0</v>
      </c>
      <c r="O44" s="13"/>
      <c r="P44" s="1">
        <f>SUM(OSRRefP22_5x_0)</f>
        <v>754.55</v>
      </c>
      <c r="Q44" s="1"/>
      <c r="R44" s="5">
        <f t="shared" si="33"/>
        <v>0.3046877208284372</v>
      </c>
      <c r="S44" s="1"/>
      <c r="T44" s="1">
        <f>SUM(OSRRefT22_5x_0)</f>
        <v>1031.19</v>
      </c>
      <c r="U44" s="1"/>
      <c r="V44" s="5">
        <f t="shared" si="34"/>
        <v>6.1331189972229413E-3</v>
      </c>
      <c r="W44" s="1"/>
      <c r="X44" s="1">
        <f t="shared" si="35"/>
        <v>-276.6400000000001</v>
      </c>
      <c r="Y44" s="1"/>
      <c r="Z44" s="5">
        <f t="shared" si="36"/>
        <v>-0.26827257828334261</v>
      </c>
    </row>
    <row r="45" spans="1:26" s="24" customFormat="1" hidden="1" outlineLevel="2" x14ac:dyDescent="0.25">
      <c r="A45" s="25"/>
      <c r="B45" s="11" t="str">
        <f>CONCATENATE("          ", "6279", " - ", "GENERAL EXPENSE")</f>
        <v xml:space="preserve">          6279 - GENERAL EXPENSE</v>
      </c>
      <c r="C45" s="11"/>
      <c r="D45" s="6"/>
      <c r="E45" s="2"/>
      <c r="F45" s="7">
        <f t="shared" si="29"/>
        <v>0</v>
      </c>
      <c r="G45" s="2"/>
      <c r="H45" s="6"/>
      <c r="I45" s="2"/>
      <c r="J45" s="7">
        <f t="shared" si="30"/>
        <v>0</v>
      </c>
      <c r="K45" s="2"/>
      <c r="L45" s="6">
        <f t="shared" si="31"/>
        <v>0</v>
      </c>
      <c r="M45" s="2"/>
      <c r="N45" s="7">
        <f t="shared" si="32"/>
        <v>0</v>
      </c>
      <c r="O45" s="11"/>
      <c r="P45" s="6">
        <v>754.55</v>
      </c>
      <c r="Q45" s="2"/>
      <c r="R45" s="7">
        <f t="shared" si="33"/>
        <v>0.3046877208284372</v>
      </c>
      <c r="S45" s="2"/>
      <c r="T45" s="6">
        <v>1031.19</v>
      </c>
      <c r="U45" s="2"/>
      <c r="V45" s="7">
        <f t="shared" si="34"/>
        <v>6.1331189972229413E-3</v>
      </c>
      <c r="W45" s="2"/>
      <c r="X45" s="6">
        <f t="shared" si="35"/>
        <v>-276.6400000000001</v>
      </c>
      <c r="Y45" s="2"/>
      <c r="Z45" s="7">
        <f t="shared" si="36"/>
        <v>-0.26827257828334261</v>
      </c>
    </row>
    <row r="46" spans="1:26" s="26" customFormat="1" outlineLevel="1" collapsed="1" x14ac:dyDescent="0.25">
      <c r="A46" s="27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SUM(OSRRefD22_6x_0)</f>
        <v>0</v>
      </c>
      <c r="E46" s="1"/>
      <c r="F46" s="5">
        <f t="shared" si="29"/>
        <v>0</v>
      </c>
      <c r="G46" s="1"/>
      <c r="H46" s="1">
        <f>SUM(OSRRefH22_6x_0)</f>
        <v>0</v>
      </c>
      <c r="I46" s="1"/>
      <c r="J46" s="5">
        <f t="shared" si="30"/>
        <v>0</v>
      </c>
      <c r="K46" s="1"/>
      <c r="L46" s="1">
        <f t="shared" si="31"/>
        <v>0</v>
      </c>
      <c r="M46" s="1"/>
      <c r="N46" s="5">
        <f t="shared" si="32"/>
        <v>0</v>
      </c>
      <c r="O46" s="13"/>
      <c r="P46" s="1">
        <f>SUM(OSRRefP22_6x_0)</f>
        <v>444.39</v>
      </c>
      <c r="Q46" s="1"/>
      <c r="R46" s="5">
        <f t="shared" si="33"/>
        <v>0.17944493573513912</v>
      </c>
      <c r="S46" s="1"/>
      <c r="T46" s="1">
        <f>SUM(OSRRefT22_6x_0)</f>
        <v>839.91</v>
      </c>
      <c r="U46" s="1"/>
      <c r="V46" s="5">
        <f t="shared" si="34"/>
        <v>4.9954595922744793E-3</v>
      </c>
      <c r="W46" s="1"/>
      <c r="X46" s="1">
        <f t="shared" si="35"/>
        <v>-395.52</v>
      </c>
      <c r="Y46" s="1"/>
      <c r="Z46" s="5">
        <f t="shared" si="36"/>
        <v>-0.4709075972425617</v>
      </c>
    </row>
    <row r="47" spans="1:26" s="24" customFormat="1" hidden="1" outlineLevel="2" x14ac:dyDescent="0.25">
      <c r="A47" s="25"/>
      <c r="B47" s="11" t="str">
        <f>CONCATENATE("          ", "6371", " - ", "COMPUTER SOFTWARE MAINTENANCE")</f>
        <v xml:space="preserve">          6371 - COMPUTER SOFTWARE MAINTENANCE</v>
      </c>
      <c r="C47" s="11"/>
      <c r="D47" s="6"/>
      <c r="E47" s="2"/>
      <c r="F47" s="7">
        <f t="shared" si="29"/>
        <v>0</v>
      </c>
      <c r="G47" s="2"/>
      <c r="H47" s="6"/>
      <c r="I47" s="2"/>
      <c r="J47" s="7">
        <f t="shared" si="30"/>
        <v>0</v>
      </c>
      <c r="K47" s="2"/>
      <c r="L47" s="6">
        <f t="shared" si="31"/>
        <v>0</v>
      </c>
      <c r="M47" s="2"/>
      <c r="N47" s="7">
        <f t="shared" si="32"/>
        <v>0</v>
      </c>
      <c r="O47" s="11"/>
      <c r="P47" s="6"/>
      <c r="Q47" s="2"/>
      <c r="R47" s="7">
        <f t="shared" si="33"/>
        <v>0</v>
      </c>
      <c r="S47" s="2"/>
      <c r="T47" s="6">
        <v>437.31</v>
      </c>
      <c r="U47" s="2"/>
      <c r="V47" s="7">
        <f t="shared" si="34"/>
        <v>2.6009506188729181E-3</v>
      </c>
      <c r="W47" s="2"/>
      <c r="X47" s="6">
        <f t="shared" si="35"/>
        <v>-437.31</v>
      </c>
      <c r="Y47" s="2"/>
      <c r="Z47" s="7">
        <f t="shared" si="36"/>
        <v>-1</v>
      </c>
    </row>
    <row r="48" spans="1:26" s="24" customFormat="1" hidden="1" outlineLevel="2" x14ac:dyDescent="0.25">
      <c r="A48" s="25"/>
      <c r="B48" s="11" t="str">
        <f>CONCATENATE("          ", "6373", " - ", "MAINTENANCE CONTRACTS")</f>
        <v xml:space="preserve">          6373 - MAINTENANCE CONTRACTS</v>
      </c>
      <c r="C48" s="11"/>
      <c r="D48" s="6"/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>
        <v>126.83</v>
      </c>
      <c r="Q48" s="2"/>
      <c r="R48" s="7">
        <f t="shared" si="33"/>
        <v>5.1214026416633349E-2</v>
      </c>
      <c r="S48" s="2"/>
      <c r="T48" s="6">
        <v>45.65</v>
      </c>
      <c r="U48" s="2"/>
      <c r="V48" s="7">
        <f t="shared" si="34"/>
        <v>2.7150853113706229E-4</v>
      </c>
      <c r="W48" s="2"/>
      <c r="X48" s="6">
        <f t="shared" si="35"/>
        <v>81.180000000000007</v>
      </c>
      <c r="Y48" s="2"/>
      <c r="Z48" s="7">
        <f t="shared" si="36"/>
        <v>1.7783132530120485</v>
      </c>
    </row>
    <row r="49" spans="1:26" s="24" customFormat="1" hidden="1" outlineLevel="2" x14ac:dyDescent="0.25">
      <c r="A49" s="25"/>
      <c r="B49" s="11" t="str">
        <f>CONCATENATE("          ", "6375", " - ", "OUTSIDE REPAIRS &amp; MAINTENANCE")</f>
        <v xml:space="preserve">          6375 - OUTSIDE REPAIRS &amp; MAINTENANCE</v>
      </c>
      <c r="C49" s="11"/>
      <c r="D49" s="6"/>
      <c r="E49" s="2"/>
      <c r="F49" s="7">
        <f t="shared" si="29"/>
        <v>0</v>
      </c>
      <c r="G49" s="2"/>
      <c r="H49" s="6"/>
      <c r="I49" s="2"/>
      <c r="J49" s="7">
        <f t="shared" si="30"/>
        <v>0</v>
      </c>
      <c r="K49" s="2"/>
      <c r="L49" s="6">
        <f t="shared" si="31"/>
        <v>0</v>
      </c>
      <c r="M49" s="2"/>
      <c r="N49" s="7">
        <f t="shared" si="32"/>
        <v>0</v>
      </c>
      <c r="O49" s="11"/>
      <c r="P49" s="6">
        <v>317.56</v>
      </c>
      <c r="Q49" s="2"/>
      <c r="R49" s="7">
        <f t="shared" si="33"/>
        <v>0.12823090931850575</v>
      </c>
      <c r="S49" s="2"/>
      <c r="T49" s="6">
        <v>356.95</v>
      </c>
      <c r="U49" s="2"/>
      <c r="V49" s="7">
        <f t="shared" si="34"/>
        <v>2.1230004422644988E-3</v>
      </c>
      <c r="W49" s="2"/>
      <c r="X49" s="6">
        <f t="shared" si="35"/>
        <v>-39.389999999999986</v>
      </c>
      <c r="Y49" s="2"/>
      <c r="Z49" s="7">
        <f t="shared" si="36"/>
        <v>-0.11035158985852357</v>
      </c>
    </row>
    <row r="50" spans="1:26" s="26" customFormat="1" outlineLevel="1" collapsed="1" x14ac:dyDescent="0.25">
      <c r="A50" s="27"/>
      <c r="B50" s="13" t="str">
        <f>CONCATENATE("     ","Royalty &amp; Commissions                             ")</f>
        <v xml:space="preserve">     Royalty &amp; Commissions                             </v>
      </c>
      <c r="C50" s="13"/>
      <c r="D50" s="1">
        <f>SUM(OSRRefD22_7x_0)</f>
        <v>0</v>
      </c>
      <c r="E50" s="1"/>
      <c r="F50" s="5">
        <f t="shared" ref="F50:F55" si="37">IF(D$12=0,0,D50/D$12)</f>
        <v>0</v>
      </c>
      <c r="G50" s="1"/>
      <c r="H50" s="1">
        <f>SUM(OSRRefH22_7x_0)</f>
        <v>0</v>
      </c>
      <c r="I50" s="1"/>
      <c r="J50" s="5">
        <f t="shared" ref="J50:J55" si="38">IF(H$12=0,0,H50/H$12)</f>
        <v>0</v>
      </c>
      <c r="K50" s="1"/>
      <c r="L50" s="1">
        <f t="shared" ref="L50:L55" si="39">+D50-H50</f>
        <v>0</v>
      </c>
      <c r="M50" s="1"/>
      <c r="N50" s="5">
        <f t="shared" ref="N50:N55" si="40">IF(H50=0,0,L50/H50)</f>
        <v>0</v>
      </c>
      <c r="O50" s="13"/>
      <c r="P50" s="1">
        <f>SUM(OSRRefP22_7x_0)</f>
        <v>185.7</v>
      </c>
      <c r="Q50" s="1"/>
      <c r="R50" s="5">
        <f t="shared" ref="R50:R55" si="41">IF(P$12=0,0,P50/P$12)</f>
        <v>7.4985766029873155E-2</v>
      </c>
      <c r="S50" s="1"/>
      <c r="T50" s="1">
        <f>SUM(OSRRefT22_7x_0)</f>
        <v>5673.45</v>
      </c>
      <c r="U50" s="1"/>
      <c r="V50" s="5">
        <f t="shared" ref="V50:V55" si="42">IF(T$12=0,0,T50/T$12)</f>
        <v>3.3743484687394652E-2</v>
      </c>
      <c r="W50" s="1"/>
      <c r="X50" s="1">
        <f t="shared" ref="X50:X55" si="43">+P50-T50</f>
        <v>-5487.75</v>
      </c>
      <c r="Y50" s="1"/>
      <c r="Z50" s="5">
        <f t="shared" ref="Z50:Z55" si="44">IF(T50=0,0,X50/T50)</f>
        <v>-0.96726859318404146</v>
      </c>
    </row>
    <row r="51" spans="1:26" s="24" customFormat="1" hidden="1" outlineLevel="2" x14ac:dyDescent="0.25">
      <c r="A51" s="25"/>
      <c r="B51" s="11" t="str">
        <f>CONCATENATE("          ", "6254", " - ", "ROYALTY &amp; COMMISSIONS")</f>
        <v xml:space="preserve">          6254 - ROYALTY &amp; COMMISSIONS</v>
      </c>
      <c r="C51" s="11"/>
      <c r="D51" s="6"/>
      <c r="E51" s="2"/>
      <c r="F51" s="7">
        <f t="shared" si="37"/>
        <v>0</v>
      </c>
      <c r="G51" s="2"/>
      <c r="H51" s="6"/>
      <c r="I51" s="2"/>
      <c r="J51" s="7">
        <f t="shared" si="38"/>
        <v>0</v>
      </c>
      <c r="K51" s="2"/>
      <c r="L51" s="6">
        <f t="shared" si="39"/>
        <v>0</v>
      </c>
      <c r="M51" s="2"/>
      <c r="N51" s="7">
        <f t="shared" si="40"/>
        <v>0</v>
      </c>
      <c r="O51" s="11"/>
      <c r="P51" s="6">
        <v>185.7</v>
      </c>
      <c r="Q51" s="2"/>
      <c r="R51" s="7">
        <f t="shared" si="41"/>
        <v>7.4985766029873155E-2</v>
      </c>
      <c r="S51" s="2"/>
      <c r="T51" s="6">
        <v>5673.45</v>
      </c>
      <c r="U51" s="2"/>
      <c r="V51" s="7">
        <f t="shared" si="42"/>
        <v>3.3743484687394652E-2</v>
      </c>
      <c r="W51" s="2"/>
      <c r="X51" s="6">
        <f t="shared" si="43"/>
        <v>-5487.75</v>
      </c>
      <c r="Y51" s="2"/>
      <c r="Z51" s="7">
        <f t="shared" si="44"/>
        <v>-0.96726859318404146</v>
      </c>
    </row>
    <row r="52" spans="1:26" s="26" customFormat="1" outlineLevel="1" collapsed="1" x14ac:dyDescent="0.25">
      <c r="A52" s="27"/>
      <c r="B52" s="13" t="str">
        <f>CONCATENATE("     ","Services                                          ")</f>
        <v xml:space="preserve">     Services                                          </v>
      </c>
      <c r="C52" s="13"/>
      <c r="D52" s="1">
        <f>SUM(OSRRefD22_8x_0)</f>
        <v>41</v>
      </c>
      <c r="E52" s="1"/>
      <c r="F52" s="5">
        <f t="shared" si="37"/>
        <v>0</v>
      </c>
      <c r="G52" s="1"/>
      <c r="H52" s="1">
        <f>SUM(OSRRefH22_8x_0)</f>
        <v>196.58</v>
      </c>
      <c r="I52" s="1"/>
      <c r="J52" s="5">
        <f t="shared" si="38"/>
        <v>5.7905134905296618E-3</v>
      </c>
      <c r="K52" s="1"/>
      <c r="L52" s="1">
        <f t="shared" si="39"/>
        <v>-155.58000000000001</v>
      </c>
      <c r="M52" s="1"/>
      <c r="N52" s="5">
        <f t="shared" si="40"/>
        <v>-0.7914335130735578</v>
      </c>
      <c r="O52" s="13"/>
      <c r="P52" s="1">
        <f>SUM(OSRRefP22_8x_0)</f>
        <v>-63.319999999999993</v>
      </c>
      <c r="Q52" s="1"/>
      <c r="R52" s="5">
        <f t="shared" si="41"/>
        <v>-2.556865215407414E-2</v>
      </c>
      <c r="S52" s="1"/>
      <c r="T52" s="1">
        <f>SUM(OSRRefT22_8x_0)</f>
        <v>1004.34</v>
      </c>
      <c r="U52" s="1"/>
      <c r="V52" s="5">
        <f t="shared" si="42"/>
        <v>5.9734255895333432E-3</v>
      </c>
      <c r="W52" s="1"/>
      <c r="X52" s="1">
        <f t="shared" si="43"/>
        <v>-1067.6600000000001</v>
      </c>
      <c r="Y52" s="1"/>
      <c r="Z52" s="5">
        <f t="shared" si="44"/>
        <v>-1.0630463787163711</v>
      </c>
    </row>
    <row r="53" spans="1:26" s="24" customFormat="1" hidden="1" outlineLevel="2" x14ac:dyDescent="0.25">
      <c r="A53" s="25"/>
      <c r="B53" s="11" t="str">
        <f>CONCATENATE("          ", "6282", " - ", "JANITORIAL/EXTERMINATOR EXPENS")</f>
        <v xml:space="preserve">          6282 - JANITORIAL/EXTERMINATOR EXPENS</v>
      </c>
      <c r="C53" s="11"/>
      <c r="D53" s="6">
        <v>41</v>
      </c>
      <c r="E53" s="2"/>
      <c r="F53" s="7">
        <f t="shared" si="37"/>
        <v>0</v>
      </c>
      <c r="G53" s="2"/>
      <c r="H53" s="6">
        <v>41</v>
      </c>
      <c r="I53" s="2"/>
      <c r="J53" s="7">
        <f t="shared" si="38"/>
        <v>1.2077070562199416E-3</v>
      </c>
      <c r="K53" s="2"/>
      <c r="L53" s="6">
        <f t="shared" si="39"/>
        <v>0</v>
      </c>
      <c r="M53" s="2"/>
      <c r="N53" s="7">
        <f t="shared" si="40"/>
        <v>0</v>
      </c>
      <c r="O53" s="11"/>
      <c r="P53" s="6">
        <v>82</v>
      </c>
      <c r="Q53" s="2"/>
      <c r="R53" s="7">
        <f t="shared" si="41"/>
        <v>3.3111646819868598E-2</v>
      </c>
      <c r="S53" s="2"/>
      <c r="T53" s="6">
        <v>82</v>
      </c>
      <c r="U53" s="2"/>
      <c r="V53" s="7">
        <f t="shared" si="42"/>
        <v>4.8770426184532547E-4</v>
      </c>
      <c r="W53" s="2"/>
      <c r="X53" s="6">
        <f t="shared" si="43"/>
        <v>0</v>
      </c>
      <c r="Y53" s="2"/>
      <c r="Z53" s="7">
        <f t="shared" si="44"/>
        <v>0</v>
      </c>
    </row>
    <row r="54" spans="1:26" s="24" customFormat="1" hidden="1" outlineLevel="2" x14ac:dyDescent="0.25">
      <c r="A54" s="25"/>
      <c r="B54" s="11" t="str">
        <f>CONCATENATE("          ", "6285", " - ", "JANITORIAL SERVICES")</f>
        <v xml:space="preserve">          6285 - JANITORIAL SERVICES</v>
      </c>
      <c r="C54" s="11"/>
      <c r="D54" s="6"/>
      <c r="E54" s="2"/>
      <c r="F54" s="7">
        <f t="shared" si="37"/>
        <v>0</v>
      </c>
      <c r="G54" s="2"/>
      <c r="H54" s="6">
        <v>22.62</v>
      </c>
      <c r="I54" s="2"/>
      <c r="J54" s="7">
        <f t="shared" si="38"/>
        <v>6.6630081979744096E-4</v>
      </c>
      <c r="K54" s="2"/>
      <c r="L54" s="6">
        <f t="shared" si="39"/>
        <v>-22.62</v>
      </c>
      <c r="M54" s="2"/>
      <c r="N54" s="7">
        <f t="shared" si="40"/>
        <v>-1</v>
      </c>
      <c r="O54" s="11"/>
      <c r="P54" s="6">
        <v>-145.32</v>
      </c>
      <c r="Q54" s="2"/>
      <c r="R54" s="7">
        <f t="shared" si="41"/>
        <v>-5.8680298973942738E-2</v>
      </c>
      <c r="S54" s="2"/>
      <c r="T54" s="6">
        <v>113.1</v>
      </c>
      <c r="U54" s="2"/>
      <c r="V54" s="7">
        <f t="shared" si="42"/>
        <v>6.7267502456958906E-4</v>
      </c>
      <c r="W54" s="2"/>
      <c r="X54" s="6">
        <f t="shared" si="43"/>
        <v>-258.41999999999996</v>
      </c>
      <c r="Y54" s="2"/>
      <c r="Z54" s="7">
        <f t="shared" si="44"/>
        <v>-2.2848806366047745</v>
      </c>
    </row>
    <row r="55" spans="1:26" s="24" customFormat="1" hidden="1" outlineLevel="2" x14ac:dyDescent="0.25">
      <c r="A55" s="25"/>
      <c r="B55" s="11" t="str">
        <f>CONCATENATE("          ", "6286", " - ", "LAUNDRY EXPENSE")</f>
        <v xml:space="preserve">          6286 - LAUNDRY EXPENSE</v>
      </c>
      <c r="C55" s="11"/>
      <c r="D55" s="6"/>
      <c r="E55" s="2"/>
      <c r="F55" s="7">
        <f t="shared" si="37"/>
        <v>0</v>
      </c>
      <c r="G55" s="2"/>
      <c r="H55" s="6">
        <v>132.96</v>
      </c>
      <c r="I55" s="2"/>
      <c r="J55" s="7">
        <f t="shared" si="38"/>
        <v>3.9165056145122794E-3</v>
      </c>
      <c r="K55" s="2"/>
      <c r="L55" s="6">
        <f t="shared" si="39"/>
        <v>-132.96</v>
      </c>
      <c r="M55" s="2"/>
      <c r="N55" s="7">
        <f t="shared" si="40"/>
        <v>-1</v>
      </c>
      <c r="O55" s="11"/>
      <c r="P55" s="6"/>
      <c r="Q55" s="2"/>
      <c r="R55" s="7">
        <f t="shared" si="41"/>
        <v>0</v>
      </c>
      <c r="S55" s="2"/>
      <c r="T55" s="6">
        <v>809.24</v>
      </c>
      <c r="U55" s="2"/>
      <c r="V55" s="7">
        <f t="shared" si="42"/>
        <v>4.8130463031184293E-3</v>
      </c>
      <c r="W55" s="2"/>
      <c r="X55" s="6">
        <f t="shared" si="43"/>
        <v>-809.24</v>
      </c>
      <c r="Y55" s="2"/>
      <c r="Z55" s="7">
        <f t="shared" si="44"/>
        <v>-1</v>
      </c>
    </row>
    <row r="56" spans="1:26" s="26" customFormat="1" outlineLevel="1" collapsed="1" x14ac:dyDescent="0.25">
      <c r="A56" s="27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SUM(OSRRefD22_9x_0)</f>
        <v>0</v>
      </c>
      <c r="E56" s="1"/>
      <c r="F56" s="5">
        <f t="shared" ref="F56:F60" si="45">IF(D$12=0,0,D56/D$12)</f>
        <v>0</v>
      </c>
      <c r="G56" s="1"/>
      <c r="H56" s="1">
        <f>SUM(OSRRefH22_9x_0)</f>
        <v>693.45</v>
      </c>
      <c r="I56" s="1"/>
      <c r="J56" s="5">
        <f t="shared" ref="J56:J60" si="46">IF(H$12=0,0,H56/H$12)</f>
        <v>2.0426450198432158E-2</v>
      </c>
      <c r="K56" s="1"/>
      <c r="L56" s="1">
        <f t="shared" ref="L56:L60" si="47">+D56-H56</f>
        <v>-693.45</v>
      </c>
      <c r="M56" s="1"/>
      <c r="N56" s="5">
        <f t="shared" ref="N56:N60" si="48">IF(H56=0,0,L56/H56)</f>
        <v>-1</v>
      </c>
      <c r="O56" s="13"/>
      <c r="P56" s="1">
        <f>SUM(OSRRefP22_9x_0)</f>
        <v>328.55</v>
      </c>
      <c r="Q56" s="1"/>
      <c r="R56" s="5">
        <f t="shared" ref="R56:R60" si="49">IF(P$12=0,0,P56/P$12)</f>
        <v>0.13266867759351011</v>
      </c>
      <c r="S56" s="1"/>
      <c r="T56" s="1">
        <f>SUM(OSRRefT22_9x_0)</f>
        <v>5633.0700000000006</v>
      </c>
      <c r="U56" s="1"/>
      <c r="V56" s="5">
        <f t="shared" ref="V56:V60" si="50">IF(T$12=0,0,T56/T$12)</f>
        <v>3.350332007650058E-2</v>
      </c>
      <c r="W56" s="1"/>
      <c r="X56" s="1">
        <f t="shared" ref="X56:X60" si="51">+P56-T56</f>
        <v>-5304.52</v>
      </c>
      <c r="Y56" s="1"/>
      <c r="Z56" s="5">
        <f t="shared" ref="Z56:Z60" si="52">IF(T56=0,0,X56/T56)</f>
        <v>-0.94167478834809437</v>
      </c>
    </row>
    <row r="57" spans="1:26" s="24" customFormat="1" hidden="1" outlineLevel="2" x14ac:dyDescent="0.25">
      <c r="A57" s="25"/>
      <c r="B57" s="11" t="str">
        <f>CONCATENATE("          ", "6234", " - ", "EXPENDABLE SUPPLIES &amp; EQUIPMEN")</f>
        <v xml:space="preserve">          6234 - EXPENDABLE SUPPLIES &amp; EQUIPMEN</v>
      </c>
      <c r="C57" s="11"/>
      <c r="D57" s="6"/>
      <c r="E57" s="2"/>
      <c r="F57" s="7">
        <f t="shared" si="45"/>
        <v>0</v>
      </c>
      <c r="G57" s="2"/>
      <c r="H57" s="6"/>
      <c r="I57" s="2"/>
      <c r="J57" s="7">
        <f t="shared" si="46"/>
        <v>0</v>
      </c>
      <c r="K57" s="2"/>
      <c r="L57" s="6">
        <f t="shared" si="47"/>
        <v>0</v>
      </c>
      <c r="M57" s="2"/>
      <c r="N57" s="7">
        <f t="shared" si="48"/>
        <v>0</v>
      </c>
      <c r="O57" s="11"/>
      <c r="P57" s="6"/>
      <c r="Q57" s="2"/>
      <c r="R57" s="7">
        <f t="shared" si="49"/>
        <v>0</v>
      </c>
      <c r="S57" s="2"/>
      <c r="T57" s="6">
        <v>354.71</v>
      </c>
      <c r="U57" s="2"/>
      <c r="V57" s="7">
        <f t="shared" si="50"/>
        <v>2.1096777892579926E-3</v>
      </c>
      <c r="W57" s="2"/>
      <c r="X57" s="6">
        <f t="shared" si="51"/>
        <v>-354.71</v>
      </c>
      <c r="Y57" s="2"/>
      <c r="Z57" s="7">
        <f t="shared" si="52"/>
        <v>-1</v>
      </c>
    </row>
    <row r="58" spans="1:26" s="24" customFormat="1" hidden="1" outlineLevel="2" x14ac:dyDescent="0.25">
      <c r="A58" s="25"/>
      <c r="B58" s="11" t="str">
        <f>CONCATENATE("          ", "6235", " - ", "COVID-19 EXPENSES")</f>
        <v xml:space="preserve">          6235 - COVID-19 EXPENSES</v>
      </c>
      <c r="C58" s="11"/>
      <c r="D58" s="6"/>
      <c r="E58" s="2"/>
      <c r="F58" s="7">
        <f t="shared" si="45"/>
        <v>0</v>
      </c>
      <c r="G58" s="2"/>
      <c r="H58" s="6"/>
      <c r="I58" s="2"/>
      <c r="J58" s="7">
        <f t="shared" si="46"/>
        <v>0</v>
      </c>
      <c r="K58" s="2"/>
      <c r="L58" s="6">
        <f t="shared" si="47"/>
        <v>0</v>
      </c>
      <c r="M58" s="2"/>
      <c r="N58" s="7">
        <f t="shared" si="48"/>
        <v>0</v>
      </c>
      <c r="O58" s="11"/>
      <c r="P58" s="6">
        <v>207.27</v>
      </c>
      <c r="Q58" s="2"/>
      <c r="R58" s="7">
        <f t="shared" si="49"/>
        <v>8.3695744345782502E-2</v>
      </c>
      <c r="S58" s="2"/>
      <c r="T58" s="6"/>
      <c r="U58" s="2"/>
      <c r="V58" s="7">
        <f t="shared" si="50"/>
        <v>0</v>
      </c>
      <c r="W58" s="2"/>
      <c r="X58" s="6">
        <f t="shared" si="51"/>
        <v>207.27</v>
      </c>
      <c r="Y58" s="2"/>
      <c r="Z58" s="7">
        <f t="shared" si="52"/>
        <v>0</v>
      </c>
    </row>
    <row r="59" spans="1:26" s="24" customFormat="1" hidden="1" outlineLevel="2" x14ac:dyDescent="0.25">
      <c r="A59" s="25"/>
      <c r="B59" s="11" t="str">
        <f>CONCATENATE("          ", "6237", " - ", "JANITORIAL SUPPLIES")</f>
        <v xml:space="preserve">          6237 - JANITORIAL SUPPLIES</v>
      </c>
      <c r="C59" s="11"/>
      <c r="D59" s="6"/>
      <c r="E59" s="2"/>
      <c r="F59" s="7">
        <f t="shared" si="45"/>
        <v>0</v>
      </c>
      <c r="G59" s="2"/>
      <c r="H59" s="6"/>
      <c r="I59" s="2"/>
      <c r="J59" s="7">
        <f t="shared" si="46"/>
        <v>0</v>
      </c>
      <c r="K59" s="2"/>
      <c r="L59" s="6">
        <f t="shared" si="47"/>
        <v>0</v>
      </c>
      <c r="M59" s="2"/>
      <c r="N59" s="7">
        <f t="shared" si="48"/>
        <v>0</v>
      </c>
      <c r="O59" s="11"/>
      <c r="P59" s="6"/>
      <c r="Q59" s="2"/>
      <c r="R59" s="7">
        <f t="shared" si="49"/>
        <v>0</v>
      </c>
      <c r="S59" s="2"/>
      <c r="T59" s="6">
        <v>20.93</v>
      </c>
      <c r="U59" s="2"/>
      <c r="V59" s="7">
        <f t="shared" si="50"/>
        <v>1.2448353902954465E-4</v>
      </c>
      <c r="W59" s="2"/>
      <c r="X59" s="6">
        <f t="shared" si="51"/>
        <v>-20.93</v>
      </c>
      <c r="Y59" s="2"/>
      <c r="Z59" s="7">
        <f t="shared" si="52"/>
        <v>-1</v>
      </c>
    </row>
    <row r="60" spans="1:26" s="24" customFormat="1" hidden="1" outlineLevel="2" x14ac:dyDescent="0.25">
      <c r="A60" s="25"/>
      <c r="B60" s="11" t="str">
        <f>CONCATENATE("          ", "6247", " - ", "STORE SUPPLIES")</f>
        <v xml:space="preserve">          6247 - STORE SUPPLIES</v>
      </c>
      <c r="C60" s="11"/>
      <c r="D60" s="6"/>
      <c r="E60" s="2"/>
      <c r="F60" s="7">
        <f t="shared" si="45"/>
        <v>0</v>
      </c>
      <c r="G60" s="2"/>
      <c r="H60" s="6">
        <v>693.45</v>
      </c>
      <c r="I60" s="2"/>
      <c r="J60" s="7">
        <f t="shared" si="46"/>
        <v>2.0426450198432158E-2</v>
      </c>
      <c r="K60" s="2"/>
      <c r="L60" s="6">
        <f t="shared" si="47"/>
        <v>-693.45</v>
      </c>
      <c r="M60" s="2"/>
      <c r="N60" s="7">
        <f t="shared" si="48"/>
        <v>-1</v>
      </c>
      <c r="O60" s="11"/>
      <c r="P60" s="6">
        <v>121.28</v>
      </c>
      <c r="Q60" s="2"/>
      <c r="R60" s="7">
        <f t="shared" si="49"/>
        <v>4.8972933247727606E-2</v>
      </c>
      <c r="S60" s="2"/>
      <c r="T60" s="6">
        <v>5257.43</v>
      </c>
      <c r="U60" s="2"/>
      <c r="V60" s="7">
        <f t="shared" si="50"/>
        <v>3.1269158748213045E-2</v>
      </c>
      <c r="W60" s="2"/>
      <c r="X60" s="6">
        <f t="shared" si="51"/>
        <v>-5136.1500000000005</v>
      </c>
      <c r="Y60" s="2"/>
      <c r="Z60" s="7">
        <f t="shared" si="52"/>
        <v>-0.97693169476341102</v>
      </c>
    </row>
    <row r="61" spans="1:26" s="26" customFormat="1" outlineLevel="1" collapsed="1" x14ac:dyDescent="0.25">
      <c r="A61" s="27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SUM(OSRRefD22_10x_0)</f>
        <v>101.5</v>
      </c>
      <c r="E61" s="1"/>
      <c r="F61" s="5">
        <f t="shared" ref="F61:F64" si="53">IF(D$12=0,0,D61/D$12)</f>
        <v>0</v>
      </c>
      <c r="G61" s="1"/>
      <c r="H61" s="1">
        <f>SUM(OSRRefH22_10x_0)</f>
        <v>52.5</v>
      </c>
      <c r="I61" s="1"/>
      <c r="J61" s="5">
        <f t="shared" ref="J61:J64" si="54">IF(H$12=0,0,H61/H$12)</f>
        <v>1.5464541573548033E-3</v>
      </c>
      <c r="K61" s="1"/>
      <c r="L61" s="1">
        <f t="shared" ref="L61:L64" si="55">+D61-H61</f>
        <v>49</v>
      </c>
      <c r="M61" s="1"/>
      <c r="N61" s="5">
        <f t="shared" ref="N61:N64" si="56">IF(H61=0,0,L61/H61)</f>
        <v>0.93333333333333335</v>
      </c>
      <c r="O61" s="13"/>
      <c r="P61" s="1">
        <f>SUM(OSRRefP22_10x_0)</f>
        <v>531</v>
      </c>
      <c r="Q61" s="1"/>
      <c r="R61" s="5">
        <f t="shared" ref="R61:R64" si="57">IF(P$12=0,0,P61/P$12)</f>
        <v>0.21441810318719789</v>
      </c>
      <c r="S61" s="1"/>
      <c r="T61" s="1">
        <f>SUM(OSRRefT22_10x_0)</f>
        <v>277.5</v>
      </c>
      <c r="U61" s="1"/>
      <c r="V61" s="5">
        <f t="shared" ref="V61:V64" si="58">IF(T$12=0,0,T61/T$12)</f>
        <v>1.6504625934399733E-3</v>
      </c>
      <c r="W61" s="1"/>
      <c r="X61" s="1">
        <f t="shared" ref="X61:X64" si="59">+P61-T61</f>
        <v>253.5</v>
      </c>
      <c r="Y61" s="1"/>
      <c r="Z61" s="5">
        <f t="shared" ref="Z61:Z64" si="60">IF(T61=0,0,X61/T61)</f>
        <v>0.91351351351351351</v>
      </c>
    </row>
    <row r="62" spans="1:26" s="24" customFormat="1" hidden="1" outlineLevel="2" x14ac:dyDescent="0.25">
      <c r="A62" s="25"/>
      <c r="B62" s="11" t="str">
        <f>CONCATENATE("          ", "6309", " - ", "TELEPHONE")</f>
        <v xml:space="preserve">          6309 - TELEPHONE</v>
      </c>
      <c r="C62" s="11"/>
      <c r="D62" s="6">
        <v>101.5</v>
      </c>
      <c r="E62" s="2"/>
      <c r="F62" s="7">
        <f t="shared" si="53"/>
        <v>0</v>
      </c>
      <c r="G62" s="2"/>
      <c r="H62" s="6">
        <v>52.5</v>
      </c>
      <c r="I62" s="2"/>
      <c r="J62" s="7">
        <f t="shared" si="54"/>
        <v>1.5464541573548033E-3</v>
      </c>
      <c r="K62" s="2"/>
      <c r="L62" s="6">
        <f t="shared" si="55"/>
        <v>49</v>
      </c>
      <c r="M62" s="2"/>
      <c r="N62" s="7">
        <f t="shared" si="56"/>
        <v>0.93333333333333335</v>
      </c>
      <c r="O62" s="11"/>
      <c r="P62" s="6">
        <v>531</v>
      </c>
      <c r="Q62" s="2"/>
      <c r="R62" s="7">
        <f t="shared" si="57"/>
        <v>0.21441810318719789</v>
      </c>
      <c r="S62" s="2"/>
      <c r="T62" s="6">
        <v>277.5</v>
      </c>
      <c r="U62" s="2"/>
      <c r="V62" s="7">
        <f t="shared" si="58"/>
        <v>1.6504625934399733E-3</v>
      </c>
      <c r="W62" s="2"/>
      <c r="X62" s="6">
        <f t="shared" si="59"/>
        <v>253.5</v>
      </c>
      <c r="Y62" s="2"/>
      <c r="Z62" s="7">
        <f t="shared" si="60"/>
        <v>0.91351351351351351</v>
      </c>
    </row>
    <row r="63" spans="1:26" s="26" customFormat="1" outlineLevel="1" collapsed="1" x14ac:dyDescent="0.25">
      <c r="A63" s="27"/>
      <c r="B63" s="13" t="str">
        <f>CONCATENATE("     ","Utilities                                         ")</f>
        <v xml:space="preserve">     Utilities                                         </v>
      </c>
      <c r="C63" s="13"/>
      <c r="D63" s="1">
        <f>SUM(OSRRefD22_11x_0)</f>
        <v>50</v>
      </c>
      <c r="E63" s="1"/>
      <c r="F63" s="5">
        <f t="shared" si="53"/>
        <v>0</v>
      </c>
      <c r="G63" s="1"/>
      <c r="H63" s="1">
        <f>SUM(OSRRefH22_11x_0)</f>
        <v>25</v>
      </c>
      <c r="I63" s="1"/>
      <c r="J63" s="5">
        <f t="shared" si="54"/>
        <v>7.3640674159752536E-4</v>
      </c>
      <c r="K63" s="1"/>
      <c r="L63" s="1">
        <f t="shared" si="55"/>
        <v>25</v>
      </c>
      <c r="M63" s="1"/>
      <c r="N63" s="5">
        <f t="shared" si="56"/>
        <v>1</v>
      </c>
      <c r="O63" s="13"/>
      <c r="P63" s="1">
        <f>SUM(OSRRefP22_11x_0)</f>
        <v>250</v>
      </c>
      <c r="Q63" s="1"/>
      <c r="R63" s="5">
        <f t="shared" si="57"/>
        <v>0.10095014274350182</v>
      </c>
      <c r="S63" s="1"/>
      <c r="T63" s="1">
        <f>SUM(OSRRefT22_11x_0)</f>
        <v>-773.88</v>
      </c>
      <c r="U63" s="1"/>
      <c r="V63" s="5">
        <f t="shared" si="58"/>
        <v>-4.6027387092300058E-3</v>
      </c>
      <c r="W63" s="1"/>
      <c r="X63" s="1">
        <f t="shared" si="59"/>
        <v>1023.88</v>
      </c>
      <c r="Y63" s="1"/>
      <c r="Z63" s="5">
        <f t="shared" si="60"/>
        <v>-1.323047500904533</v>
      </c>
    </row>
    <row r="64" spans="1:26" s="24" customFormat="1" hidden="1" outlineLevel="2" x14ac:dyDescent="0.25">
      <c r="A64" s="25"/>
      <c r="B64" s="11" t="str">
        <f>CONCATENATE("          ", "6274", " - ", "UTILITIES")</f>
        <v xml:space="preserve">          6274 - UTILITIES</v>
      </c>
      <c r="C64" s="11"/>
      <c r="D64" s="6">
        <v>50</v>
      </c>
      <c r="E64" s="2"/>
      <c r="F64" s="7">
        <f t="shared" si="53"/>
        <v>0</v>
      </c>
      <c r="G64" s="2"/>
      <c r="H64" s="6">
        <v>25</v>
      </c>
      <c r="I64" s="2"/>
      <c r="J64" s="7">
        <f t="shared" si="54"/>
        <v>7.3640674159752536E-4</v>
      </c>
      <c r="K64" s="2"/>
      <c r="L64" s="6">
        <f t="shared" si="55"/>
        <v>25</v>
      </c>
      <c r="M64" s="2"/>
      <c r="N64" s="7">
        <f t="shared" si="56"/>
        <v>1</v>
      </c>
      <c r="O64" s="11"/>
      <c r="P64" s="6">
        <v>250</v>
      </c>
      <c r="Q64" s="2"/>
      <c r="R64" s="7">
        <f t="shared" si="57"/>
        <v>0.10095014274350182</v>
      </c>
      <c r="S64" s="2"/>
      <c r="T64" s="6">
        <v>-773.88</v>
      </c>
      <c r="U64" s="2"/>
      <c r="V64" s="7">
        <f t="shared" si="58"/>
        <v>-4.6027387092300058E-3</v>
      </c>
      <c r="W64" s="2"/>
      <c r="X64" s="6">
        <f t="shared" si="59"/>
        <v>1023.88</v>
      </c>
      <c r="Y64" s="2"/>
      <c r="Z64" s="7">
        <f t="shared" si="60"/>
        <v>-1.323047500904533</v>
      </c>
    </row>
    <row r="65" spans="1:26" s="53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9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8" t="s">
        <v>3</v>
      </c>
      <c r="C68" s="28"/>
      <c r="D68" s="20">
        <f>+D20-D22+D66</f>
        <v>-4495.3099999999995</v>
      </c>
      <c r="E68" s="14"/>
      <c r="F68" s="22">
        <f>IF(D$12=0,0,D68/D$12)</f>
        <v>0</v>
      </c>
      <c r="G68" s="14"/>
      <c r="H68" s="20">
        <f>+H20-H22+H66</f>
        <v>6625.3200000000052</v>
      </c>
      <c r="I68" s="14"/>
      <c r="J68" s="22">
        <f>IF(H$12=0,0,H68/H$12)</f>
        <v>0.1951572125296368</v>
      </c>
      <c r="K68" s="15"/>
      <c r="L68" s="20">
        <f>+D68-H68</f>
        <v>-11120.630000000005</v>
      </c>
      <c r="M68" s="15"/>
      <c r="N68" s="22">
        <f>IF(H68=0,0,L68/H68)</f>
        <v>-1.6785045854388914</v>
      </c>
      <c r="O68" s="29"/>
      <c r="P68" s="20">
        <f>+P20-P22+P66</f>
        <v>-29456.820000000003</v>
      </c>
      <c r="Q68" s="14"/>
      <c r="R68" s="22">
        <f>IF(P$12=0,0,P68/P$12)</f>
        <v>-11.894680735078559</v>
      </c>
      <c r="S68" s="14"/>
      <c r="T68" s="20">
        <f>+T20-T22+T66</f>
        <v>21869.280000000006</v>
      </c>
      <c r="U68" s="14"/>
      <c r="V68" s="22">
        <f>IF(T$12=0,0,T68/T$12)</f>
        <v>0.13007001292059442</v>
      </c>
      <c r="W68" s="15"/>
      <c r="X68" s="20">
        <f>+P68-T68</f>
        <v>-51326.100000000006</v>
      </c>
      <c r="Y68" s="15"/>
      <c r="Z68" s="22">
        <f>IF(T68=0,0,X68/T68)</f>
        <v>-2.3469496938170802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>
        <v>-142.94999999999999</v>
      </c>
      <c r="E70" s="4"/>
      <c r="F70" s="12">
        <f>IF(D$12=0,0,D70/D$12)</f>
        <v>0</v>
      </c>
      <c r="G70" s="4"/>
      <c r="H70" s="4">
        <v>4296.82</v>
      </c>
      <c r="I70" s="4"/>
      <c r="J70" s="12">
        <f>IF(H$12=0,0,H70/H$12)</f>
        <v>0.12656828861724315</v>
      </c>
      <c r="K70" s="4"/>
      <c r="L70" s="4">
        <f>+D70-H70</f>
        <v>-4439.7699999999995</v>
      </c>
      <c r="M70" s="4"/>
      <c r="N70" s="12">
        <f>IF(H70=0,0,L70/H70)</f>
        <v>-1.0332687894768688</v>
      </c>
      <c r="O70" s="10"/>
      <c r="P70" s="4">
        <v>393.51</v>
      </c>
      <c r="Q70" s="4"/>
      <c r="R70" s="12">
        <f>IF(P$12=0,0,P70/P$12)</f>
        <v>0.15889956268398162</v>
      </c>
      <c r="S70" s="4"/>
      <c r="T70" s="4">
        <v>17804.329999999998</v>
      </c>
      <c r="U70" s="4"/>
      <c r="V70" s="12">
        <f>IF(T$12=0,0,T70/T$12)</f>
        <v>0.10589326366220222</v>
      </c>
      <c r="W70" s="4"/>
      <c r="X70" s="4">
        <f>+P70-T70</f>
        <v>-17410.82</v>
      </c>
      <c r="Y70" s="4"/>
      <c r="Z70" s="12">
        <f>IF(T70=0,0,X70/T70)</f>
        <v>-0.97789807310918198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8" t="s">
        <v>4</v>
      </c>
      <c r="C72" s="28"/>
      <c r="D72" s="31">
        <f>+D68-D70</f>
        <v>-4352.3599999999997</v>
      </c>
      <c r="E72" s="14"/>
      <c r="F72" s="34">
        <f>IF(D$12=0,0,D72/D$12)</f>
        <v>0</v>
      </c>
      <c r="G72" s="14"/>
      <c r="H72" s="31">
        <f>+H68-H70</f>
        <v>2328.5000000000055</v>
      </c>
      <c r="I72" s="14"/>
      <c r="J72" s="34">
        <f>IF(H$12=0,0,H72/H$12)</f>
        <v>6.8588923912393671E-2</v>
      </c>
      <c r="K72" s="15"/>
      <c r="L72" s="31">
        <f>D72-H72</f>
        <v>-6680.8600000000051</v>
      </c>
      <c r="M72" s="15"/>
      <c r="N72" s="34">
        <f>IF(H72=0,0,L72/H72)</f>
        <v>-2.8691689929138886</v>
      </c>
      <c r="O72" s="29"/>
      <c r="P72" s="31">
        <f>+P68-P70</f>
        <v>-29850.33</v>
      </c>
      <c r="Q72" s="14"/>
      <c r="R72" s="34">
        <f>IF(P$12=0,0,P72/P$12)</f>
        <v>-12.05358029776254</v>
      </c>
      <c r="S72" s="14"/>
      <c r="T72" s="31">
        <f>+T68-T70</f>
        <v>4064.950000000008</v>
      </c>
      <c r="U72" s="14"/>
      <c r="V72" s="34">
        <f>IF(T$12=0,0,T72/T$12)</f>
        <v>2.417674925839219E-2</v>
      </c>
      <c r="W72" s="15"/>
      <c r="X72" s="31">
        <f>P72-T72</f>
        <v>-33915.280000000013</v>
      </c>
      <c r="Y72" s="15"/>
      <c r="Z72" s="34">
        <f>IF(T72=0,0,X72/T72)</f>
        <v>-8.3433449365920733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5</v>
      </c>
      <c r="C75" s="28"/>
      <c r="D75" s="32">
        <f>SUM(D72:D74)</f>
        <v>-4352.3599999999997</v>
      </c>
      <c r="E75" s="14"/>
      <c r="F75" s="30">
        <f>IF(D$12=0,0,D75/D$12)</f>
        <v>0</v>
      </c>
      <c r="G75" s="14"/>
      <c r="H75" s="32">
        <f>SUM(H72:H74)</f>
        <v>2328.5000000000055</v>
      </c>
      <c r="I75" s="14"/>
      <c r="J75" s="30">
        <f>IF(H$12=0,0,H75/H$12)</f>
        <v>6.8588923912393671E-2</v>
      </c>
      <c r="K75" s="15"/>
      <c r="L75" s="32">
        <f>+D75-H75</f>
        <v>-6680.8600000000051</v>
      </c>
      <c r="M75" s="15"/>
      <c r="N75" s="30">
        <f>IF(H75=0,0,L75/H75)</f>
        <v>-2.8691689929138886</v>
      </c>
      <c r="O75" s="29"/>
      <c r="P75" s="32">
        <f>SUM(P72:P74)</f>
        <v>-29850.33</v>
      </c>
      <c r="Q75" s="14"/>
      <c r="R75" s="30">
        <f>IF(P$12=0,0,P75/P$12)</f>
        <v>-12.05358029776254</v>
      </c>
      <c r="S75" s="14"/>
      <c r="T75" s="32">
        <f>SUM(T72:T74)</f>
        <v>4064.950000000008</v>
      </c>
      <c r="U75" s="14"/>
      <c r="V75" s="30">
        <f>IF(T$12=0,0,T75/T$12)</f>
        <v>2.417674925839219E-2</v>
      </c>
      <c r="W75" s="15"/>
      <c r="X75" s="32">
        <f>+P75-T75</f>
        <v>-33915.280000000013</v>
      </c>
      <c r="Y75" s="15"/>
      <c r="Z75" s="30">
        <f>IF(T75=0,0,X75/T75)</f>
        <v>-8.3433449365920733</v>
      </c>
    </row>
    <row r="76" spans="1:26" ht="15.75" thickTop="1" x14ac:dyDescent="0.25">
      <c r="A76" s="9"/>
      <c r="C76" s="9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A77" s="9"/>
      <c r="B77" s="54">
        <v>44174.685746527779</v>
      </c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A78" s="9"/>
      <c r="B78" s="56" t="s">
        <v>313</v>
      </c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61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","322", " - ", "Beach Hut")</f>
        <v>Department 322 - Beach Hut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92431.430000000008</v>
      </c>
      <c r="I12" s="4"/>
      <c r="J12" s="12"/>
      <c r="K12" s="4"/>
      <c r="L12" s="4">
        <f t="shared" ref="L12:L14" si="0">+D12-H12</f>
        <v>-92431.430000000008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415061.82</v>
      </c>
      <c r="U12" s="4"/>
      <c r="V12" s="12"/>
      <c r="W12" s="4"/>
      <c r="X12" s="4">
        <f t="shared" ref="X12:X14" si="2">+P12-T12</f>
        <v>-415061.82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--9811.97</f>
        <v>9811.9699999999993</v>
      </c>
      <c r="I13" s="2"/>
      <c r="J13" s="19"/>
      <c r="K13" s="2"/>
      <c r="L13" s="2">
        <f t="shared" si="0"/>
        <v>-9811.9699999999993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--53058.08</f>
        <v>53058.080000000002</v>
      </c>
      <c r="U13" s="2"/>
      <c r="V13" s="19"/>
      <c r="W13" s="2"/>
      <c r="X13" s="2">
        <f t="shared" si="2"/>
        <v>-53058.080000000002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--82619.46</f>
        <v>82619.460000000006</v>
      </c>
      <c r="I14" s="2"/>
      <c r="J14" s="19"/>
      <c r="K14" s="2"/>
      <c r="L14" s="2">
        <f t="shared" si="0"/>
        <v>-82619.460000000006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--362003.74</f>
        <v>362003.74</v>
      </c>
      <c r="U14" s="2"/>
      <c r="V14" s="19"/>
      <c r="W14" s="2"/>
      <c r="X14" s="2">
        <f t="shared" si="2"/>
        <v>-362003.74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46877.009999999995</v>
      </c>
      <c r="I16" s="4"/>
      <c r="J16" s="12">
        <f t="shared" ref="J16:J18" si="7">IF(H$12=0,0,H16/H$12)</f>
        <v>0.50715443870120791</v>
      </c>
      <c r="K16" s="4"/>
      <c r="L16" s="4">
        <f t="shared" ref="L16:L18" si="8">+D16-H16</f>
        <v>-46877.009999999995</v>
      </c>
      <c r="M16" s="4"/>
      <c r="N16" s="12">
        <f t="shared" ref="N16:N18" si="9">IF(H16=0,0,L16/H16)</f>
        <v>-1</v>
      </c>
      <c r="O16" s="10"/>
      <c r="P16" s="4">
        <f>SUM(OSRRefP16x_0)</f>
        <v>-1222.33</v>
      </c>
      <c r="Q16" s="4"/>
      <c r="R16" s="12">
        <f t="shared" ref="R16:R18" si="10">IF(P$12=0,0,P16/P$12)</f>
        <v>0</v>
      </c>
      <c r="S16" s="4"/>
      <c r="T16" s="4">
        <f>SUM(OSRRefT16x_0)</f>
        <v>211359.16999999998</v>
      </c>
      <c r="U16" s="4"/>
      <c r="V16" s="12">
        <f t="shared" ref="V16:V18" si="11">IF(T$12=0,0,T16/T$12)</f>
        <v>0.50922334894594734</v>
      </c>
      <c r="W16" s="4"/>
      <c r="X16" s="4">
        <f t="shared" ref="X16:X18" si="12">+P16-T16</f>
        <v>-212581.49999999997</v>
      </c>
      <c r="Y16" s="4"/>
      <c r="Z16" s="12">
        <f t="shared" ref="Z16:Z18" si="13">IF(T16=0,0,X16/T16)</f>
        <v>-1.0057831888722879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44509.7</v>
      </c>
      <c r="I17" s="2"/>
      <c r="J17" s="19">
        <f t="shared" si="7"/>
        <v>0.48154291240544472</v>
      </c>
      <c r="K17" s="2"/>
      <c r="L17" s="2">
        <f t="shared" si="8"/>
        <v>-44509.7</v>
      </c>
      <c r="M17" s="2"/>
      <c r="N17" s="19">
        <f t="shared" si="9"/>
        <v>-1</v>
      </c>
      <c r="O17" s="11"/>
      <c r="P17" s="2">
        <v>-1222.33</v>
      </c>
      <c r="Q17" s="2"/>
      <c r="R17" s="19">
        <f t="shared" si="10"/>
        <v>0</v>
      </c>
      <c r="S17" s="2"/>
      <c r="T17" s="2">
        <v>226149.84</v>
      </c>
      <c r="U17" s="2"/>
      <c r="V17" s="19">
        <f t="shared" si="11"/>
        <v>0.54485820931445827</v>
      </c>
      <c r="W17" s="2"/>
      <c r="X17" s="2">
        <f t="shared" si="12"/>
        <v>-227372.16999999998</v>
      </c>
      <c r="Y17" s="2"/>
      <c r="Z17" s="19">
        <f t="shared" si="13"/>
        <v>-1.0054049562891576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2367.31</v>
      </c>
      <c r="I18" s="2"/>
      <c r="J18" s="19">
        <f t="shared" si="7"/>
        <v>2.5611526295763246E-2</v>
      </c>
      <c r="K18" s="2"/>
      <c r="L18" s="2">
        <f t="shared" si="8"/>
        <v>-2367.31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-14790.670000000002</v>
      </c>
      <c r="U18" s="2"/>
      <c r="V18" s="19">
        <f t="shared" si="11"/>
        <v>-3.5634860368510893E-2</v>
      </c>
      <c r="W18" s="2"/>
      <c r="X18" s="2">
        <f t="shared" si="12"/>
        <v>14790.670000000002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45554.420000000013</v>
      </c>
      <c r="I20" s="14"/>
      <c r="J20" s="22">
        <f>IF(H$12=0,0,H20/H$12)</f>
        <v>0.49284556129879209</v>
      </c>
      <c r="K20" s="15"/>
      <c r="L20" s="20">
        <f>+D20-H20</f>
        <v>-45554.420000000013</v>
      </c>
      <c r="M20" s="15"/>
      <c r="N20" s="22">
        <f>IF(H20=0,0,L20/H20)</f>
        <v>-1</v>
      </c>
      <c r="O20" s="29"/>
      <c r="P20" s="20">
        <f>P12-P16</f>
        <v>1222.33</v>
      </c>
      <c r="Q20" s="14"/>
      <c r="R20" s="22">
        <f>IF(P$12=0,0,P20/P$12)</f>
        <v>0</v>
      </c>
      <c r="S20" s="14"/>
      <c r="T20" s="20">
        <f>T12-T16</f>
        <v>203702.65000000002</v>
      </c>
      <c r="U20" s="14"/>
      <c r="V20" s="22">
        <f>IF(T$12=0,0,T20/T$12)</f>
        <v>0.49077665105405266</v>
      </c>
      <c r="W20" s="15"/>
      <c r="X20" s="20">
        <f>+P20-T20</f>
        <v>-202480.32000000004</v>
      </c>
      <c r="Y20" s="15"/>
      <c r="Z20" s="22">
        <f>IF(T20=0,0,X20/T20)</f>
        <v>-0.99399943986982997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2225.34</v>
      </c>
      <c r="E22" s="21"/>
      <c r="F22" s="35">
        <f t="shared" ref="F22:F31" si="14">IF(D$12=0,0,D22/D$12)</f>
        <v>0</v>
      </c>
      <c r="G22" s="21"/>
      <c r="H22" s="21">
        <f>SUM(OSRRefH22x_0)</f>
        <v>28604.039999999997</v>
      </c>
      <c r="I22" s="21"/>
      <c r="J22" s="35">
        <f t="shared" ref="J22:J31" si="15">IF(H$12=0,0,H22/H$12)</f>
        <v>0.30946226840805119</v>
      </c>
      <c r="K22" s="4"/>
      <c r="L22" s="21">
        <f t="shared" ref="L22:L31" si="16">+D22-H22</f>
        <v>-26378.699999999997</v>
      </c>
      <c r="M22" s="4"/>
      <c r="N22" s="35">
        <f t="shared" ref="N22:N31" si="17">IF(H22=0,0,L22/H22)</f>
        <v>-0.92220189875276359</v>
      </c>
      <c r="O22" s="10"/>
      <c r="P22" s="21">
        <f>SUM(OSRRefP22x_0)</f>
        <v>13492.6</v>
      </c>
      <c r="Q22" s="21"/>
      <c r="R22" s="35">
        <f t="shared" ref="R22:R31" si="18">IF(P$12=0,0,P22/P$12)</f>
        <v>0</v>
      </c>
      <c r="S22" s="21"/>
      <c r="T22" s="21">
        <f>SUM(OSRRefT22x_0)</f>
        <v>144939.41999999998</v>
      </c>
      <c r="U22" s="21"/>
      <c r="V22" s="35">
        <f t="shared" ref="V22:V31" si="19">IF(T$12=0,0,T22/T$12)</f>
        <v>0.34919959633964881</v>
      </c>
      <c r="W22" s="4"/>
      <c r="X22" s="21">
        <f t="shared" ref="X22:X31" si="20">+P22-T22</f>
        <v>-131446.81999999998</v>
      </c>
      <c r="Y22" s="4"/>
      <c r="Z22" s="35">
        <f t="shared" ref="Z22:Z31" si="21">IF(T22=0,0,X22/T22)</f>
        <v>-0.90690869330096668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2290</v>
      </c>
      <c r="I23" s="1"/>
      <c r="J23" s="5">
        <f t="shared" si="15"/>
        <v>2.4775122488097392E-2</v>
      </c>
      <c r="K23" s="1"/>
      <c r="L23" s="1">
        <f t="shared" si="16"/>
        <v>-2290</v>
      </c>
      <c r="M23" s="1"/>
      <c r="N23" s="5">
        <f t="shared" si="17"/>
        <v>-1</v>
      </c>
      <c r="O23" s="13"/>
      <c r="P23" s="1">
        <f>SUM(OSRRefP22_0x_0)</f>
        <v>1595.9699999999998</v>
      </c>
      <c r="Q23" s="1"/>
      <c r="R23" s="5">
        <f t="shared" si="18"/>
        <v>0</v>
      </c>
      <c r="S23" s="1"/>
      <c r="T23" s="1">
        <f>SUM(OSRRefT22_0x_0)</f>
        <v>12067.82</v>
      </c>
      <c r="U23" s="1"/>
      <c r="V23" s="5">
        <f t="shared" si="19"/>
        <v>2.9074753250009841E-2</v>
      </c>
      <c r="W23" s="1"/>
      <c r="X23" s="1">
        <f t="shared" si="20"/>
        <v>-10471.85</v>
      </c>
      <c r="Y23" s="1"/>
      <c r="Z23" s="5">
        <f t="shared" si="21"/>
        <v>-0.86774993329366867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379.71</v>
      </c>
      <c r="I24" s="2"/>
      <c r="J24" s="7">
        <f t="shared" si="15"/>
        <v>4.1080182357884102E-3</v>
      </c>
      <c r="K24" s="2"/>
      <c r="L24" s="6">
        <f t="shared" si="16"/>
        <v>-379.71</v>
      </c>
      <c r="M24" s="2"/>
      <c r="N24" s="7">
        <f t="shared" si="17"/>
        <v>-1</v>
      </c>
      <c r="O24" s="11"/>
      <c r="P24" s="6">
        <v>159.12</v>
      </c>
      <c r="Q24" s="2"/>
      <c r="R24" s="7">
        <f t="shared" si="18"/>
        <v>0</v>
      </c>
      <c r="S24" s="2"/>
      <c r="T24" s="6">
        <v>3187.82</v>
      </c>
      <c r="U24" s="2"/>
      <c r="V24" s="7">
        <f t="shared" si="19"/>
        <v>7.6803498813742977E-3</v>
      </c>
      <c r="W24" s="2"/>
      <c r="X24" s="6">
        <f t="shared" si="20"/>
        <v>-3028.7000000000003</v>
      </c>
      <c r="Y24" s="2"/>
      <c r="Z24" s="7">
        <f t="shared" si="21"/>
        <v>-0.95008501107339816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384.28</v>
      </c>
      <c r="I25" s="2"/>
      <c r="J25" s="7">
        <f t="shared" si="15"/>
        <v>4.1574602924567966E-3</v>
      </c>
      <c r="K25" s="2"/>
      <c r="L25" s="6">
        <f t="shared" si="16"/>
        <v>-384.28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1274.5899999999999</v>
      </c>
      <c r="U25" s="2"/>
      <c r="V25" s="7">
        <f t="shared" si="19"/>
        <v>3.0708437600933756E-3</v>
      </c>
      <c r="W25" s="2"/>
      <c r="X25" s="6">
        <f t="shared" si="20"/>
        <v>-1274.5899999999999</v>
      </c>
      <c r="Y25" s="2"/>
      <c r="Z25" s="7">
        <f t="shared" si="21"/>
        <v>-1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641.14</v>
      </c>
      <c r="I26" s="2"/>
      <c r="J26" s="7">
        <f t="shared" si="15"/>
        <v>6.9363851668204192E-3</v>
      </c>
      <c r="K26" s="2"/>
      <c r="L26" s="6">
        <f t="shared" si="16"/>
        <v>-641.14</v>
      </c>
      <c r="M26" s="2"/>
      <c r="N26" s="7">
        <f t="shared" si="17"/>
        <v>-1</v>
      </c>
      <c r="O26" s="11"/>
      <c r="P26" s="6">
        <v>683.68</v>
      </c>
      <c r="Q26" s="2"/>
      <c r="R26" s="7">
        <f t="shared" si="18"/>
        <v>0</v>
      </c>
      <c r="S26" s="2"/>
      <c r="T26" s="6">
        <v>3205.7</v>
      </c>
      <c r="U26" s="2"/>
      <c r="V26" s="7">
        <f t="shared" si="19"/>
        <v>7.7234278016706038E-3</v>
      </c>
      <c r="W26" s="2"/>
      <c r="X26" s="6">
        <f t="shared" si="20"/>
        <v>-2522.02</v>
      </c>
      <c r="Y26" s="2"/>
      <c r="Z26" s="7">
        <f t="shared" si="21"/>
        <v>-0.78672988738809002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52.59</v>
      </c>
      <c r="I27" s="2"/>
      <c r="J27" s="7">
        <f t="shared" si="15"/>
        <v>5.6896231076377377E-4</v>
      </c>
      <c r="K27" s="2"/>
      <c r="L27" s="6">
        <f t="shared" si="16"/>
        <v>-52.59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219.59</v>
      </c>
      <c r="U27" s="2"/>
      <c r="V27" s="7">
        <f t="shared" si="19"/>
        <v>5.2905372023859005E-4</v>
      </c>
      <c r="W27" s="2"/>
      <c r="X27" s="6">
        <f t="shared" si="20"/>
        <v>-219.59</v>
      </c>
      <c r="Y27" s="2"/>
      <c r="Z27" s="7">
        <f t="shared" si="21"/>
        <v>-1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268.22000000000003</v>
      </c>
      <c r="I28" s="2"/>
      <c r="J28" s="7">
        <f t="shared" si="15"/>
        <v>2.9018267920338354E-3</v>
      </c>
      <c r="K28" s="2"/>
      <c r="L28" s="6">
        <f t="shared" si="16"/>
        <v>-268.22000000000003</v>
      </c>
      <c r="M28" s="2"/>
      <c r="N28" s="7">
        <f t="shared" si="17"/>
        <v>-1</v>
      </c>
      <c r="O28" s="11"/>
      <c r="P28" s="6">
        <v>321.57</v>
      </c>
      <c r="Q28" s="2"/>
      <c r="R28" s="7">
        <f t="shared" si="18"/>
        <v>0</v>
      </c>
      <c r="S28" s="2"/>
      <c r="T28" s="6">
        <v>1206.99</v>
      </c>
      <c r="U28" s="2"/>
      <c r="V28" s="7">
        <f t="shared" si="19"/>
        <v>2.907976455169979E-3</v>
      </c>
      <c r="W28" s="2"/>
      <c r="X28" s="6">
        <f t="shared" si="20"/>
        <v>-885.42000000000007</v>
      </c>
      <c r="Y28" s="2"/>
      <c r="Z28" s="7">
        <f t="shared" si="21"/>
        <v>-0.73357691447319373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221.28</v>
      </c>
      <c r="I29" s="2"/>
      <c r="J29" s="7">
        <f t="shared" si="15"/>
        <v>2.3939908751817425E-3</v>
      </c>
      <c r="K29" s="2"/>
      <c r="L29" s="6">
        <f t="shared" si="16"/>
        <v>-221.28</v>
      </c>
      <c r="M29" s="2"/>
      <c r="N29" s="7">
        <f t="shared" si="17"/>
        <v>-1</v>
      </c>
      <c r="O29" s="11"/>
      <c r="P29" s="6">
        <v>239.72</v>
      </c>
      <c r="Q29" s="2"/>
      <c r="R29" s="7">
        <f t="shared" si="18"/>
        <v>0</v>
      </c>
      <c r="S29" s="2"/>
      <c r="T29" s="6">
        <v>1217.04</v>
      </c>
      <c r="U29" s="2"/>
      <c r="V29" s="7">
        <f t="shared" si="19"/>
        <v>2.9321897157392118E-3</v>
      </c>
      <c r="W29" s="2"/>
      <c r="X29" s="6">
        <f t="shared" si="20"/>
        <v>-977.31999999999994</v>
      </c>
      <c r="Y29" s="2"/>
      <c r="Z29" s="7">
        <f t="shared" si="21"/>
        <v>-0.80303030303030298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177.12</v>
      </c>
      <c r="I30" s="2"/>
      <c r="J30" s="7">
        <f t="shared" si="15"/>
        <v>1.9162313079003537E-3</v>
      </c>
      <c r="K30" s="2"/>
      <c r="L30" s="6">
        <f t="shared" si="16"/>
        <v>-177.12</v>
      </c>
      <c r="M30" s="2"/>
      <c r="N30" s="7">
        <f t="shared" si="17"/>
        <v>-1</v>
      </c>
      <c r="O30" s="11"/>
      <c r="P30" s="6">
        <v>191.88</v>
      </c>
      <c r="Q30" s="2"/>
      <c r="R30" s="7">
        <f t="shared" si="18"/>
        <v>0</v>
      </c>
      <c r="S30" s="2"/>
      <c r="T30" s="6">
        <v>974.16</v>
      </c>
      <c r="U30" s="2"/>
      <c r="V30" s="7">
        <f t="shared" si="19"/>
        <v>2.3470238722511261E-3</v>
      </c>
      <c r="W30" s="2"/>
      <c r="X30" s="6">
        <f t="shared" si="20"/>
        <v>-782.28</v>
      </c>
      <c r="Y30" s="2"/>
      <c r="Z30" s="7">
        <f t="shared" si="21"/>
        <v>-0.80303030303030298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165.66</v>
      </c>
      <c r="I31" s="2"/>
      <c r="J31" s="7">
        <f t="shared" si="15"/>
        <v>1.7922475071520585E-3</v>
      </c>
      <c r="K31" s="2"/>
      <c r="L31" s="6">
        <f t="shared" si="16"/>
        <v>-165.66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781.93</v>
      </c>
      <c r="U31" s="2"/>
      <c r="V31" s="7">
        <f t="shared" si="19"/>
        <v>1.8838880434726565E-3</v>
      </c>
      <c r="W31" s="2"/>
      <c r="X31" s="6">
        <f t="shared" si="20"/>
        <v>-781.93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6" si="22">IF(D$12=0,0,D32/D$12)</f>
        <v>0</v>
      </c>
      <c r="G32" s="1"/>
      <c r="H32" s="1">
        <f>SUM(OSRRefH22_1x_0)</f>
        <v>16264.53</v>
      </c>
      <c r="I32" s="1"/>
      <c r="J32" s="5">
        <f t="shared" ref="J32:J36" si="23">IF(H$12=0,0,H32/H$12)</f>
        <v>0.17596319779970945</v>
      </c>
      <c r="K32" s="1"/>
      <c r="L32" s="1">
        <f t="shared" ref="L32:L36" si="24">+D32-H32</f>
        <v>-16264.53</v>
      </c>
      <c r="M32" s="1"/>
      <c r="N32" s="5">
        <f t="shared" ref="N32:N36" si="25">IF(H32=0,0,L32/H32)</f>
        <v>-1</v>
      </c>
      <c r="O32" s="13"/>
      <c r="P32" s="1">
        <f>SUM(OSRRefP22_1x_0)</f>
        <v>2080</v>
      </c>
      <c r="Q32" s="1"/>
      <c r="R32" s="5">
        <f t="shared" ref="R32:R36" si="26">IF(P$12=0,0,P32/P$12)</f>
        <v>0</v>
      </c>
      <c r="S32" s="1"/>
      <c r="T32" s="1">
        <f>SUM(OSRRefT22_1x_0)</f>
        <v>85262.6</v>
      </c>
      <c r="U32" s="1"/>
      <c r="V32" s="5">
        <f t="shared" ref="V32:V36" si="27">IF(T$12=0,0,T32/T$12)</f>
        <v>0.20542144782191724</v>
      </c>
      <c r="W32" s="1"/>
      <c r="X32" s="1">
        <f t="shared" ref="X32:X36" si="28">+P32-T32</f>
        <v>-83182.600000000006</v>
      </c>
      <c r="Y32" s="1"/>
      <c r="Z32" s="5">
        <f t="shared" ref="Z32:Z36" si="29">IF(T32=0,0,X32/T32)</f>
        <v>-0.97560477864855166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3264</v>
      </c>
      <c r="I33" s="2"/>
      <c r="J33" s="7">
        <f t="shared" si="23"/>
        <v>3.53126636686244E-2</v>
      </c>
      <c r="K33" s="2"/>
      <c r="L33" s="6">
        <f t="shared" si="24"/>
        <v>-3264</v>
      </c>
      <c r="M33" s="2"/>
      <c r="N33" s="7">
        <f t="shared" si="25"/>
        <v>-1</v>
      </c>
      <c r="O33" s="11"/>
      <c r="P33" s="6">
        <v>2080</v>
      </c>
      <c r="Q33" s="2"/>
      <c r="R33" s="7">
        <f t="shared" si="26"/>
        <v>0</v>
      </c>
      <c r="S33" s="2"/>
      <c r="T33" s="6">
        <v>18816</v>
      </c>
      <c r="U33" s="2"/>
      <c r="V33" s="7">
        <f t="shared" si="27"/>
        <v>4.5333006056784503E-2</v>
      </c>
      <c r="W33" s="2"/>
      <c r="X33" s="6">
        <f t="shared" si="28"/>
        <v>-16736</v>
      </c>
      <c r="Y33" s="2"/>
      <c r="Z33" s="7">
        <f t="shared" si="29"/>
        <v>-0.88945578231292521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>
        <v>1123.5</v>
      </c>
      <c r="I34" s="2"/>
      <c r="J34" s="7">
        <f t="shared" si="23"/>
        <v>1.2154956382260881E-2</v>
      </c>
      <c r="K34" s="2"/>
      <c r="L34" s="6">
        <f t="shared" si="24"/>
        <v>-1123.5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6954.5</v>
      </c>
      <c r="U34" s="2"/>
      <c r="V34" s="7">
        <f t="shared" si="27"/>
        <v>1.6755335385943232E-2</v>
      </c>
      <c r="W34" s="2"/>
      <c r="X34" s="6">
        <f t="shared" si="28"/>
        <v>-6954.5</v>
      </c>
      <c r="Y34" s="2"/>
      <c r="Z34" s="7">
        <f t="shared" si="29"/>
        <v>-1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22"/>
        <v>0</v>
      </c>
      <c r="G35" s="2"/>
      <c r="H35" s="6">
        <v>11493.03</v>
      </c>
      <c r="I35" s="2"/>
      <c r="J35" s="7">
        <f t="shared" si="23"/>
        <v>0.12434114672898601</v>
      </c>
      <c r="K35" s="2"/>
      <c r="L35" s="6">
        <f t="shared" si="24"/>
        <v>-11493.03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58016.1</v>
      </c>
      <c r="U35" s="2"/>
      <c r="V35" s="7">
        <f t="shared" si="27"/>
        <v>0.13977700960305142</v>
      </c>
      <c r="W35" s="2"/>
      <c r="X35" s="6">
        <f t="shared" si="28"/>
        <v>-58016.1</v>
      </c>
      <c r="Y35" s="2"/>
      <c r="Z35" s="7">
        <f t="shared" si="29"/>
        <v>-1</v>
      </c>
    </row>
    <row r="36" spans="1:26" s="24" customFormat="1" hidden="1" outlineLevel="2" x14ac:dyDescent="0.25">
      <c r="A36" s="25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22"/>
        <v>0</v>
      </c>
      <c r="G36" s="2"/>
      <c r="H36" s="6">
        <v>384</v>
      </c>
      <c r="I36" s="2"/>
      <c r="J36" s="7">
        <f t="shared" si="23"/>
        <v>4.1544310198381651E-3</v>
      </c>
      <c r="K36" s="2"/>
      <c r="L36" s="6">
        <f t="shared" si="24"/>
        <v>-384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1476</v>
      </c>
      <c r="U36" s="2"/>
      <c r="V36" s="7">
        <f t="shared" si="27"/>
        <v>3.55609677613807E-3</v>
      </c>
      <c r="W36" s="2"/>
      <c r="X36" s="6">
        <f t="shared" si="28"/>
        <v>-1476</v>
      </c>
      <c r="Y36" s="2"/>
      <c r="Z36" s="7">
        <f t="shared" si="29"/>
        <v>-1</v>
      </c>
    </row>
    <row r="37" spans="1:26" s="26" customFormat="1" outlineLevel="1" collapsed="1" x14ac:dyDescent="0.25">
      <c r="A37" s="27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51" si="30">IF(D$12=0,0,D37/D$12)</f>
        <v>0</v>
      </c>
      <c r="G37" s="1"/>
      <c r="H37" s="1">
        <f>SUM(OSRRefH22_2x_0)</f>
        <v>0</v>
      </c>
      <c r="I37" s="1"/>
      <c r="J37" s="5">
        <f t="shared" ref="J37:J51" si="31">IF(H$12=0,0,H37/H$12)</f>
        <v>0</v>
      </c>
      <c r="K37" s="1"/>
      <c r="L37" s="1">
        <f t="shared" ref="L37:L51" si="32">+D37-H37</f>
        <v>0</v>
      </c>
      <c r="M37" s="1"/>
      <c r="N37" s="5">
        <f t="shared" ref="N37:N51" si="33">IF(H37=0,0,L37/H37)</f>
        <v>0</v>
      </c>
      <c r="O37" s="13"/>
      <c r="P37" s="1">
        <f>SUM(OSRRefP22_2x_0)</f>
        <v>0</v>
      </c>
      <c r="Q37" s="1"/>
      <c r="R37" s="5">
        <f t="shared" ref="R37:R51" si="34">IF(P$12=0,0,P37/P$12)</f>
        <v>0</v>
      </c>
      <c r="S37" s="1"/>
      <c r="T37" s="1">
        <f>SUM(OSRRefT22_2x_0)</f>
        <v>150</v>
      </c>
      <c r="U37" s="1"/>
      <c r="V37" s="5">
        <f t="shared" ref="V37:V51" si="35">IF(T$12=0,0,T37/T$12)</f>
        <v>3.6139194879451932E-4</v>
      </c>
      <c r="W37" s="1"/>
      <c r="X37" s="1">
        <f t="shared" ref="X37:X51" si="36">+P37-T37</f>
        <v>-150</v>
      </c>
      <c r="Y37" s="1"/>
      <c r="Z37" s="5">
        <f t="shared" ref="Z37:Z51" si="37">IF(T37=0,0,X37/T37)</f>
        <v>-1</v>
      </c>
    </row>
    <row r="38" spans="1:26" s="24" customFormat="1" hidden="1" outlineLevel="2" x14ac:dyDescent="0.25">
      <c r="A38" s="25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30"/>
        <v>0</v>
      </c>
      <c r="G38" s="2"/>
      <c r="H38" s="6"/>
      <c r="I38" s="2"/>
      <c r="J38" s="7">
        <f t="shared" si="31"/>
        <v>0</v>
      </c>
      <c r="K38" s="2"/>
      <c r="L38" s="6">
        <f t="shared" si="32"/>
        <v>0</v>
      </c>
      <c r="M38" s="2"/>
      <c r="N38" s="7">
        <f t="shared" si="33"/>
        <v>0</v>
      </c>
      <c r="O38" s="11"/>
      <c r="P38" s="6"/>
      <c r="Q38" s="2"/>
      <c r="R38" s="7">
        <f t="shared" si="34"/>
        <v>0</v>
      </c>
      <c r="S38" s="2"/>
      <c r="T38" s="6">
        <v>150</v>
      </c>
      <c r="U38" s="2"/>
      <c r="V38" s="7">
        <f t="shared" si="35"/>
        <v>3.6139194879451932E-4</v>
      </c>
      <c r="W38" s="2"/>
      <c r="X38" s="6">
        <f t="shared" si="36"/>
        <v>-150</v>
      </c>
      <c r="Y38" s="2"/>
      <c r="Z38" s="7">
        <f t="shared" si="37"/>
        <v>-1</v>
      </c>
    </row>
    <row r="39" spans="1:26" s="26" customFormat="1" outlineLevel="1" collapsed="1" x14ac:dyDescent="0.25">
      <c r="A39" s="27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-6.27</v>
      </c>
      <c r="I39" s="1"/>
      <c r="J39" s="5">
        <f t="shared" si="31"/>
        <v>-6.7834068995795041E-5</v>
      </c>
      <c r="K39" s="1"/>
      <c r="L39" s="1">
        <f t="shared" si="32"/>
        <v>6.27</v>
      </c>
      <c r="M39" s="1"/>
      <c r="N39" s="5">
        <f t="shared" si="33"/>
        <v>-1</v>
      </c>
      <c r="O39" s="13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-38.08</v>
      </c>
      <c r="U39" s="1"/>
      <c r="V39" s="5">
        <f t="shared" si="35"/>
        <v>-9.1745369400635308E-5</v>
      </c>
      <c r="W39" s="1"/>
      <c r="X39" s="1">
        <f t="shared" si="36"/>
        <v>38.08</v>
      </c>
      <c r="Y39" s="1"/>
      <c r="Z39" s="5">
        <f t="shared" si="37"/>
        <v>-1</v>
      </c>
    </row>
    <row r="40" spans="1:26" s="24" customFormat="1" hidden="1" outlineLevel="2" x14ac:dyDescent="0.25">
      <c r="A40" s="25"/>
      <c r="B40" s="11" t="str">
        <f>CONCATENATE("          ", "6272", " - ", "CASH (OVER/SHORT)")</f>
        <v xml:space="preserve">          6272 - CASH (OVER/SHORT)</v>
      </c>
      <c r="C40" s="11"/>
      <c r="D40" s="6"/>
      <c r="E40" s="2"/>
      <c r="F40" s="7">
        <f t="shared" si="30"/>
        <v>0</v>
      </c>
      <c r="G40" s="2"/>
      <c r="H40" s="6">
        <v>-6.27</v>
      </c>
      <c r="I40" s="2"/>
      <c r="J40" s="7">
        <f t="shared" si="31"/>
        <v>-6.7834068995795041E-5</v>
      </c>
      <c r="K40" s="2"/>
      <c r="L40" s="6">
        <f t="shared" si="32"/>
        <v>6.27</v>
      </c>
      <c r="M40" s="2"/>
      <c r="N40" s="7">
        <f t="shared" si="33"/>
        <v>-1</v>
      </c>
      <c r="O40" s="11"/>
      <c r="P40" s="6"/>
      <c r="Q40" s="2"/>
      <c r="R40" s="7">
        <f t="shared" si="34"/>
        <v>0</v>
      </c>
      <c r="S40" s="2"/>
      <c r="T40" s="6">
        <v>-38.08</v>
      </c>
      <c r="U40" s="2"/>
      <c r="V40" s="7">
        <f t="shared" si="35"/>
        <v>-9.1745369400635308E-5</v>
      </c>
      <c r="W40" s="2"/>
      <c r="X40" s="6">
        <f t="shared" si="36"/>
        <v>38.08</v>
      </c>
      <c r="Y40" s="2"/>
      <c r="Z40" s="7">
        <f t="shared" si="37"/>
        <v>-1</v>
      </c>
    </row>
    <row r="41" spans="1:26" s="26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0</v>
      </c>
      <c r="E41" s="1"/>
      <c r="F41" s="5">
        <f t="shared" si="30"/>
        <v>0</v>
      </c>
      <c r="G41" s="1"/>
      <c r="H41" s="1">
        <f>SUM(OSRRefH22_4x_0)</f>
        <v>3576.28</v>
      </c>
      <c r="I41" s="1"/>
      <c r="J41" s="5">
        <f t="shared" si="31"/>
        <v>3.8691168144861544E-2</v>
      </c>
      <c r="K41" s="1"/>
      <c r="L41" s="1">
        <f t="shared" si="32"/>
        <v>-3576.28</v>
      </c>
      <c r="M41" s="1"/>
      <c r="N41" s="5">
        <f t="shared" si="33"/>
        <v>-1</v>
      </c>
      <c r="O41" s="13"/>
      <c r="P41" s="1">
        <f>SUM(OSRRefP22_4x_0)</f>
        <v>0</v>
      </c>
      <c r="Q41" s="1"/>
      <c r="R41" s="5">
        <f t="shared" si="34"/>
        <v>0</v>
      </c>
      <c r="S41" s="1"/>
      <c r="T41" s="1">
        <f>SUM(OSRRefT22_4x_0)</f>
        <v>14336.24</v>
      </c>
      <c r="U41" s="1"/>
      <c r="V41" s="5">
        <f t="shared" si="35"/>
        <v>3.4540011413239598E-2</v>
      </c>
      <c r="W41" s="1"/>
      <c r="X41" s="1">
        <f t="shared" si="36"/>
        <v>-14336.24</v>
      </c>
      <c r="Y41" s="1"/>
      <c r="Z41" s="5">
        <f t="shared" si="37"/>
        <v>-1</v>
      </c>
    </row>
    <row r="42" spans="1:26" s="24" customFormat="1" hidden="1" outlineLevel="2" x14ac:dyDescent="0.25">
      <c r="A42" s="25"/>
      <c r="B42" s="11" t="str">
        <f>CONCATENATE("          ", "6381", " - ", "BANK/CREDIT CARD FEES")</f>
        <v xml:space="preserve">          6381 - BANK/CREDIT CARD FEES</v>
      </c>
      <c r="C42" s="11"/>
      <c r="D42" s="6"/>
      <c r="E42" s="2"/>
      <c r="F42" s="7">
        <f t="shared" si="30"/>
        <v>0</v>
      </c>
      <c r="G42" s="2"/>
      <c r="H42" s="6">
        <v>3576.28</v>
      </c>
      <c r="I42" s="2"/>
      <c r="J42" s="7">
        <f t="shared" si="31"/>
        <v>3.8691168144861544E-2</v>
      </c>
      <c r="K42" s="2"/>
      <c r="L42" s="6">
        <f t="shared" si="32"/>
        <v>-3576.28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14336.24</v>
      </c>
      <c r="U42" s="2"/>
      <c r="V42" s="7">
        <f t="shared" si="35"/>
        <v>3.4540011413239598E-2</v>
      </c>
      <c r="W42" s="2"/>
      <c r="X42" s="6">
        <f t="shared" si="36"/>
        <v>-14336.24</v>
      </c>
      <c r="Y42" s="2"/>
      <c r="Z42" s="7">
        <f t="shared" si="37"/>
        <v>-1</v>
      </c>
    </row>
    <row r="43" spans="1:26" s="26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2017.34</v>
      </c>
      <c r="E43" s="1"/>
      <c r="F43" s="5">
        <f t="shared" si="30"/>
        <v>0</v>
      </c>
      <c r="G43" s="1"/>
      <c r="H43" s="1">
        <f>SUM(OSRRefH22_5x_0)</f>
        <v>1857.58</v>
      </c>
      <c r="I43" s="1"/>
      <c r="J43" s="5">
        <f t="shared" si="31"/>
        <v>2.0096843681851505E-2</v>
      </c>
      <c r="K43" s="1"/>
      <c r="L43" s="1">
        <f t="shared" si="32"/>
        <v>159.76</v>
      </c>
      <c r="M43" s="1"/>
      <c r="N43" s="5">
        <f t="shared" si="33"/>
        <v>8.6004371278760539E-2</v>
      </c>
      <c r="O43" s="13"/>
      <c r="P43" s="1">
        <f>SUM(OSRRefP22_5x_0)</f>
        <v>10086.700000000001</v>
      </c>
      <c r="Q43" s="1"/>
      <c r="R43" s="5">
        <f t="shared" si="34"/>
        <v>0</v>
      </c>
      <c r="S43" s="1"/>
      <c r="T43" s="1">
        <f>SUM(OSRRefT22_5x_0)</f>
        <v>9287.9</v>
      </c>
      <c r="U43" s="1"/>
      <c r="V43" s="5">
        <f t="shared" si="35"/>
        <v>2.2377148541390772E-2</v>
      </c>
      <c r="W43" s="1"/>
      <c r="X43" s="1">
        <f t="shared" si="36"/>
        <v>798.80000000000109</v>
      </c>
      <c r="Y43" s="1"/>
      <c r="Z43" s="5">
        <f t="shared" si="37"/>
        <v>8.6004371278760663E-2</v>
      </c>
    </row>
    <row r="44" spans="1:26" s="24" customFormat="1" hidden="1" outlineLevel="2" x14ac:dyDescent="0.25">
      <c r="A44" s="25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2017.34</v>
      </c>
      <c r="E44" s="2"/>
      <c r="F44" s="7">
        <f t="shared" si="30"/>
        <v>0</v>
      </c>
      <c r="G44" s="2"/>
      <c r="H44" s="6">
        <v>1857.58</v>
      </c>
      <c r="I44" s="2"/>
      <c r="J44" s="7">
        <f t="shared" si="31"/>
        <v>2.0096843681851505E-2</v>
      </c>
      <c r="K44" s="2"/>
      <c r="L44" s="6">
        <f t="shared" si="32"/>
        <v>159.76</v>
      </c>
      <c r="M44" s="2"/>
      <c r="N44" s="7">
        <f t="shared" si="33"/>
        <v>8.6004371278760539E-2</v>
      </c>
      <c r="O44" s="11"/>
      <c r="P44" s="6">
        <v>10086.700000000001</v>
      </c>
      <c r="Q44" s="2"/>
      <c r="R44" s="7">
        <f t="shared" si="34"/>
        <v>0</v>
      </c>
      <c r="S44" s="2"/>
      <c r="T44" s="6">
        <v>9287.9</v>
      </c>
      <c r="U44" s="2"/>
      <c r="V44" s="7">
        <f t="shared" si="35"/>
        <v>2.2377148541390772E-2</v>
      </c>
      <c r="W44" s="2"/>
      <c r="X44" s="6">
        <f t="shared" si="36"/>
        <v>798.80000000000109</v>
      </c>
      <c r="Y44" s="2"/>
      <c r="Z44" s="7">
        <f t="shared" si="37"/>
        <v>8.6004371278760663E-2</v>
      </c>
    </row>
    <row r="45" spans="1:26" s="26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si="30"/>
        <v>0</v>
      </c>
      <c r="G45" s="1"/>
      <c r="H45" s="1">
        <f>SUM(OSRRefH22_6x_0)</f>
        <v>78.98</v>
      </c>
      <c r="I45" s="1"/>
      <c r="J45" s="5">
        <f t="shared" si="31"/>
        <v>8.5447125506983926E-4</v>
      </c>
      <c r="K45" s="1"/>
      <c r="L45" s="1">
        <f t="shared" si="32"/>
        <v>-78.98</v>
      </c>
      <c r="M45" s="1"/>
      <c r="N45" s="5">
        <f t="shared" si="33"/>
        <v>-1</v>
      </c>
      <c r="O45" s="13"/>
      <c r="P45" s="1">
        <f>SUM(OSRRefP22_6x_0)</f>
        <v>0</v>
      </c>
      <c r="Q45" s="1"/>
      <c r="R45" s="5">
        <f t="shared" si="34"/>
        <v>0</v>
      </c>
      <c r="S45" s="1"/>
      <c r="T45" s="1">
        <f>SUM(OSRRefT22_6x_0)</f>
        <v>1006.53</v>
      </c>
      <c r="U45" s="1"/>
      <c r="V45" s="5">
        <f t="shared" si="35"/>
        <v>2.4250122548009835E-3</v>
      </c>
      <c r="W45" s="1"/>
      <c r="X45" s="1">
        <f t="shared" si="36"/>
        <v>-1006.53</v>
      </c>
      <c r="Y45" s="1"/>
      <c r="Z45" s="5">
        <f t="shared" si="37"/>
        <v>-1</v>
      </c>
    </row>
    <row r="46" spans="1:26" s="24" customFormat="1" hidden="1" outlineLevel="2" x14ac:dyDescent="0.25">
      <c r="A46" s="25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30"/>
        <v>0</v>
      </c>
      <c r="G46" s="2"/>
      <c r="H46" s="6">
        <v>78.98</v>
      </c>
      <c r="I46" s="2"/>
      <c r="J46" s="7">
        <f t="shared" si="31"/>
        <v>8.5447125506983926E-4</v>
      </c>
      <c r="K46" s="2"/>
      <c r="L46" s="6">
        <f t="shared" si="32"/>
        <v>-78.98</v>
      </c>
      <c r="M46" s="2"/>
      <c r="N46" s="7">
        <f t="shared" si="33"/>
        <v>-1</v>
      </c>
      <c r="O46" s="11"/>
      <c r="P46" s="6"/>
      <c r="Q46" s="2"/>
      <c r="R46" s="7">
        <f t="shared" si="34"/>
        <v>0</v>
      </c>
      <c r="S46" s="2"/>
      <c r="T46" s="6">
        <v>1006.53</v>
      </c>
      <c r="U46" s="2"/>
      <c r="V46" s="7">
        <f t="shared" si="35"/>
        <v>2.4250122548009835E-3</v>
      </c>
      <c r="W46" s="2"/>
      <c r="X46" s="6">
        <f t="shared" si="36"/>
        <v>-1006.53</v>
      </c>
      <c r="Y46" s="2"/>
      <c r="Z46" s="7">
        <f t="shared" si="37"/>
        <v>-1</v>
      </c>
    </row>
    <row r="47" spans="1:26" s="26" customFormat="1" outlineLevel="1" collapsed="1" x14ac:dyDescent="0.25">
      <c r="A47" s="27"/>
      <c r="B47" s="13" t="str">
        <f>CONCATENATE("     ","Rent                                              ")</f>
        <v xml:space="preserve">     Rent                                              </v>
      </c>
      <c r="C47" s="13"/>
      <c r="D47" s="1">
        <f>SUM(OSRRefD22_7x_0)</f>
        <v>0</v>
      </c>
      <c r="E47" s="1"/>
      <c r="F47" s="5">
        <f t="shared" si="30"/>
        <v>0</v>
      </c>
      <c r="G47" s="1"/>
      <c r="H47" s="1">
        <f>SUM(OSRRefH22_7x_0)</f>
        <v>1150</v>
      </c>
      <c r="I47" s="1"/>
      <c r="J47" s="5">
        <f t="shared" si="31"/>
        <v>1.2441655397952838E-2</v>
      </c>
      <c r="K47" s="1"/>
      <c r="L47" s="1">
        <f t="shared" si="32"/>
        <v>-1150</v>
      </c>
      <c r="M47" s="1"/>
      <c r="N47" s="5">
        <f t="shared" si="33"/>
        <v>-1</v>
      </c>
      <c r="O47" s="13"/>
      <c r="P47" s="1">
        <f>SUM(OSRRefP22_7x_0)</f>
        <v>0</v>
      </c>
      <c r="Q47" s="1"/>
      <c r="R47" s="5">
        <f t="shared" si="34"/>
        <v>0</v>
      </c>
      <c r="S47" s="1"/>
      <c r="T47" s="1">
        <f>SUM(OSRRefT22_7x_0)</f>
        <v>5750</v>
      </c>
      <c r="U47" s="1"/>
      <c r="V47" s="5">
        <f t="shared" si="35"/>
        <v>1.3853358037123242E-2</v>
      </c>
      <c r="W47" s="1"/>
      <c r="X47" s="1">
        <f t="shared" si="36"/>
        <v>-5750</v>
      </c>
      <c r="Y47" s="1"/>
      <c r="Z47" s="5">
        <f t="shared" si="37"/>
        <v>-1</v>
      </c>
    </row>
    <row r="48" spans="1:26" s="24" customFormat="1" hidden="1" outlineLevel="2" x14ac:dyDescent="0.25">
      <c r="A48" s="25"/>
      <c r="B48" s="11" t="str">
        <f>CONCATENATE("          ", "6273", " - ", "RENT")</f>
        <v xml:space="preserve">          6273 - RENT</v>
      </c>
      <c r="C48" s="11"/>
      <c r="D48" s="6"/>
      <c r="E48" s="2"/>
      <c r="F48" s="7">
        <f t="shared" si="30"/>
        <v>0</v>
      </c>
      <c r="G48" s="2"/>
      <c r="H48" s="6">
        <v>1150</v>
      </c>
      <c r="I48" s="2"/>
      <c r="J48" s="7">
        <f t="shared" si="31"/>
        <v>1.2441655397952838E-2</v>
      </c>
      <c r="K48" s="2"/>
      <c r="L48" s="6">
        <f t="shared" si="32"/>
        <v>-1150</v>
      </c>
      <c r="M48" s="2"/>
      <c r="N48" s="7">
        <f t="shared" si="33"/>
        <v>-1</v>
      </c>
      <c r="O48" s="11"/>
      <c r="P48" s="6"/>
      <c r="Q48" s="2"/>
      <c r="R48" s="7">
        <f t="shared" si="34"/>
        <v>0</v>
      </c>
      <c r="S48" s="2"/>
      <c r="T48" s="6">
        <v>5750</v>
      </c>
      <c r="U48" s="2"/>
      <c r="V48" s="7">
        <f t="shared" si="35"/>
        <v>1.3853358037123242E-2</v>
      </c>
      <c r="W48" s="2"/>
      <c r="X48" s="6">
        <f t="shared" si="36"/>
        <v>-5750</v>
      </c>
      <c r="Y48" s="2"/>
      <c r="Z48" s="7">
        <f t="shared" si="37"/>
        <v>-1</v>
      </c>
    </row>
    <row r="49" spans="1:26" s="26" customFormat="1" outlineLevel="1" collapsed="1" x14ac:dyDescent="0.25">
      <c r="A49" s="27"/>
      <c r="B49" s="13" t="str">
        <f>CONCATENATE("     ","Repair and Maintenance                            ")</f>
        <v xml:space="preserve">     Repair and Maintenance                            </v>
      </c>
      <c r="C49" s="13"/>
      <c r="D49" s="1">
        <f>SUM(OSRRefD22_8x_0)</f>
        <v>0</v>
      </c>
      <c r="E49" s="1"/>
      <c r="F49" s="5">
        <f t="shared" si="30"/>
        <v>0</v>
      </c>
      <c r="G49" s="1"/>
      <c r="H49" s="1">
        <f>SUM(OSRRefH22_8x_0)</f>
        <v>1371.4</v>
      </c>
      <c r="I49" s="1"/>
      <c r="J49" s="5">
        <f t="shared" si="31"/>
        <v>1.4836944532828281E-2</v>
      </c>
      <c r="K49" s="1"/>
      <c r="L49" s="1">
        <f t="shared" si="32"/>
        <v>-1371.4</v>
      </c>
      <c r="M49" s="1"/>
      <c r="N49" s="5">
        <f t="shared" si="33"/>
        <v>-1</v>
      </c>
      <c r="O49" s="13"/>
      <c r="P49" s="1">
        <f>SUM(OSRRefP22_8x_0)</f>
        <v>150.94999999999999</v>
      </c>
      <c r="Q49" s="1"/>
      <c r="R49" s="5">
        <f t="shared" si="34"/>
        <v>0</v>
      </c>
      <c r="S49" s="1"/>
      <c r="T49" s="1">
        <f>SUM(OSRRefT22_8x_0)</f>
        <v>2909.68</v>
      </c>
      <c r="U49" s="1"/>
      <c r="V49" s="5">
        <f t="shared" si="35"/>
        <v>7.0102328371229126E-3</v>
      </c>
      <c r="W49" s="1"/>
      <c r="X49" s="1">
        <f t="shared" si="36"/>
        <v>-2758.73</v>
      </c>
      <c r="Y49" s="1"/>
      <c r="Z49" s="5">
        <f t="shared" si="37"/>
        <v>-0.9481214429078112</v>
      </c>
    </row>
    <row r="50" spans="1:26" s="24" customFormat="1" hidden="1" outlineLevel="2" x14ac:dyDescent="0.25">
      <c r="A50" s="25"/>
      <c r="B50" s="11" t="str">
        <f>CONCATENATE("          ", "6373", " - ", "MAINTENANCE CONTRACTS")</f>
        <v xml:space="preserve">          6373 - MAINTENANCE CONTRACTS</v>
      </c>
      <c r="C50" s="11"/>
      <c r="D50" s="6"/>
      <c r="E50" s="2"/>
      <c r="F50" s="7">
        <f t="shared" si="30"/>
        <v>0</v>
      </c>
      <c r="G50" s="2"/>
      <c r="H50" s="6"/>
      <c r="I50" s="2"/>
      <c r="J50" s="7">
        <f t="shared" si="31"/>
        <v>0</v>
      </c>
      <c r="K50" s="2"/>
      <c r="L50" s="6">
        <f t="shared" si="32"/>
        <v>0</v>
      </c>
      <c r="M50" s="2"/>
      <c r="N50" s="7">
        <f t="shared" si="33"/>
        <v>0</v>
      </c>
      <c r="O50" s="11"/>
      <c r="P50" s="6">
        <v>150.94999999999999</v>
      </c>
      <c r="Q50" s="2"/>
      <c r="R50" s="7">
        <f t="shared" si="34"/>
        <v>0</v>
      </c>
      <c r="S50" s="2"/>
      <c r="T50" s="6">
        <v>68.48</v>
      </c>
      <c r="U50" s="2"/>
      <c r="V50" s="7">
        <f t="shared" si="35"/>
        <v>1.6498747102299124E-4</v>
      </c>
      <c r="W50" s="2"/>
      <c r="X50" s="6">
        <f t="shared" si="36"/>
        <v>82.469999999999985</v>
      </c>
      <c r="Y50" s="2"/>
      <c r="Z50" s="7">
        <f t="shared" si="37"/>
        <v>1.2042932242990652</v>
      </c>
    </row>
    <row r="51" spans="1:26" s="24" customFormat="1" hidden="1" outlineLevel="2" x14ac:dyDescent="0.25">
      <c r="A51" s="25"/>
      <c r="B51" s="11" t="str">
        <f>CONCATENATE("          ", "6375", " - ", "OUTSIDE REPAIRS &amp; MAINTENANCE")</f>
        <v xml:space="preserve">          6375 - OUTSIDE REPAIRS &amp; MAINTENANCE</v>
      </c>
      <c r="C51" s="11"/>
      <c r="D51" s="6"/>
      <c r="E51" s="2"/>
      <c r="F51" s="7">
        <f t="shared" si="30"/>
        <v>0</v>
      </c>
      <c r="G51" s="2"/>
      <c r="H51" s="6">
        <v>1371.4</v>
      </c>
      <c r="I51" s="2"/>
      <c r="J51" s="7">
        <f t="shared" si="31"/>
        <v>1.4836944532828281E-2</v>
      </c>
      <c r="K51" s="2"/>
      <c r="L51" s="6">
        <f t="shared" si="32"/>
        <v>-1371.4</v>
      </c>
      <c r="M51" s="2"/>
      <c r="N51" s="7">
        <f t="shared" si="33"/>
        <v>-1</v>
      </c>
      <c r="O51" s="11"/>
      <c r="P51" s="6"/>
      <c r="Q51" s="2"/>
      <c r="R51" s="7">
        <f t="shared" si="34"/>
        <v>0</v>
      </c>
      <c r="S51" s="2"/>
      <c r="T51" s="6">
        <v>2841.2</v>
      </c>
      <c r="U51" s="2"/>
      <c r="V51" s="7">
        <f t="shared" si="35"/>
        <v>6.8452453660999219E-3</v>
      </c>
      <c r="W51" s="2"/>
      <c r="X51" s="6">
        <f t="shared" si="36"/>
        <v>-2841.2</v>
      </c>
      <c r="Y51" s="2"/>
      <c r="Z51" s="7">
        <f t="shared" si="37"/>
        <v>-1</v>
      </c>
    </row>
    <row r="52" spans="1:26" s="26" customFormat="1" outlineLevel="1" collapsed="1" x14ac:dyDescent="0.25">
      <c r="A52" s="27"/>
      <c r="B52" s="13" t="str">
        <f>CONCATENATE("     ","Services                                          ")</f>
        <v xml:space="preserve">     Services                                          </v>
      </c>
      <c r="C52" s="13"/>
      <c r="D52" s="1">
        <f>SUM(OSRRefD22_9x_0)</f>
        <v>0</v>
      </c>
      <c r="E52" s="1"/>
      <c r="F52" s="5">
        <f t="shared" ref="F52:F55" si="38">IF(D$12=0,0,D52/D$12)</f>
        <v>0</v>
      </c>
      <c r="G52" s="1"/>
      <c r="H52" s="1">
        <f>SUM(OSRRefH22_9x_0)</f>
        <v>500.94000000000005</v>
      </c>
      <c r="I52" s="1"/>
      <c r="J52" s="5">
        <f t="shared" ref="J52:J55" si="39">IF(H$12=0,0,H52/H$12)</f>
        <v>5.4195850913482573E-3</v>
      </c>
      <c r="K52" s="1"/>
      <c r="L52" s="1">
        <f t="shared" ref="L52:L55" si="40">+D52-H52</f>
        <v>-500.94000000000005</v>
      </c>
      <c r="M52" s="1"/>
      <c r="N52" s="5">
        <f t="shared" ref="N52:N55" si="41">IF(H52=0,0,L52/H52)</f>
        <v>-1</v>
      </c>
      <c r="O52" s="13"/>
      <c r="P52" s="1">
        <f>SUM(OSRRefP22_9x_0)</f>
        <v>-1053.52</v>
      </c>
      <c r="Q52" s="1"/>
      <c r="R52" s="5">
        <f t="shared" ref="R52:R55" si="42">IF(P$12=0,0,P52/P$12)</f>
        <v>0</v>
      </c>
      <c r="S52" s="1"/>
      <c r="T52" s="1">
        <f>SUM(OSRRefT22_9x_0)</f>
        <v>2502.6</v>
      </c>
      <c r="U52" s="1"/>
      <c r="V52" s="5">
        <f t="shared" ref="V52:V55" si="43">IF(T$12=0,0,T52/T$12)</f>
        <v>6.0294632736877605E-3</v>
      </c>
      <c r="W52" s="1"/>
      <c r="X52" s="1">
        <f t="shared" ref="X52:X55" si="44">+P52-T52</f>
        <v>-3556.12</v>
      </c>
      <c r="Y52" s="1"/>
      <c r="Z52" s="5">
        <f t="shared" ref="Z52:Z55" si="45">IF(T52=0,0,X52/T52)</f>
        <v>-1.4209701910013586</v>
      </c>
    </row>
    <row r="53" spans="1:26" s="24" customFormat="1" hidden="1" outlineLevel="2" x14ac:dyDescent="0.25">
      <c r="A53" s="25"/>
      <c r="B53" s="11" t="str">
        <f>CONCATENATE("          ", "6282", " - ", "JANITORIAL/EXTERMINATOR EXPENS")</f>
        <v xml:space="preserve">          6282 - JANITORIAL/EXTERMINATOR EXPENS</v>
      </c>
      <c r="C53" s="11"/>
      <c r="D53" s="6"/>
      <c r="E53" s="2"/>
      <c r="F53" s="7">
        <f t="shared" si="38"/>
        <v>0</v>
      </c>
      <c r="G53" s="2"/>
      <c r="H53" s="6">
        <v>116.81</v>
      </c>
      <c r="I53" s="2"/>
      <c r="J53" s="7">
        <f t="shared" si="39"/>
        <v>1.2637476235085835E-3</v>
      </c>
      <c r="K53" s="2"/>
      <c r="L53" s="6">
        <f t="shared" si="40"/>
        <v>-116.81</v>
      </c>
      <c r="M53" s="2"/>
      <c r="N53" s="7">
        <f t="shared" si="41"/>
        <v>-1</v>
      </c>
      <c r="O53" s="11"/>
      <c r="P53" s="6">
        <v>-567.28</v>
      </c>
      <c r="Q53" s="2"/>
      <c r="R53" s="7">
        <f t="shared" si="42"/>
        <v>0</v>
      </c>
      <c r="S53" s="2"/>
      <c r="T53" s="6">
        <v>700.86</v>
      </c>
      <c r="U53" s="2"/>
      <c r="V53" s="7">
        <f t="shared" si="43"/>
        <v>1.6885677415475122E-3</v>
      </c>
      <c r="W53" s="2"/>
      <c r="X53" s="6">
        <f t="shared" si="44"/>
        <v>-1268.1399999999999</v>
      </c>
      <c r="Y53" s="2"/>
      <c r="Z53" s="7">
        <f t="shared" si="45"/>
        <v>-1.8094055874211681</v>
      </c>
    </row>
    <row r="54" spans="1:26" s="24" customFormat="1" hidden="1" outlineLevel="2" x14ac:dyDescent="0.25">
      <c r="A54" s="25"/>
      <c r="B54" s="11" t="str">
        <f>CONCATENATE("          ", "6285", " - ", "JANITORIAL SERVICES")</f>
        <v xml:space="preserve">          6285 - JANITORIAL SERVICES</v>
      </c>
      <c r="C54" s="11"/>
      <c r="D54" s="6"/>
      <c r="E54" s="2"/>
      <c r="F54" s="7">
        <f t="shared" si="38"/>
        <v>0</v>
      </c>
      <c r="G54" s="2"/>
      <c r="H54" s="6">
        <v>151.36000000000001</v>
      </c>
      <c r="I54" s="2"/>
      <c r="J54" s="7">
        <f t="shared" si="39"/>
        <v>1.6375382269862102E-3</v>
      </c>
      <c r="K54" s="2"/>
      <c r="L54" s="6">
        <f t="shared" si="40"/>
        <v>-151.36000000000001</v>
      </c>
      <c r="M54" s="2"/>
      <c r="N54" s="7">
        <f t="shared" si="41"/>
        <v>-1</v>
      </c>
      <c r="O54" s="11"/>
      <c r="P54" s="6">
        <v>-486.24</v>
      </c>
      <c r="Q54" s="2"/>
      <c r="R54" s="7">
        <f t="shared" si="42"/>
        <v>0</v>
      </c>
      <c r="S54" s="2"/>
      <c r="T54" s="6">
        <v>278.39999999999998</v>
      </c>
      <c r="U54" s="2"/>
      <c r="V54" s="7">
        <f t="shared" si="43"/>
        <v>6.707434569626278E-4</v>
      </c>
      <c r="W54" s="2"/>
      <c r="X54" s="6">
        <f t="shared" si="44"/>
        <v>-764.64</v>
      </c>
      <c r="Y54" s="2"/>
      <c r="Z54" s="7">
        <f t="shared" si="45"/>
        <v>-2.7465517241379311</v>
      </c>
    </row>
    <row r="55" spans="1:26" s="24" customFormat="1" hidden="1" outlineLevel="2" x14ac:dyDescent="0.25">
      <c r="A55" s="25"/>
      <c r="B55" s="11" t="str">
        <f>CONCATENATE("          ", "6286", " - ", "LAUNDRY EXPENSE")</f>
        <v xml:space="preserve">          6286 - LAUNDRY EXPENSE</v>
      </c>
      <c r="C55" s="11"/>
      <c r="D55" s="6"/>
      <c r="E55" s="2"/>
      <c r="F55" s="7">
        <f t="shared" si="38"/>
        <v>0</v>
      </c>
      <c r="G55" s="2"/>
      <c r="H55" s="6">
        <v>232.77</v>
      </c>
      <c r="I55" s="2"/>
      <c r="J55" s="7">
        <f t="shared" si="39"/>
        <v>2.5182992408534629E-3</v>
      </c>
      <c r="K55" s="2"/>
      <c r="L55" s="6">
        <f t="shared" si="40"/>
        <v>-232.77</v>
      </c>
      <c r="M55" s="2"/>
      <c r="N55" s="7">
        <f t="shared" si="41"/>
        <v>-1</v>
      </c>
      <c r="O55" s="11"/>
      <c r="P55" s="6"/>
      <c r="Q55" s="2"/>
      <c r="R55" s="7">
        <f t="shared" si="42"/>
        <v>0</v>
      </c>
      <c r="S55" s="2"/>
      <c r="T55" s="6">
        <v>1523.34</v>
      </c>
      <c r="U55" s="2"/>
      <c r="V55" s="7">
        <f t="shared" si="43"/>
        <v>3.6701520751776201E-3</v>
      </c>
      <c r="W55" s="2"/>
      <c r="X55" s="6">
        <f t="shared" si="44"/>
        <v>-1523.34</v>
      </c>
      <c r="Y55" s="2"/>
      <c r="Z55" s="7">
        <f t="shared" si="45"/>
        <v>-1</v>
      </c>
    </row>
    <row r="56" spans="1:26" s="26" customFormat="1" outlineLevel="1" collapsed="1" x14ac:dyDescent="0.25">
      <c r="A56" s="27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SUM(OSRRefD22_10x_0)</f>
        <v>0</v>
      </c>
      <c r="E56" s="1"/>
      <c r="F56" s="5">
        <f t="shared" ref="F56:F61" si="46">IF(D$12=0,0,D56/D$12)</f>
        <v>0</v>
      </c>
      <c r="G56" s="1"/>
      <c r="H56" s="1">
        <f>SUM(OSRRefH22_10x_0)</f>
        <v>1302.5999999999999</v>
      </c>
      <c r="I56" s="1"/>
      <c r="J56" s="5">
        <f t="shared" ref="J56:J61" si="47">IF(H$12=0,0,H56/H$12)</f>
        <v>1.4092608975107274E-2</v>
      </c>
      <c r="K56" s="1"/>
      <c r="L56" s="1">
        <f t="shared" ref="L56:L61" si="48">+D56-H56</f>
        <v>-1302.5999999999999</v>
      </c>
      <c r="M56" s="1"/>
      <c r="N56" s="5">
        <f t="shared" ref="N56:N61" si="49">IF(H56=0,0,L56/H56)</f>
        <v>-1</v>
      </c>
      <c r="O56" s="13"/>
      <c r="P56" s="1">
        <f>SUM(OSRRefP22_10x_0)</f>
        <v>131.30000000000001</v>
      </c>
      <c r="Q56" s="1"/>
      <c r="R56" s="5">
        <f t="shared" ref="R56:R61" si="50">IF(P$12=0,0,P56/P$12)</f>
        <v>0</v>
      </c>
      <c r="S56" s="1"/>
      <c r="T56" s="1">
        <f>SUM(OSRRefT22_10x_0)</f>
        <v>10781.130000000001</v>
      </c>
      <c r="U56" s="1"/>
      <c r="V56" s="5">
        <f t="shared" ref="V56:V61" si="51">IF(T$12=0,0,T56/T$12)</f>
        <v>2.5974757206047045E-2</v>
      </c>
      <c r="W56" s="1"/>
      <c r="X56" s="1">
        <f t="shared" ref="X56:X61" si="52">+P56-T56</f>
        <v>-10649.830000000002</v>
      </c>
      <c r="Y56" s="1"/>
      <c r="Z56" s="5">
        <f t="shared" ref="Z56:Z61" si="53">IF(T56=0,0,X56/T56)</f>
        <v>-0.98782131372128901</v>
      </c>
    </row>
    <row r="57" spans="1:26" s="24" customFormat="1" hidden="1" outlineLevel="2" x14ac:dyDescent="0.25">
      <c r="A57" s="25"/>
      <c r="B57" s="11" t="str">
        <f>CONCATENATE("          ", "6234", " - ", "EXPENDABLE SUPPLIES &amp; EQUIPMEN")</f>
        <v xml:space="preserve">          6234 - EXPENDABLE SUPPLIES &amp; EQUIPMEN</v>
      </c>
      <c r="C57" s="11"/>
      <c r="D57" s="6"/>
      <c r="E57" s="2"/>
      <c r="F57" s="7">
        <f t="shared" si="46"/>
        <v>0</v>
      </c>
      <c r="G57" s="2"/>
      <c r="H57" s="6"/>
      <c r="I57" s="2"/>
      <c r="J57" s="7">
        <f t="shared" si="47"/>
        <v>0</v>
      </c>
      <c r="K57" s="2"/>
      <c r="L57" s="6">
        <f t="shared" si="48"/>
        <v>0</v>
      </c>
      <c r="M57" s="2"/>
      <c r="N57" s="7">
        <f t="shared" si="49"/>
        <v>0</v>
      </c>
      <c r="O57" s="11"/>
      <c r="P57" s="6"/>
      <c r="Q57" s="2"/>
      <c r="R57" s="7">
        <f t="shared" si="50"/>
        <v>0</v>
      </c>
      <c r="S57" s="2"/>
      <c r="T57" s="6">
        <v>354.71</v>
      </c>
      <c r="U57" s="2"/>
      <c r="V57" s="7">
        <f t="shared" si="51"/>
        <v>8.5459558771269295E-4</v>
      </c>
      <c r="W57" s="2"/>
      <c r="X57" s="6">
        <f t="shared" si="52"/>
        <v>-354.71</v>
      </c>
      <c r="Y57" s="2"/>
      <c r="Z57" s="7">
        <f t="shared" si="53"/>
        <v>-1</v>
      </c>
    </row>
    <row r="58" spans="1:26" s="24" customFormat="1" hidden="1" outlineLevel="2" x14ac:dyDescent="0.25">
      <c r="A58" s="25"/>
      <c r="B58" s="11" t="str">
        <f>CONCATENATE("          ", "6237", " - ", "JANITORIAL SUPPLIES")</f>
        <v xml:space="preserve">          6237 - JANITORIAL SUPPLIES</v>
      </c>
      <c r="C58" s="11"/>
      <c r="D58" s="6"/>
      <c r="E58" s="2"/>
      <c r="F58" s="7">
        <f t="shared" si="46"/>
        <v>0</v>
      </c>
      <c r="G58" s="2"/>
      <c r="H58" s="6">
        <v>520.76</v>
      </c>
      <c r="I58" s="2"/>
      <c r="J58" s="7">
        <f t="shared" si="47"/>
        <v>5.6340143174242784E-3</v>
      </c>
      <c r="K58" s="2"/>
      <c r="L58" s="6">
        <f t="shared" si="48"/>
        <v>-520.76</v>
      </c>
      <c r="M58" s="2"/>
      <c r="N58" s="7">
        <f t="shared" si="49"/>
        <v>-1</v>
      </c>
      <c r="O58" s="11"/>
      <c r="P58" s="6"/>
      <c r="Q58" s="2"/>
      <c r="R58" s="7">
        <f t="shared" si="50"/>
        <v>0</v>
      </c>
      <c r="S58" s="2"/>
      <c r="T58" s="6">
        <v>1184.68</v>
      </c>
      <c r="U58" s="2"/>
      <c r="V58" s="7">
        <f t="shared" si="51"/>
        <v>2.8542254259859411E-3</v>
      </c>
      <c r="W58" s="2"/>
      <c r="X58" s="6">
        <f t="shared" si="52"/>
        <v>-1184.68</v>
      </c>
      <c r="Y58" s="2"/>
      <c r="Z58" s="7">
        <f t="shared" si="53"/>
        <v>-1</v>
      </c>
    </row>
    <row r="59" spans="1:26" s="24" customFormat="1" hidden="1" outlineLevel="2" x14ac:dyDescent="0.25">
      <c r="A59" s="25"/>
      <c r="B59" s="11" t="str">
        <f>CONCATENATE("          ", "6241", " - ", "OFFICE EXPENSE")</f>
        <v xml:space="preserve">          6241 - OFFICE EXPENSE</v>
      </c>
      <c r="C59" s="11"/>
      <c r="D59" s="6"/>
      <c r="E59" s="2"/>
      <c r="F59" s="7">
        <f t="shared" si="46"/>
        <v>0</v>
      </c>
      <c r="G59" s="2"/>
      <c r="H59" s="6">
        <v>134.30000000000001</v>
      </c>
      <c r="I59" s="2"/>
      <c r="J59" s="7">
        <f t="shared" si="47"/>
        <v>1.4529689738652751E-3</v>
      </c>
      <c r="K59" s="2"/>
      <c r="L59" s="6">
        <f t="shared" si="48"/>
        <v>-134.30000000000001</v>
      </c>
      <c r="M59" s="2"/>
      <c r="N59" s="7">
        <f t="shared" si="49"/>
        <v>-1</v>
      </c>
      <c r="O59" s="11"/>
      <c r="P59" s="6">
        <v>131.30000000000001</v>
      </c>
      <c r="Q59" s="2"/>
      <c r="R59" s="7">
        <f t="shared" si="50"/>
        <v>0</v>
      </c>
      <c r="S59" s="2"/>
      <c r="T59" s="6">
        <v>1007.25</v>
      </c>
      <c r="U59" s="2"/>
      <c r="V59" s="7">
        <f t="shared" si="51"/>
        <v>2.4267469361551972E-3</v>
      </c>
      <c r="W59" s="2"/>
      <c r="X59" s="6">
        <f t="shared" si="52"/>
        <v>-875.95</v>
      </c>
      <c r="Y59" s="2"/>
      <c r="Z59" s="7">
        <f t="shared" si="53"/>
        <v>-0.86964507321916118</v>
      </c>
    </row>
    <row r="60" spans="1:26" s="24" customFormat="1" hidden="1" outlineLevel="2" x14ac:dyDescent="0.25">
      <c r="A60" s="25"/>
      <c r="B60" s="11" t="str">
        <f>CONCATENATE("          ", "6243", " - ", "PAPER SUPPLIES")</f>
        <v xml:space="preserve">          6243 - PAPER SUPPLIES</v>
      </c>
      <c r="C60" s="11"/>
      <c r="D60" s="6"/>
      <c r="E60" s="2"/>
      <c r="F60" s="7">
        <f t="shared" si="46"/>
        <v>0</v>
      </c>
      <c r="G60" s="2"/>
      <c r="H60" s="6">
        <v>44.56</v>
      </c>
      <c r="I60" s="2"/>
      <c r="J60" s="7">
        <f t="shared" si="47"/>
        <v>4.8208709959372044E-4</v>
      </c>
      <c r="K60" s="2"/>
      <c r="L60" s="6">
        <f t="shared" si="48"/>
        <v>-44.56</v>
      </c>
      <c r="M60" s="2"/>
      <c r="N60" s="7">
        <f t="shared" si="49"/>
        <v>-1</v>
      </c>
      <c r="O60" s="11"/>
      <c r="P60" s="6"/>
      <c r="Q60" s="2"/>
      <c r="R60" s="7">
        <f t="shared" si="50"/>
        <v>0</v>
      </c>
      <c r="S60" s="2"/>
      <c r="T60" s="6">
        <v>1636.54</v>
      </c>
      <c r="U60" s="2"/>
      <c r="V60" s="7">
        <f t="shared" si="51"/>
        <v>3.9428825325345512E-3</v>
      </c>
      <c r="W60" s="2"/>
      <c r="X60" s="6">
        <f t="shared" si="52"/>
        <v>-1636.54</v>
      </c>
      <c r="Y60" s="2"/>
      <c r="Z60" s="7">
        <f t="shared" si="53"/>
        <v>-1</v>
      </c>
    </row>
    <row r="61" spans="1:26" s="24" customFormat="1" hidden="1" outlineLevel="2" x14ac:dyDescent="0.25">
      <c r="A61" s="25"/>
      <c r="B61" s="11" t="str">
        <f>CONCATENATE("          ", "6247", " - ", "STORE SUPPLIES")</f>
        <v xml:space="preserve">          6247 - STORE SUPPLIES</v>
      </c>
      <c r="C61" s="11"/>
      <c r="D61" s="6"/>
      <c r="E61" s="2"/>
      <c r="F61" s="7">
        <f t="shared" si="46"/>
        <v>0</v>
      </c>
      <c r="G61" s="2"/>
      <c r="H61" s="6">
        <v>602.98</v>
      </c>
      <c r="I61" s="2"/>
      <c r="J61" s="7">
        <f t="shared" si="47"/>
        <v>6.5235385842240022E-3</v>
      </c>
      <c r="K61" s="2"/>
      <c r="L61" s="6">
        <f t="shared" si="48"/>
        <v>-602.98</v>
      </c>
      <c r="M61" s="2"/>
      <c r="N61" s="7">
        <f t="shared" si="49"/>
        <v>-1</v>
      </c>
      <c r="O61" s="11"/>
      <c r="P61" s="6"/>
      <c r="Q61" s="2"/>
      <c r="R61" s="7">
        <f t="shared" si="50"/>
        <v>0</v>
      </c>
      <c r="S61" s="2"/>
      <c r="T61" s="6">
        <v>6597.95</v>
      </c>
      <c r="U61" s="2"/>
      <c r="V61" s="7">
        <f t="shared" si="51"/>
        <v>1.589630672365866E-2</v>
      </c>
      <c r="W61" s="2"/>
      <c r="X61" s="6">
        <f t="shared" si="52"/>
        <v>-6597.95</v>
      </c>
      <c r="Y61" s="2"/>
      <c r="Z61" s="7">
        <f t="shared" si="53"/>
        <v>-1</v>
      </c>
    </row>
    <row r="62" spans="1:26" s="26" customFormat="1" outlineLevel="1" collapsed="1" x14ac:dyDescent="0.25">
      <c r="A62" s="27"/>
      <c r="B62" s="13" t="str">
        <f>CONCATENATE("     ","Telephone/Data Lines                              ")</f>
        <v xml:space="preserve">     Telephone/Data Lines                              </v>
      </c>
      <c r="C62" s="13"/>
      <c r="D62" s="1">
        <f>SUM(OSRRefD22_11x_0)</f>
        <v>0</v>
      </c>
      <c r="E62" s="1"/>
      <c r="F62" s="5">
        <f t="shared" ref="F62:F65" si="54">IF(D$12=0,0,D62/D$12)</f>
        <v>0</v>
      </c>
      <c r="G62" s="1"/>
      <c r="H62" s="1">
        <f>SUM(OSRRefH22_11x_0)</f>
        <v>36</v>
      </c>
      <c r="I62" s="1"/>
      <c r="J62" s="5">
        <f t="shared" ref="J62:J65" si="55">IF(H$12=0,0,H62/H$12)</f>
        <v>3.89477908109828E-4</v>
      </c>
      <c r="K62" s="1"/>
      <c r="L62" s="1">
        <f t="shared" ref="L62:L65" si="56">+D62-H62</f>
        <v>-36</v>
      </c>
      <c r="M62" s="1"/>
      <c r="N62" s="5">
        <f t="shared" ref="N62:N65" si="57">IF(H62=0,0,L62/H62)</f>
        <v>-1</v>
      </c>
      <c r="O62" s="13"/>
      <c r="P62" s="1">
        <f>SUM(OSRRefP22_11x_0)</f>
        <v>85.2</v>
      </c>
      <c r="Q62" s="1"/>
      <c r="R62" s="5">
        <f t="shared" ref="R62:R65" si="58">IF(P$12=0,0,P62/P$12)</f>
        <v>0</v>
      </c>
      <c r="S62" s="1"/>
      <c r="T62" s="1">
        <f>SUM(OSRRefT22_11x_0)</f>
        <v>195</v>
      </c>
      <c r="U62" s="1"/>
      <c r="V62" s="5">
        <f t="shared" ref="V62:V65" si="59">IF(T$12=0,0,T62/T$12)</f>
        <v>4.6980953343287514E-4</v>
      </c>
      <c r="W62" s="1"/>
      <c r="X62" s="1">
        <f t="shared" ref="X62:X65" si="60">+P62-T62</f>
        <v>-109.8</v>
      </c>
      <c r="Y62" s="1"/>
      <c r="Z62" s="5">
        <f t="shared" ref="Z62:Z65" si="61">IF(T62=0,0,X62/T62)</f>
        <v>-0.56307692307692303</v>
      </c>
    </row>
    <row r="63" spans="1:26" s="24" customFormat="1" hidden="1" outlineLevel="2" x14ac:dyDescent="0.25">
      <c r="A63" s="25"/>
      <c r="B63" s="11" t="str">
        <f>CONCATENATE("          ", "6309", " - ", "TELEPHONE")</f>
        <v xml:space="preserve">          6309 - TELEPHONE</v>
      </c>
      <c r="C63" s="11"/>
      <c r="D63" s="6"/>
      <c r="E63" s="2"/>
      <c r="F63" s="7">
        <f t="shared" si="54"/>
        <v>0</v>
      </c>
      <c r="G63" s="2"/>
      <c r="H63" s="6">
        <v>36</v>
      </c>
      <c r="I63" s="2"/>
      <c r="J63" s="7">
        <f t="shared" si="55"/>
        <v>3.89477908109828E-4</v>
      </c>
      <c r="K63" s="2"/>
      <c r="L63" s="6">
        <f t="shared" si="56"/>
        <v>-36</v>
      </c>
      <c r="M63" s="2"/>
      <c r="N63" s="7">
        <f t="shared" si="57"/>
        <v>-1</v>
      </c>
      <c r="O63" s="11"/>
      <c r="P63" s="6">
        <v>85.2</v>
      </c>
      <c r="Q63" s="2"/>
      <c r="R63" s="7">
        <f t="shared" si="58"/>
        <v>0</v>
      </c>
      <c r="S63" s="2"/>
      <c r="T63" s="6">
        <v>195</v>
      </c>
      <c r="U63" s="2"/>
      <c r="V63" s="7">
        <f t="shared" si="59"/>
        <v>4.6980953343287514E-4</v>
      </c>
      <c r="W63" s="2"/>
      <c r="X63" s="6">
        <f t="shared" si="60"/>
        <v>-109.8</v>
      </c>
      <c r="Y63" s="2"/>
      <c r="Z63" s="7">
        <f t="shared" si="61"/>
        <v>-0.56307692307692303</v>
      </c>
    </row>
    <row r="64" spans="1:26" s="26" customFormat="1" outlineLevel="1" collapsed="1" x14ac:dyDescent="0.25">
      <c r="A64" s="27"/>
      <c r="B64" s="13" t="str">
        <f>CONCATENATE("     ","Utilities                                         ")</f>
        <v xml:space="preserve">     Utilities                                         </v>
      </c>
      <c r="C64" s="13"/>
      <c r="D64" s="1">
        <f>SUM(OSRRefD22_12x_0)</f>
        <v>208</v>
      </c>
      <c r="E64" s="1"/>
      <c r="F64" s="5">
        <f t="shared" si="54"/>
        <v>0</v>
      </c>
      <c r="G64" s="1"/>
      <c r="H64" s="1">
        <f>SUM(OSRRefH22_12x_0)</f>
        <v>182</v>
      </c>
      <c r="I64" s="1"/>
      <c r="J64" s="5">
        <f t="shared" si="55"/>
        <v>1.9690272021107972E-3</v>
      </c>
      <c r="K64" s="1"/>
      <c r="L64" s="1">
        <f t="shared" si="56"/>
        <v>26</v>
      </c>
      <c r="M64" s="1"/>
      <c r="N64" s="5">
        <f t="shared" si="57"/>
        <v>0.14285714285714285</v>
      </c>
      <c r="O64" s="13"/>
      <c r="P64" s="1">
        <f>SUM(OSRRefP22_12x_0)</f>
        <v>416</v>
      </c>
      <c r="Q64" s="1"/>
      <c r="R64" s="5">
        <f t="shared" si="58"/>
        <v>0</v>
      </c>
      <c r="S64" s="1"/>
      <c r="T64" s="1">
        <f>SUM(OSRRefT22_12x_0)</f>
        <v>728</v>
      </c>
      <c r="U64" s="1"/>
      <c r="V64" s="5">
        <f t="shared" si="59"/>
        <v>1.7539555914827339E-3</v>
      </c>
      <c r="W64" s="1"/>
      <c r="X64" s="1">
        <f t="shared" si="60"/>
        <v>-312</v>
      </c>
      <c r="Y64" s="1"/>
      <c r="Z64" s="5">
        <f t="shared" si="61"/>
        <v>-0.42857142857142855</v>
      </c>
    </row>
    <row r="65" spans="1:26" s="24" customFormat="1" hidden="1" outlineLevel="2" x14ac:dyDescent="0.25">
      <c r="A65" s="25"/>
      <c r="B65" s="11" t="str">
        <f>CONCATENATE("          ", "6274", " - ", "UTILITIES")</f>
        <v xml:space="preserve">          6274 - UTILITIES</v>
      </c>
      <c r="C65" s="11"/>
      <c r="D65" s="6">
        <v>208</v>
      </c>
      <c r="E65" s="2"/>
      <c r="F65" s="7">
        <f t="shared" si="54"/>
        <v>0</v>
      </c>
      <c r="G65" s="2"/>
      <c r="H65" s="6">
        <v>182</v>
      </c>
      <c r="I65" s="2"/>
      <c r="J65" s="7">
        <f t="shared" si="55"/>
        <v>1.9690272021107972E-3</v>
      </c>
      <c r="K65" s="2"/>
      <c r="L65" s="6">
        <f t="shared" si="56"/>
        <v>26</v>
      </c>
      <c r="M65" s="2"/>
      <c r="N65" s="7">
        <f t="shared" si="57"/>
        <v>0.14285714285714285</v>
      </c>
      <c r="O65" s="11"/>
      <c r="P65" s="6">
        <v>416</v>
      </c>
      <c r="Q65" s="2"/>
      <c r="R65" s="7">
        <f t="shared" si="58"/>
        <v>0</v>
      </c>
      <c r="S65" s="2"/>
      <c r="T65" s="6">
        <v>728</v>
      </c>
      <c r="U65" s="2"/>
      <c r="V65" s="7">
        <f t="shared" si="59"/>
        <v>1.7539555914827339E-3</v>
      </c>
      <c r="W65" s="2"/>
      <c r="X65" s="6">
        <f t="shared" si="60"/>
        <v>-312</v>
      </c>
      <c r="Y65" s="2"/>
      <c r="Z65" s="7">
        <f t="shared" si="61"/>
        <v>-0.42857142857142855</v>
      </c>
    </row>
    <row r="66" spans="1:26" s="53" customFormat="1" x14ac:dyDescent="0.25">
      <c r="A66" s="37"/>
      <c r="B66" s="37"/>
      <c r="C66" s="37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7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x14ac:dyDescent="0.25">
      <c r="A67" s="10"/>
      <c r="B67" s="29" t="s">
        <v>0</v>
      </c>
      <c r="C67" s="10"/>
      <c r="D67" s="4">
        <f>SUM(0)</f>
        <v>0</v>
      </c>
      <c r="E67" s="4"/>
      <c r="F67" s="12">
        <f>IF(D$12=0,0,D67/D$12)</f>
        <v>0</v>
      </c>
      <c r="G67" s="4"/>
      <c r="H67" s="4">
        <f>SUM(0)</f>
        <v>0</v>
      </c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>
        <f>SUM(0)</f>
        <v>0</v>
      </c>
      <c r="Q67" s="4"/>
      <c r="R67" s="12">
        <f>IF(P$12=0,0,P67/P$12)</f>
        <v>0</v>
      </c>
      <c r="S67" s="4"/>
      <c r="T67" s="4">
        <f>SUM(0)</f>
        <v>0</v>
      </c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8" t="s">
        <v>3</v>
      </c>
      <c r="C69" s="28"/>
      <c r="D69" s="20">
        <f>+D20-D22+D67</f>
        <v>-2225.34</v>
      </c>
      <c r="E69" s="14"/>
      <c r="F69" s="22">
        <f>IF(D$12=0,0,D69/D$12)</f>
        <v>0</v>
      </c>
      <c r="G69" s="14"/>
      <c r="H69" s="20">
        <f>+H20-H22+H67</f>
        <v>16950.380000000016</v>
      </c>
      <c r="I69" s="14"/>
      <c r="J69" s="22">
        <f>IF(H$12=0,0,H69/H$12)</f>
        <v>0.1833832928907409</v>
      </c>
      <c r="K69" s="15"/>
      <c r="L69" s="20">
        <f>+D69-H69</f>
        <v>-19175.720000000016</v>
      </c>
      <c r="M69" s="15"/>
      <c r="N69" s="22">
        <f>IF(H69=0,0,L69/H69)</f>
        <v>-1.1312855523003023</v>
      </c>
      <c r="O69" s="29"/>
      <c r="P69" s="20">
        <f>+P20-P22+P67</f>
        <v>-12270.27</v>
      </c>
      <c r="Q69" s="14"/>
      <c r="R69" s="22">
        <f>IF(P$12=0,0,P69/P$12)</f>
        <v>0</v>
      </c>
      <c r="S69" s="14"/>
      <c r="T69" s="20">
        <f>+T20-T22+T67</f>
        <v>58763.23000000004</v>
      </c>
      <c r="U69" s="14"/>
      <c r="V69" s="22">
        <f>IF(T$12=0,0,T69/T$12)</f>
        <v>0.14157705471440385</v>
      </c>
      <c r="W69" s="15"/>
      <c r="X69" s="20">
        <f>+P69-T69</f>
        <v>-71033.500000000044</v>
      </c>
      <c r="Y69" s="15"/>
      <c r="Z69" s="22">
        <f>IF(T69=0,0,X69/T69)</f>
        <v>-1.2088086376463649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1"/>
      <c r="B71" s="10" t="s">
        <v>13</v>
      </c>
      <c r="C71" s="10"/>
      <c r="D71" s="4"/>
      <c r="E71" s="4"/>
      <c r="F71" s="12">
        <f>IF(D$12=0,0,D71/D$12)</f>
        <v>0</v>
      </c>
      <c r="G71" s="4"/>
      <c r="H71" s="4">
        <v>11475.44</v>
      </c>
      <c r="I71" s="4"/>
      <c r="J71" s="12">
        <f>IF(H$12=0,0,H71/H$12)</f>
        <v>0.12415084349555124</v>
      </c>
      <c r="K71" s="4"/>
      <c r="L71" s="4">
        <f>+D71-H71</f>
        <v>-11475.44</v>
      </c>
      <c r="M71" s="4"/>
      <c r="N71" s="12">
        <f>IF(H71=0,0,L71/H71)</f>
        <v>-1</v>
      </c>
      <c r="O71" s="10"/>
      <c r="P71" s="4"/>
      <c r="Q71" s="4"/>
      <c r="R71" s="12">
        <f>IF(P$12=0,0,P71/P$12)</f>
        <v>0</v>
      </c>
      <c r="S71" s="4"/>
      <c r="T71" s="4">
        <v>43952.24</v>
      </c>
      <c r="U71" s="4"/>
      <c r="V71" s="12">
        <f>IF(T$12=0,0,T71/T$12)</f>
        <v>0.10589323778322948</v>
      </c>
      <c r="W71" s="4"/>
      <c r="X71" s="4">
        <f>+P71-T71</f>
        <v>-43952.24</v>
      </c>
      <c r="Y71" s="4"/>
      <c r="Z71" s="12">
        <f>IF(T71=0,0,X71/T71)</f>
        <v>-1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8" t="s">
        <v>4</v>
      </c>
      <c r="C73" s="28"/>
      <c r="D73" s="31">
        <f>+D69-D71</f>
        <v>-2225.34</v>
      </c>
      <c r="E73" s="14"/>
      <c r="F73" s="34">
        <f>IF(D$12=0,0,D73/D$12)</f>
        <v>0</v>
      </c>
      <c r="G73" s="14"/>
      <c r="H73" s="31">
        <f>+H69-H71</f>
        <v>5474.9400000000151</v>
      </c>
      <c r="I73" s="14"/>
      <c r="J73" s="34">
        <f>IF(H$12=0,0,H73/H$12)</f>
        <v>5.9232449395189651E-2</v>
      </c>
      <c r="K73" s="15"/>
      <c r="L73" s="31">
        <f>D73-H73</f>
        <v>-7700.2800000000152</v>
      </c>
      <c r="M73" s="15"/>
      <c r="N73" s="34">
        <f>IF(H73=0,0,L73/H73)</f>
        <v>-1.4064592488684797</v>
      </c>
      <c r="O73" s="29"/>
      <c r="P73" s="31">
        <f>+P69-P71</f>
        <v>-12270.27</v>
      </c>
      <c r="Q73" s="14"/>
      <c r="R73" s="34">
        <f>IF(P$12=0,0,P73/P$12)</f>
        <v>0</v>
      </c>
      <c r="S73" s="14"/>
      <c r="T73" s="31">
        <f>+T69-T71</f>
        <v>14810.990000000042</v>
      </c>
      <c r="U73" s="14"/>
      <c r="V73" s="34">
        <f>IF(T$12=0,0,T73/T$12)</f>
        <v>3.5683816931174353E-2</v>
      </c>
      <c r="W73" s="15"/>
      <c r="X73" s="31">
        <f>P73-T73</f>
        <v>-27081.260000000042</v>
      </c>
      <c r="Y73" s="15"/>
      <c r="Z73" s="34">
        <f>IF(T73=0,0,X73/T73)</f>
        <v>-1.8284571119148663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8" t="s">
        <v>5</v>
      </c>
      <c r="C76" s="28"/>
      <c r="D76" s="32">
        <f>SUM(D73:D75)</f>
        <v>-2225.34</v>
      </c>
      <c r="E76" s="14"/>
      <c r="F76" s="30">
        <f>IF(D$12=0,0,D76/D$12)</f>
        <v>0</v>
      </c>
      <c r="G76" s="14"/>
      <c r="H76" s="32">
        <f>SUM(H73:H75)</f>
        <v>5474.9400000000151</v>
      </c>
      <c r="I76" s="14"/>
      <c r="J76" s="30">
        <f>IF(H$12=0,0,H76/H$12)</f>
        <v>5.9232449395189651E-2</v>
      </c>
      <c r="K76" s="15"/>
      <c r="L76" s="32">
        <f>+D76-H76</f>
        <v>-7700.2800000000152</v>
      </c>
      <c r="M76" s="15"/>
      <c r="N76" s="30">
        <f>IF(H76=0,0,L76/H76)</f>
        <v>-1.4064592488684797</v>
      </c>
      <c r="O76" s="29"/>
      <c r="P76" s="32">
        <f>SUM(P73:P75)</f>
        <v>-12270.27</v>
      </c>
      <c r="Q76" s="14"/>
      <c r="R76" s="30">
        <f>IF(P$12=0,0,P76/P$12)</f>
        <v>0</v>
      </c>
      <c r="S76" s="14"/>
      <c r="T76" s="32">
        <f>SUM(T73:T75)</f>
        <v>14810.990000000042</v>
      </c>
      <c r="U76" s="14"/>
      <c r="V76" s="30">
        <f>IF(T$12=0,0,T76/T$12)</f>
        <v>3.5683816931174353E-2</v>
      </c>
      <c r="W76" s="15"/>
      <c r="X76" s="32">
        <f>+P76-T76</f>
        <v>-27081.260000000042</v>
      </c>
      <c r="Y76" s="15"/>
      <c r="Z76" s="30">
        <f>IF(T76=0,0,X76/T76)</f>
        <v>-1.8284571119148663</v>
      </c>
    </row>
    <row r="77" spans="1:26" ht="15.75" thickTop="1" x14ac:dyDescent="0.25">
      <c r="A77" s="9"/>
      <c r="C77" s="9"/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A78" s="9"/>
      <c r="B78" s="54">
        <v>44174.685762037036</v>
      </c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56" t="s">
        <v>313</v>
      </c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61"/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4:24" x14ac:dyDescent="0.25"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","325", " - ", "Outpost C-Store")</f>
        <v>Department 325 - Outpost C-Store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77434.09</v>
      </c>
      <c r="I12" s="4"/>
      <c r="J12" s="12"/>
      <c r="K12" s="4"/>
      <c r="L12" s="4">
        <f t="shared" ref="L12:L14" si="0">+D12-H12</f>
        <v>-77434.09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353511.95999999996</v>
      </c>
      <c r="U12" s="4"/>
      <c r="V12" s="12"/>
      <c r="W12" s="4"/>
      <c r="X12" s="4">
        <f t="shared" ref="X12:X14" si="2">+P12-T12</f>
        <v>-353511.95999999996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--11990.47</f>
        <v>11990.47</v>
      </c>
      <c r="I13" s="2"/>
      <c r="J13" s="19"/>
      <c r="K13" s="2"/>
      <c r="L13" s="2">
        <f t="shared" si="0"/>
        <v>-11990.47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--62615.55</f>
        <v>62615.55</v>
      </c>
      <c r="U13" s="2"/>
      <c r="V13" s="19"/>
      <c r="W13" s="2"/>
      <c r="X13" s="2">
        <f t="shared" si="2"/>
        <v>-62615.55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>--65443.62</f>
        <v>65443.62</v>
      </c>
      <c r="I14" s="2"/>
      <c r="J14" s="19"/>
      <c r="K14" s="2"/>
      <c r="L14" s="2">
        <f t="shared" si="0"/>
        <v>-65443.62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--290896.41</f>
        <v>290896.40999999997</v>
      </c>
      <c r="U14" s="2"/>
      <c r="V14" s="19"/>
      <c r="W14" s="2"/>
      <c r="X14" s="2">
        <f t="shared" si="2"/>
        <v>-290896.40999999997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37610.43</v>
      </c>
      <c r="I16" s="4"/>
      <c r="J16" s="12">
        <f t="shared" ref="J16:J18" si="7">IF(H$12=0,0,H16/H$12)</f>
        <v>0.48570894292165118</v>
      </c>
      <c r="K16" s="4"/>
      <c r="L16" s="4">
        <f t="shared" ref="L16:L18" si="8">+D16-H16</f>
        <v>-37610.43</v>
      </c>
      <c r="M16" s="4"/>
      <c r="N16" s="12">
        <f t="shared" ref="N16:N18" si="9">IF(H16=0,0,L16/H16)</f>
        <v>-1</v>
      </c>
      <c r="O16" s="10"/>
      <c r="P16" s="4">
        <f>SUM(OSRRefP16x_0)</f>
        <v>10847.87</v>
      </c>
      <c r="Q16" s="4"/>
      <c r="R16" s="12">
        <f t="shared" ref="R16:R18" si="10">IF(P$12=0,0,P16/P$12)</f>
        <v>0</v>
      </c>
      <c r="S16" s="4"/>
      <c r="T16" s="4">
        <f>SUM(OSRRefT16x_0)</f>
        <v>159252.60999999999</v>
      </c>
      <c r="U16" s="4"/>
      <c r="V16" s="12">
        <f t="shared" ref="V16:V18" si="11">IF(T$12=0,0,T16/T$12)</f>
        <v>0.45048719143759663</v>
      </c>
      <c r="W16" s="4"/>
      <c r="X16" s="4">
        <f t="shared" ref="X16:X18" si="12">+P16-T16</f>
        <v>-148404.74</v>
      </c>
      <c r="Y16" s="4"/>
      <c r="Z16" s="12">
        <f t="shared" ref="Z16:Z18" si="13">IF(T16=0,0,X16/T16)</f>
        <v>-0.93188262346218376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35873.279999999999</v>
      </c>
      <c r="I17" s="2"/>
      <c r="J17" s="19">
        <f t="shared" si="7"/>
        <v>0.46327502525050662</v>
      </c>
      <c r="K17" s="2"/>
      <c r="L17" s="2">
        <f t="shared" si="8"/>
        <v>-35873.279999999999</v>
      </c>
      <c r="M17" s="2"/>
      <c r="N17" s="19">
        <f t="shared" si="9"/>
        <v>-1</v>
      </c>
      <c r="O17" s="11"/>
      <c r="P17" s="2">
        <v>-781.13</v>
      </c>
      <c r="Q17" s="2"/>
      <c r="R17" s="19">
        <f t="shared" si="10"/>
        <v>0</v>
      </c>
      <c r="S17" s="2"/>
      <c r="T17" s="2">
        <v>169477.34</v>
      </c>
      <c r="U17" s="2"/>
      <c r="V17" s="19">
        <f t="shared" si="11"/>
        <v>0.47941048444301576</v>
      </c>
      <c r="W17" s="2"/>
      <c r="X17" s="2">
        <f t="shared" si="12"/>
        <v>-170258.47</v>
      </c>
      <c r="Y17" s="2"/>
      <c r="Z17" s="19">
        <f t="shared" si="13"/>
        <v>-1.0046090527500608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1737.15</v>
      </c>
      <c r="I18" s="2"/>
      <c r="J18" s="19">
        <f t="shared" si="7"/>
        <v>2.2433917671144585E-2</v>
      </c>
      <c r="K18" s="2"/>
      <c r="L18" s="2">
        <f t="shared" si="8"/>
        <v>-1737.15</v>
      </c>
      <c r="M18" s="2"/>
      <c r="N18" s="19">
        <f t="shared" si="9"/>
        <v>-1</v>
      </c>
      <c r="O18" s="11"/>
      <c r="P18" s="2">
        <v>11629</v>
      </c>
      <c r="Q18" s="2"/>
      <c r="R18" s="19">
        <f t="shared" si="10"/>
        <v>0</v>
      </c>
      <c r="S18" s="2"/>
      <c r="T18" s="2">
        <v>-10224.73</v>
      </c>
      <c r="U18" s="2"/>
      <c r="V18" s="19">
        <f t="shared" si="11"/>
        <v>-2.8923293005419112E-2</v>
      </c>
      <c r="W18" s="2"/>
      <c r="X18" s="2">
        <f t="shared" si="12"/>
        <v>21853.73</v>
      </c>
      <c r="Y18" s="2"/>
      <c r="Z18" s="19">
        <f t="shared" si="13"/>
        <v>-2.1373405459117256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39823.659999999996</v>
      </c>
      <c r="I20" s="14"/>
      <c r="J20" s="22">
        <f>IF(H$12=0,0,H20/H$12)</f>
        <v>0.51429105707834877</v>
      </c>
      <c r="K20" s="15"/>
      <c r="L20" s="20">
        <f>+D20-H20</f>
        <v>-39823.659999999996</v>
      </c>
      <c r="M20" s="15"/>
      <c r="N20" s="22">
        <f>IF(H20=0,0,L20/H20)</f>
        <v>-1</v>
      </c>
      <c r="O20" s="29"/>
      <c r="P20" s="20">
        <f>P12-P16</f>
        <v>-10847.87</v>
      </c>
      <c r="Q20" s="14"/>
      <c r="R20" s="22">
        <f>IF(P$12=0,0,P20/P$12)</f>
        <v>0</v>
      </c>
      <c r="S20" s="14"/>
      <c r="T20" s="20">
        <f>T12-T16</f>
        <v>194259.34999999998</v>
      </c>
      <c r="U20" s="14"/>
      <c r="V20" s="22">
        <f>IF(T$12=0,0,T20/T$12)</f>
        <v>0.54951280856240337</v>
      </c>
      <c r="W20" s="15"/>
      <c r="X20" s="20">
        <f>+P20-T20</f>
        <v>-205107.21999999997</v>
      </c>
      <c r="Y20" s="15"/>
      <c r="Z20" s="22">
        <f>IF(T20=0,0,X20/T20)</f>
        <v>-1.0558422027047862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10799.75</v>
      </c>
      <c r="E22" s="21"/>
      <c r="F22" s="35">
        <f t="shared" ref="F22:F31" si="14">IF(D$12=0,0,D22/D$12)</f>
        <v>0</v>
      </c>
      <c r="G22" s="21"/>
      <c r="H22" s="21">
        <f>SUM(OSRRefH22x_0)</f>
        <v>29583.890000000003</v>
      </c>
      <c r="I22" s="21"/>
      <c r="J22" s="35">
        <f t="shared" ref="J22:J31" si="15">IF(H$12=0,0,H22/H$12)</f>
        <v>0.38205253009365775</v>
      </c>
      <c r="K22" s="4"/>
      <c r="L22" s="21">
        <f t="shared" ref="L22:L31" si="16">+D22-H22</f>
        <v>-18784.140000000003</v>
      </c>
      <c r="M22" s="4"/>
      <c r="N22" s="35">
        <f t="shared" ref="N22:N31" si="17">IF(H22=0,0,L22/H22)</f>
        <v>-0.63494489737488891</v>
      </c>
      <c r="O22" s="10"/>
      <c r="P22" s="21">
        <f>SUM(OSRRefP22x_0)</f>
        <v>57237.600000000006</v>
      </c>
      <c r="Q22" s="21"/>
      <c r="R22" s="35">
        <f t="shared" ref="R22:R31" si="18">IF(P$12=0,0,P22/P$12)</f>
        <v>0</v>
      </c>
      <c r="S22" s="21"/>
      <c r="T22" s="21">
        <f>SUM(OSRRefT22x_0)</f>
        <v>151201.94</v>
      </c>
      <c r="U22" s="21"/>
      <c r="V22" s="35">
        <f t="shared" ref="V22:V31" si="19">IF(T$12=0,0,T22/T$12)</f>
        <v>0.42771378937221816</v>
      </c>
      <c r="W22" s="4"/>
      <c r="X22" s="21">
        <f t="shared" ref="X22:X31" si="20">+P22-T22</f>
        <v>-93964.34</v>
      </c>
      <c r="Y22" s="4"/>
      <c r="Z22" s="35">
        <f t="shared" ref="Z22:Z31" si="21">IF(T22=0,0,X22/T22)</f>
        <v>-0.62144930151028477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3588.5899999999997</v>
      </c>
      <c r="I23" s="1"/>
      <c r="J23" s="5">
        <f t="shared" si="15"/>
        <v>4.6343800256450352E-2</v>
      </c>
      <c r="K23" s="1"/>
      <c r="L23" s="1">
        <f t="shared" si="16"/>
        <v>-3588.5899999999997</v>
      </c>
      <c r="M23" s="1"/>
      <c r="N23" s="5">
        <f t="shared" si="17"/>
        <v>-1</v>
      </c>
      <c r="O23" s="13"/>
      <c r="P23" s="1">
        <f>SUM(OSRRefP22_0x_0)</f>
        <v>2889.72</v>
      </c>
      <c r="Q23" s="1"/>
      <c r="R23" s="5">
        <f t="shared" si="18"/>
        <v>0</v>
      </c>
      <c r="S23" s="1"/>
      <c r="T23" s="1">
        <f>SUM(OSRRefT22_0x_0)</f>
        <v>19048.660000000003</v>
      </c>
      <c r="U23" s="1"/>
      <c r="V23" s="5">
        <f t="shared" si="19"/>
        <v>5.38840609522801E-2</v>
      </c>
      <c r="W23" s="1"/>
      <c r="X23" s="1">
        <f t="shared" si="20"/>
        <v>-16158.940000000004</v>
      </c>
      <c r="Y23" s="1"/>
      <c r="Z23" s="5">
        <f t="shared" si="21"/>
        <v>-0.84829799051481847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501.05</v>
      </c>
      <c r="I24" s="2"/>
      <c r="J24" s="7">
        <f t="shared" si="15"/>
        <v>6.4706642771936761E-3</v>
      </c>
      <c r="K24" s="2"/>
      <c r="L24" s="6">
        <f t="shared" si="16"/>
        <v>-501.05</v>
      </c>
      <c r="M24" s="2"/>
      <c r="N24" s="7">
        <f t="shared" si="17"/>
        <v>-1</v>
      </c>
      <c r="O24" s="11"/>
      <c r="P24" s="6">
        <v>159.12</v>
      </c>
      <c r="Q24" s="2"/>
      <c r="R24" s="7">
        <f t="shared" si="18"/>
        <v>0</v>
      </c>
      <c r="S24" s="2"/>
      <c r="T24" s="6">
        <v>3024.14</v>
      </c>
      <c r="U24" s="2"/>
      <c r="V24" s="7">
        <f t="shared" si="19"/>
        <v>8.5545620578155266E-3</v>
      </c>
      <c r="W24" s="2"/>
      <c r="X24" s="6">
        <f t="shared" si="20"/>
        <v>-2865.02</v>
      </c>
      <c r="Y24" s="2"/>
      <c r="Z24" s="7">
        <f t="shared" si="21"/>
        <v>-0.9473833883351962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249.62</v>
      </c>
      <c r="I25" s="2"/>
      <c r="J25" s="7">
        <f t="shared" si="15"/>
        <v>3.2236447797087823E-3</v>
      </c>
      <c r="K25" s="2"/>
      <c r="L25" s="6">
        <f t="shared" si="16"/>
        <v>-249.62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791.13</v>
      </c>
      <c r="U25" s="2"/>
      <c r="V25" s="7">
        <f t="shared" si="19"/>
        <v>2.2379157978134603E-3</v>
      </c>
      <c r="W25" s="2"/>
      <c r="X25" s="6">
        <f t="shared" si="20"/>
        <v>-791.13</v>
      </c>
      <c r="Y25" s="2"/>
      <c r="Z25" s="7">
        <f t="shared" si="21"/>
        <v>-1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1815.82</v>
      </c>
      <c r="I26" s="2"/>
      <c r="J26" s="7">
        <f t="shared" si="15"/>
        <v>2.3449878470838879E-2</v>
      </c>
      <c r="K26" s="2"/>
      <c r="L26" s="6">
        <f t="shared" si="16"/>
        <v>-1815.82</v>
      </c>
      <c r="M26" s="2"/>
      <c r="N26" s="7">
        <f t="shared" si="17"/>
        <v>-1</v>
      </c>
      <c r="O26" s="11"/>
      <c r="P26" s="6">
        <v>1915.63</v>
      </c>
      <c r="Q26" s="2"/>
      <c r="R26" s="7">
        <f t="shared" si="18"/>
        <v>0</v>
      </c>
      <c r="S26" s="2"/>
      <c r="T26" s="6">
        <v>9546.75</v>
      </c>
      <c r="U26" s="2"/>
      <c r="V26" s="7">
        <f t="shared" si="19"/>
        <v>2.7005451244138955E-2</v>
      </c>
      <c r="W26" s="2"/>
      <c r="X26" s="6">
        <f t="shared" si="20"/>
        <v>-7631.12</v>
      </c>
      <c r="Y26" s="2"/>
      <c r="Z26" s="7">
        <f t="shared" si="21"/>
        <v>-0.79934218451305417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34.159999999999997</v>
      </c>
      <c r="I27" s="2"/>
      <c r="J27" s="7">
        <f t="shared" si="15"/>
        <v>4.4114936974141489E-4</v>
      </c>
      <c r="K27" s="2"/>
      <c r="L27" s="6">
        <f t="shared" si="16"/>
        <v>-34.159999999999997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144.52000000000001</v>
      </c>
      <c r="U27" s="2"/>
      <c r="V27" s="7">
        <f t="shared" si="19"/>
        <v>4.0881219407682849E-4</v>
      </c>
      <c r="W27" s="2"/>
      <c r="X27" s="6">
        <f t="shared" si="20"/>
        <v>-144.52000000000001</v>
      </c>
      <c r="Y27" s="2"/>
      <c r="Z27" s="7">
        <f t="shared" si="21"/>
        <v>-1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392.49</v>
      </c>
      <c r="I28" s="2"/>
      <c r="J28" s="7">
        <f t="shared" si="15"/>
        <v>5.0686977789756432E-3</v>
      </c>
      <c r="K28" s="2"/>
      <c r="L28" s="6">
        <f t="shared" si="16"/>
        <v>-392.49</v>
      </c>
      <c r="M28" s="2"/>
      <c r="N28" s="7">
        <f t="shared" si="17"/>
        <v>-1</v>
      </c>
      <c r="O28" s="11"/>
      <c r="P28" s="6">
        <v>458.89</v>
      </c>
      <c r="Q28" s="2"/>
      <c r="R28" s="7">
        <f t="shared" si="18"/>
        <v>0</v>
      </c>
      <c r="S28" s="2"/>
      <c r="T28" s="6">
        <v>2243.0700000000002</v>
      </c>
      <c r="U28" s="2"/>
      <c r="V28" s="7">
        <f t="shared" si="19"/>
        <v>6.3451035716019354E-3</v>
      </c>
      <c r="W28" s="2"/>
      <c r="X28" s="6">
        <f t="shared" si="20"/>
        <v>-1784.1800000000003</v>
      </c>
      <c r="Y28" s="2"/>
      <c r="Z28" s="7">
        <f t="shared" si="21"/>
        <v>-0.79541877872736921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280.8</v>
      </c>
      <c r="I29" s="2"/>
      <c r="J29" s="7">
        <f t="shared" si="15"/>
        <v>3.626309807476268E-3</v>
      </c>
      <c r="K29" s="2"/>
      <c r="L29" s="6">
        <f t="shared" si="16"/>
        <v>-280.8</v>
      </c>
      <c r="M29" s="2"/>
      <c r="N29" s="7">
        <f t="shared" si="17"/>
        <v>-1</v>
      </c>
      <c r="O29" s="11"/>
      <c r="P29" s="6">
        <v>152.1</v>
      </c>
      <c r="Q29" s="2"/>
      <c r="R29" s="7">
        <f t="shared" si="18"/>
        <v>0</v>
      </c>
      <c r="S29" s="2"/>
      <c r="T29" s="6">
        <v>1544.4</v>
      </c>
      <c r="U29" s="2"/>
      <c r="V29" s="7">
        <f t="shared" si="19"/>
        <v>4.368734794715291E-3</v>
      </c>
      <c r="W29" s="2"/>
      <c r="X29" s="6">
        <f t="shared" si="20"/>
        <v>-1392.3000000000002</v>
      </c>
      <c r="Y29" s="2"/>
      <c r="Z29" s="7">
        <f t="shared" si="21"/>
        <v>-0.9015151515151516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177.12</v>
      </c>
      <c r="I30" s="2"/>
      <c r="J30" s="7">
        <f t="shared" si="15"/>
        <v>2.2873646477927232E-3</v>
      </c>
      <c r="K30" s="2"/>
      <c r="L30" s="6">
        <f t="shared" si="16"/>
        <v>-177.12</v>
      </c>
      <c r="M30" s="2"/>
      <c r="N30" s="7">
        <f t="shared" si="17"/>
        <v>-1</v>
      </c>
      <c r="O30" s="11"/>
      <c r="P30" s="6">
        <v>203.98</v>
      </c>
      <c r="Q30" s="2"/>
      <c r="R30" s="7">
        <f t="shared" si="18"/>
        <v>0</v>
      </c>
      <c r="S30" s="2"/>
      <c r="T30" s="6">
        <v>974.16</v>
      </c>
      <c r="U30" s="2"/>
      <c r="V30" s="7">
        <f t="shared" si="19"/>
        <v>2.7556634858973373E-3</v>
      </c>
      <c r="W30" s="2"/>
      <c r="X30" s="6">
        <f t="shared" si="20"/>
        <v>-770.18</v>
      </c>
      <c r="Y30" s="2"/>
      <c r="Z30" s="7">
        <f t="shared" si="21"/>
        <v>-0.79060934548739425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137.53</v>
      </c>
      <c r="I31" s="2"/>
      <c r="J31" s="7">
        <f t="shared" si="15"/>
        <v>1.7760911247229742E-3</v>
      </c>
      <c r="K31" s="2"/>
      <c r="L31" s="6">
        <f t="shared" si="16"/>
        <v>-137.53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780.49</v>
      </c>
      <c r="U31" s="2"/>
      <c r="V31" s="7">
        <f t="shared" si="19"/>
        <v>2.2078178062207572E-3</v>
      </c>
      <c r="W31" s="2"/>
      <c r="X31" s="6">
        <f t="shared" si="20"/>
        <v>-780.49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10549.74</v>
      </c>
      <c r="I32" s="1"/>
      <c r="J32" s="5">
        <f t="shared" ref="J32:J37" si="23">IF(H$12=0,0,H32/H$12)</f>
        <v>0.13624154426041554</v>
      </c>
      <c r="K32" s="1"/>
      <c r="L32" s="1">
        <f t="shared" ref="L32:L37" si="24">+D32-H32</f>
        <v>-10549.74</v>
      </c>
      <c r="M32" s="1"/>
      <c r="N32" s="5">
        <f t="shared" ref="N32:N37" si="25">IF(H32=0,0,L32/H32)</f>
        <v>-1</v>
      </c>
      <c r="O32" s="13"/>
      <c r="P32" s="1">
        <f>SUM(OSRRefP22_1x_0)</f>
        <v>884</v>
      </c>
      <c r="Q32" s="1"/>
      <c r="R32" s="5">
        <f t="shared" ref="R32:R37" si="26">IF(P$12=0,0,P32/P$12)</f>
        <v>0</v>
      </c>
      <c r="S32" s="1"/>
      <c r="T32" s="1">
        <f>SUM(OSRRefT22_1x_0)</f>
        <v>53170.63</v>
      </c>
      <c r="U32" s="1"/>
      <c r="V32" s="5">
        <f t="shared" ref="V32:V37" si="27">IF(T$12=0,0,T32/T$12)</f>
        <v>0.15040687732318875</v>
      </c>
      <c r="W32" s="1"/>
      <c r="X32" s="1">
        <f t="shared" ref="X32:X37" si="28">+P32-T32</f>
        <v>-52286.63</v>
      </c>
      <c r="Y32" s="1"/>
      <c r="Z32" s="5">
        <f t="shared" ref="Z32:Z37" si="29">IF(T32=0,0,X32/T32)</f>
        <v>-0.98337428012419636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3264</v>
      </c>
      <c r="I33" s="2"/>
      <c r="J33" s="7">
        <f t="shared" si="23"/>
        <v>4.2151977249296792E-2</v>
      </c>
      <c r="K33" s="2"/>
      <c r="L33" s="6">
        <f t="shared" si="24"/>
        <v>-3264</v>
      </c>
      <c r="M33" s="2"/>
      <c r="N33" s="7">
        <f t="shared" si="25"/>
        <v>-1</v>
      </c>
      <c r="O33" s="11"/>
      <c r="P33" s="6">
        <v>884</v>
      </c>
      <c r="Q33" s="2"/>
      <c r="R33" s="7">
        <f t="shared" si="26"/>
        <v>0</v>
      </c>
      <c r="S33" s="2"/>
      <c r="T33" s="6">
        <v>18432</v>
      </c>
      <c r="U33" s="2"/>
      <c r="V33" s="7">
        <f t="shared" si="27"/>
        <v>5.2139678668863147E-2</v>
      </c>
      <c r="W33" s="2"/>
      <c r="X33" s="6">
        <f t="shared" si="28"/>
        <v>-17548</v>
      </c>
      <c r="Y33" s="2"/>
      <c r="Z33" s="7">
        <f t="shared" si="29"/>
        <v>-0.95203993055555558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2"/>
        <v>0</v>
      </c>
      <c r="G34" s="2"/>
      <c r="H34" s="6"/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254.64</v>
      </c>
      <c r="U34" s="2"/>
      <c r="V34" s="7">
        <f t="shared" si="27"/>
        <v>7.2031509202687236E-4</v>
      </c>
      <c r="W34" s="2"/>
      <c r="X34" s="6">
        <f t="shared" si="28"/>
        <v>-254.64</v>
      </c>
      <c r="Y34" s="2"/>
      <c r="Z34" s="7">
        <f t="shared" si="29"/>
        <v>-1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2"/>
        <v>0</v>
      </c>
      <c r="G35" s="2"/>
      <c r="H35" s="6">
        <v>2709.62</v>
      </c>
      <c r="I35" s="2"/>
      <c r="J35" s="7">
        <f t="shared" si="23"/>
        <v>3.4992598221274374E-2</v>
      </c>
      <c r="K35" s="2"/>
      <c r="L35" s="6">
        <f t="shared" si="24"/>
        <v>-2709.62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11303.35</v>
      </c>
      <c r="U35" s="2"/>
      <c r="V35" s="7">
        <f t="shared" si="27"/>
        <v>3.1974448615543306E-2</v>
      </c>
      <c r="W35" s="2"/>
      <c r="X35" s="6">
        <f t="shared" si="28"/>
        <v>-11303.35</v>
      </c>
      <c r="Y35" s="2"/>
      <c r="Z35" s="7">
        <f t="shared" si="29"/>
        <v>-1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2"/>
        <v>0</v>
      </c>
      <c r="G36" s="2"/>
      <c r="H36" s="6">
        <v>4183.12</v>
      </c>
      <c r="I36" s="2"/>
      <c r="J36" s="7">
        <f t="shared" si="23"/>
        <v>5.4021684764423525E-2</v>
      </c>
      <c r="K36" s="2"/>
      <c r="L36" s="6">
        <f t="shared" si="24"/>
        <v>-4183.12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21173.64</v>
      </c>
      <c r="U36" s="2"/>
      <c r="V36" s="7">
        <f t="shared" si="27"/>
        <v>5.9895116419823535E-2</v>
      </c>
      <c r="W36" s="2"/>
      <c r="X36" s="6">
        <f t="shared" si="28"/>
        <v>-21173.64</v>
      </c>
      <c r="Y36" s="2"/>
      <c r="Z36" s="7">
        <f t="shared" si="29"/>
        <v>-1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2"/>
        <v>0</v>
      </c>
      <c r="G37" s="2"/>
      <c r="H37" s="6">
        <v>393</v>
      </c>
      <c r="I37" s="2"/>
      <c r="J37" s="7">
        <f t="shared" si="23"/>
        <v>5.0752840254208453E-3</v>
      </c>
      <c r="K37" s="2"/>
      <c r="L37" s="6">
        <f t="shared" si="24"/>
        <v>-393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2007</v>
      </c>
      <c r="U37" s="2"/>
      <c r="V37" s="7">
        <f t="shared" si="27"/>
        <v>5.6773185269318755E-3</v>
      </c>
      <c r="W37" s="2"/>
      <c r="X37" s="6">
        <f t="shared" si="28"/>
        <v>-2007</v>
      </c>
      <c r="Y37" s="2"/>
      <c r="Z37" s="7">
        <f t="shared" si="29"/>
        <v>-1</v>
      </c>
    </row>
    <row r="38" spans="1:26" s="26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46" si="30">IF(D$12=0,0,D38/D$12)</f>
        <v>0</v>
      </c>
      <c r="G38" s="1"/>
      <c r="H38" s="1">
        <f>SUM(OSRRefH22_2x_0)</f>
        <v>338.66</v>
      </c>
      <c r="I38" s="1"/>
      <c r="J38" s="5">
        <f t="shared" ref="J38:J46" si="31">IF(H$12=0,0,H38/H$12)</f>
        <v>4.3735259237888645E-3</v>
      </c>
      <c r="K38" s="1"/>
      <c r="L38" s="1">
        <f t="shared" ref="L38:L46" si="32">+D38-H38</f>
        <v>-338.66</v>
      </c>
      <c r="M38" s="1"/>
      <c r="N38" s="5">
        <f t="shared" ref="N38:N46" si="33">IF(H38=0,0,L38/H38)</f>
        <v>-1</v>
      </c>
      <c r="O38" s="13"/>
      <c r="P38" s="1">
        <f>SUM(OSRRefP22_2x_0)</f>
        <v>0</v>
      </c>
      <c r="Q38" s="1"/>
      <c r="R38" s="5">
        <f t="shared" ref="R38:R46" si="34">IF(P$12=0,0,P38/P$12)</f>
        <v>0</v>
      </c>
      <c r="S38" s="1"/>
      <c r="T38" s="1">
        <f>SUM(OSRRefT22_2x_0)</f>
        <v>639.96</v>
      </c>
      <c r="U38" s="1"/>
      <c r="V38" s="5">
        <f t="shared" ref="V38:V46" si="35">IF(T$12=0,0,T38/T$12)</f>
        <v>1.8102923589911925E-3</v>
      </c>
      <c r="W38" s="1"/>
      <c r="X38" s="1">
        <f t="shared" ref="X38:X46" si="36">+P38-T38</f>
        <v>-639.96</v>
      </c>
      <c r="Y38" s="1"/>
      <c r="Z38" s="5">
        <f t="shared" ref="Z38:Z46" si="37">IF(T38=0,0,X38/T38)</f>
        <v>-1</v>
      </c>
    </row>
    <row r="39" spans="1:26" s="24" customFormat="1" hidden="1" outlineLevel="2" x14ac:dyDescent="0.25">
      <c r="A39" s="25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30"/>
        <v>0</v>
      </c>
      <c r="G39" s="2"/>
      <c r="H39" s="6">
        <v>338.66</v>
      </c>
      <c r="I39" s="2"/>
      <c r="J39" s="7">
        <f t="shared" si="31"/>
        <v>4.3735259237888645E-3</v>
      </c>
      <c r="K39" s="2"/>
      <c r="L39" s="6">
        <f t="shared" si="32"/>
        <v>-338.66</v>
      </c>
      <c r="M39" s="2"/>
      <c r="N39" s="7">
        <f t="shared" si="33"/>
        <v>-1</v>
      </c>
      <c r="O39" s="11"/>
      <c r="P39" s="6"/>
      <c r="Q39" s="2"/>
      <c r="R39" s="7">
        <f t="shared" si="34"/>
        <v>0</v>
      </c>
      <c r="S39" s="2"/>
      <c r="T39" s="6">
        <v>639.96</v>
      </c>
      <c r="U39" s="2"/>
      <c r="V39" s="7">
        <f t="shared" si="35"/>
        <v>1.8102923589911925E-3</v>
      </c>
      <c r="W39" s="2"/>
      <c r="X39" s="6">
        <f t="shared" si="36"/>
        <v>-639.96</v>
      </c>
      <c r="Y39" s="2"/>
      <c r="Z39" s="7">
        <f t="shared" si="37"/>
        <v>-1</v>
      </c>
    </row>
    <row r="40" spans="1:26" s="26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-15.6</v>
      </c>
      <c r="I40" s="1"/>
      <c r="J40" s="5">
        <f t="shared" si="31"/>
        <v>-2.0146165597090376E-4</v>
      </c>
      <c r="K40" s="1"/>
      <c r="L40" s="1">
        <f t="shared" si="32"/>
        <v>15.6</v>
      </c>
      <c r="M40" s="1"/>
      <c r="N40" s="5">
        <f t="shared" si="33"/>
        <v>-1</v>
      </c>
      <c r="O40" s="13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-52.77</v>
      </c>
      <c r="U40" s="1"/>
      <c r="V40" s="5">
        <f t="shared" si="35"/>
        <v>-1.492735917619308E-4</v>
      </c>
      <c r="W40" s="1"/>
      <c r="X40" s="1">
        <f t="shared" si="36"/>
        <v>52.77</v>
      </c>
      <c r="Y40" s="1"/>
      <c r="Z40" s="5">
        <f t="shared" si="37"/>
        <v>-1</v>
      </c>
    </row>
    <row r="41" spans="1:26" s="24" customFormat="1" hidden="1" outlineLevel="2" x14ac:dyDescent="0.25">
      <c r="A41" s="25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30"/>
        <v>0</v>
      </c>
      <c r="G41" s="2"/>
      <c r="H41" s="6">
        <v>-15.6</v>
      </c>
      <c r="I41" s="2"/>
      <c r="J41" s="7">
        <f t="shared" si="31"/>
        <v>-2.0146165597090376E-4</v>
      </c>
      <c r="K41" s="2"/>
      <c r="L41" s="6">
        <f t="shared" si="32"/>
        <v>15.6</v>
      </c>
      <c r="M41" s="2"/>
      <c r="N41" s="7">
        <f t="shared" si="33"/>
        <v>-1</v>
      </c>
      <c r="O41" s="11"/>
      <c r="P41" s="6"/>
      <c r="Q41" s="2"/>
      <c r="R41" s="7">
        <f t="shared" si="34"/>
        <v>0</v>
      </c>
      <c r="S41" s="2"/>
      <c r="T41" s="6">
        <v>-52.77</v>
      </c>
      <c r="U41" s="2"/>
      <c r="V41" s="7">
        <f t="shared" si="35"/>
        <v>-1.492735917619308E-4</v>
      </c>
      <c r="W41" s="2"/>
      <c r="X41" s="6">
        <f t="shared" si="36"/>
        <v>52.77</v>
      </c>
      <c r="Y41" s="2"/>
      <c r="Z41" s="7">
        <f t="shared" si="37"/>
        <v>-1</v>
      </c>
    </row>
    <row r="42" spans="1:26" s="26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2968.63</v>
      </c>
      <c r="I42" s="1"/>
      <c r="J42" s="5">
        <f t="shared" si="31"/>
        <v>3.8337507420827185E-2</v>
      </c>
      <c r="K42" s="1"/>
      <c r="L42" s="1">
        <f t="shared" si="32"/>
        <v>-2968.63</v>
      </c>
      <c r="M42" s="1"/>
      <c r="N42" s="5">
        <f t="shared" si="33"/>
        <v>-1</v>
      </c>
      <c r="O42" s="13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12586.96</v>
      </c>
      <c r="U42" s="1"/>
      <c r="V42" s="5">
        <f t="shared" si="35"/>
        <v>3.5605471452790451E-2</v>
      </c>
      <c r="W42" s="1"/>
      <c r="X42" s="1">
        <f t="shared" si="36"/>
        <v>-12586.96</v>
      </c>
      <c r="Y42" s="1"/>
      <c r="Z42" s="5">
        <f t="shared" si="37"/>
        <v>-1</v>
      </c>
    </row>
    <row r="43" spans="1:26" s="24" customFormat="1" hidden="1" outlineLevel="2" x14ac:dyDescent="0.25">
      <c r="A43" s="25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30"/>
        <v>0</v>
      </c>
      <c r="G43" s="2"/>
      <c r="H43" s="6">
        <v>2968.63</v>
      </c>
      <c r="I43" s="2"/>
      <c r="J43" s="7">
        <f t="shared" si="31"/>
        <v>3.8337507420827185E-2</v>
      </c>
      <c r="K43" s="2"/>
      <c r="L43" s="6">
        <f t="shared" si="32"/>
        <v>-2968.63</v>
      </c>
      <c r="M43" s="2"/>
      <c r="N43" s="7">
        <f t="shared" si="33"/>
        <v>-1</v>
      </c>
      <c r="O43" s="11"/>
      <c r="P43" s="6"/>
      <c r="Q43" s="2"/>
      <c r="R43" s="7">
        <f t="shared" si="34"/>
        <v>0</v>
      </c>
      <c r="S43" s="2"/>
      <c r="T43" s="6">
        <v>12586.96</v>
      </c>
      <c r="U43" s="2"/>
      <c r="V43" s="7">
        <f t="shared" si="35"/>
        <v>3.5605471452790451E-2</v>
      </c>
      <c r="W43" s="2"/>
      <c r="X43" s="6">
        <f t="shared" si="36"/>
        <v>-12586.96</v>
      </c>
      <c r="Y43" s="2"/>
      <c r="Z43" s="7">
        <f t="shared" si="37"/>
        <v>-1</v>
      </c>
    </row>
    <row r="44" spans="1:26" s="26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5471.21</v>
      </c>
      <c r="E44" s="1"/>
      <c r="F44" s="5">
        <f t="shared" si="30"/>
        <v>0</v>
      </c>
      <c r="G44" s="1"/>
      <c r="H44" s="1">
        <f>SUM(OSRRefH22_5x_0)</f>
        <v>5421.37</v>
      </c>
      <c r="I44" s="1"/>
      <c r="J44" s="5">
        <f t="shared" si="31"/>
        <v>7.0012703707114016E-2</v>
      </c>
      <c r="K44" s="1"/>
      <c r="L44" s="1">
        <f t="shared" si="32"/>
        <v>49.840000000000146</v>
      </c>
      <c r="M44" s="1"/>
      <c r="N44" s="5">
        <f t="shared" si="33"/>
        <v>9.1932482011004863E-3</v>
      </c>
      <c r="O44" s="13"/>
      <c r="P44" s="1">
        <f>SUM(OSRRefP22_5x_0)</f>
        <v>27801.550000000003</v>
      </c>
      <c r="Q44" s="1"/>
      <c r="R44" s="5">
        <f t="shared" si="34"/>
        <v>0</v>
      </c>
      <c r="S44" s="1"/>
      <c r="T44" s="1">
        <f>SUM(OSRRefT22_5x_0)</f>
        <v>27106.850000000002</v>
      </c>
      <c r="U44" s="1"/>
      <c r="V44" s="5">
        <f t="shared" si="35"/>
        <v>7.6678735282393287E-2</v>
      </c>
      <c r="W44" s="1"/>
      <c r="X44" s="1">
        <f t="shared" si="36"/>
        <v>694.70000000000073</v>
      </c>
      <c r="Y44" s="1"/>
      <c r="Z44" s="5">
        <f t="shared" si="37"/>
        <v>2.5628208367995568E-2</v>
      </c>
    </row>
    <row r="45" spans="1:26" s="24" customFormat="1" hidden="1" outlineLevel="2" x14ac:dyDescent="0.25">
      <c r="A45" s="25"/>
      <c r="B45" s="11" t="str">
        <f>CONCATENATE("          ", "6321", " - ", "BUILDING DEPRECIATION")</f>
        <v xml:space="preserve">          6321 - BUILDING DEPRECIATION</v>
      </c>
      <c r="C45" s="11"/>
      <c r="D45" s="6">
        <v>5080.51</v>
      </c>
      <c r="E45" s="2"/>
      <c r="F45" s="7">
        <f t="shared" si="30"/>
        <v>0</v>
      </c>
      <c r="G45" s="2"/>
      <c r="H45" s="6">
        <v>5080.51</v>
      </c>
      <c r="I45" s="2"/>
      <c r="J45" s="7">
        <f t="shared" si="31"/>
        <v>6.5610766524149766E-2</v>
      </c>
      <c r="K45" s="2"/>
      <c r="L45" s="6">
        <f t="shared" si="32"/>
        <v>0</v>
      </c>
      <c r="M45" s="2"/>
      <c r="N45" s="7">
        <f t="shared" si="33"/>
        <v>0</v>
      </c>
      <c r="O45" s="11"/>
      <c r="P45" s="6">
        <v>25402.550000000003</v>
      </c>
      <c r="Q45" s="2"/>
      <c r="R45" s="7">
        <f t="shared" si="34"/>
        <v>0</v>
      </c>
      <c r="S45" s="2"/>
      <c r="T45" s="6">
        <v>25402.550000000003</v>
      </c>
      <c r="U45" s="2"/>
      <c r="V45" s="7">
        <f t="shared" si="35"/>
        <v>7.1857681986204958E-2</v>
      </c>
      <c r="W45" s="2"/>
      <c r="X45" s="6">
        <f t="shared" si="36"/>
        <v>0</v>
      </c>
      <c r="Y45" s="2"/>
      <c r="Z45" s="7">
        <f t="shared" si="37"/>
        <v>0</v>
      </c>
    </row>
    <row r="46" spans="1:26" s="24" customFormat="1" hidden="1" outlineLevel="2" x14ac:dyDescent="0.25">
      <c r="A46" s="25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390.7</v>
      </c>
      <c r="E46" s="2"/>
      <c r="F46" s="7">
        <f t="shared" si="30"/>
        <v>0</v>
      </c>
      <c r="G46" s="2"/>
      <c r="H46" s="6">
        <v>340.86</v>
      </c>
      <c r="I46" s="2"/>
      <c r="J46" s="7">
        <f t="shared" si="31"/>
        <v>4.4019371829642478E-3</v>
      </c>
      <c r="K46" s="2"/>
      <c r="L46" s="6">
        <f t="shared" si="32"/>
        <v>49.839999999999975</v>
      </c>
      <c r="M46" s="2"/>
      <c r="N46" s="7">
        <f t="shared" si="33"/>
        <v>0.14621838878131777</v>
      </c>
      <c r="O46" s="11"/>
      <c r="P46" s="6">
        <v>2399</v>
      </c>
      <c r="Q46" s="2"/>
      <c r="R46" s="7">
        <f t="shared" si="34"/>
        <v>0</v>
      </c>
      <c r="S46" s="2"/>
      <c r="T46" s="6">
        <v>1704.3</v>
      </c>
      <c r="U46" s="2"/>
      <c r="V46" s="7">
        <f t="shared" si="35"/>
        <v>4.8210532961883391E-3</v>
      </c>
      <c r="W46" s="2"/>
      <c r="X46" s="6">
        <f t="shared" si="36"/>
        <v>694.7</v>
      </c>
      <c r="Y46" s="2"/>
      <c r="Z46" s="7">
        <f t="shared" si="37"/>
        <v>0.40761603004165936</v>
      </c>
    </row>
    <row r="47" spans="1:26" s="26" customFormat="1" outlineLevel="1" collapsed="1" x14ac:dyDescent="0.25">
      <c r="A47" s="27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ref="F47:F60" si="38">IF(D$12=0,0,D47/D$12)</f>
        <v>0</v>
      </c>
      <c r="G47" s="1"/>
      <c r="H47" s="1">
        <f>SUM(OSRRefH22_6x_0)</f>
        <v>28.66</v>
      </c>
      <c r="I47" s="1"/>
      <c r="J47" s="5">
        <f t="shared" ref="J47:J60" si="39">IF(H$12=0,0,H47/H$12)</f>
        <v>3.7012122180295529E-4</v>
      </c>
      <c r="K47" s="1"/>
      <c r="L47" s="1">
        <f t="shared" ref="L47:L60" si="40">+D47-H47</f>
        <v>-28.66</v>
      </c>
      <c r="M47" s="1"/>
      <c r="N47" s="5">
        <f t="shared" ref="N47:N60" si="41">IF(H47=0,0,L47/H47)</f>
        <v>-1</v>
      </c>
      <c r="O47" s="13"/>
      <c r="P47" s="1">
        <f>SUM(OSRRefP22_6x_0)</f>
        <v>0</v>
      </c>
      <c r="Q47" s="1"/>
      <c r="R47" s="5">
        <f t="shared" ref="R47:R60" si="42">IF(P$12=0,0,P47/P$12)</f>
        <v>0</v>
      </c>
      <c r="S47" s="1"/>
      <c r="T47" s="1">
        <f>SUM(OSRRefT22_6x_0)</f>
        <v>61.94</v>
      </c>
      <c r="U47" s="1"/>
      <c r="V47" s="5">
        <f t="shared" ref="V47:V60" si="43">IF(T$12=0,0,T47/T$12)</f>
        <v>1.7521330820037886E-4</v>
      </c>
      <c r="W47" s="1"/>
      <c r="X47" s="1">
        <f t="shared" ref="X47:X60" si="44">+P47-T47</f>
        <v>-61.94</v>
      </c>
      <c r="Y47" s="1"/>
      <c r="Z47" s="5">
        <f t="shared" ref="Z47:Z60" si="45">IF(T47=0,0,X47/T47)</f>
        <v>-1</v>
      </c>
    </row>
    <row r="48" spans="1:26" s="24" customFormat="1" hidden="1" outlineLevel="2" x14ac:dyDescent="0.25">
      <c r="A48" s="25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38"/>
        <v>0</v>
      </c>
      <c r="G48" s="2"/>
      <c r="H48" s="6">
        <v>28.66</v>
      </c>
      <c r="I48" s="2"/>
      <c r="J48" s="7">
        <f t="shared" si="39"/>
        <v>3.7012122180295529E-4</v>
      </c>
      <c r="K48" s="2"/>
      <c r="L48" s="6">
        <f t="shared" si="40"/>
        <v>-28.66</v>
      </c>
      <c r="M48" s="2"/>
      <c r="N48" s="7">
        <f t="shared" si="41"/>
        <v>-1</v>
      </c>
      <c r="O48" s="11"/>
      <c r="P48" s="6"/>
      <c r="Q48" s="2"/>
      <c r="R48" s="7">
        <f t="shared" si="42"/>
        <v>0</v>
      </c>
      <c r="S48" s="2"/>
      <c r="T48" s="6">
        <v>61.94</v>
      </c>
      <c r="U48" s="2"/>
      <c r="V48" s="7">
        <f t="shared" si="43"/>
        <v>1.7521330820037886E-4</v>
      </c>
      <c r="W48" s="2"/>
      <c r="X48" s="6">
        <f t="shared" si="44"/>
        <v>-61.94</v>
      </c>
      <c r="Y48" s="2"/>
      <c r="Z48" s="7">
        <f t="shared" si="45"/>
        <v>-1</v>
      </c>
    </row>
    <row r="49" spans="1:26" s="26" customFormat="1" outlineLevel="1" collapsed="1" x14ac:dyDescent="0.25">
      <c r="A49" s="27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0</v>
      </c>
      <c r="E49" s="1"/>
      <c r="F49" s="5">
        <f t="shared" si="38"/>
        <v>0</v>
      </c>
      <c r="G49" s="1"/>
      <c r="H49" s="1">
        <f>SUM(OSRRefH22_7x_0)</f>
        <v>100.99</v>
      </c>
      <c r="I49" s="1"/>
      <c r="J49" s="5">
        <f t="shared" si="39"/>
        <v>1.3042059382372803E-3</v>
      </c>
      <c r="K49" s="1"/>
      <c r="L49" s="1">
        <f t="shared" si="40"/>
        <v>-100.99</v>
      </c>
      <c r="M49" s="1"/>
      <c r="N49" s="5">
        <f t="shared" si="41"/>
        <v>-1</v>
      </c>
      <c r="O49" s="13"/>
      <c r="P49" s="1">
        <f>SUM(OSRRefP22_7x_0)</f>
        <v>0</v>
      </c>
      <c r="Q49" s="1"/>
      <c r="R49" s="5">
        <f t="shared" si="42"/>
        <v>0</v>
      </c>
      <c r="S49" s="1"/>
      <c r="T49" s="1">
        <f>SUM(OSRRefT22_7x_0)</f>
        <v>573.92999999999995</v>
      </c>
      <c r="U49" s="1"/>
      <c r="V49" s="5">
        <f t="shared" si="43"/>
        <v>1.6235094280827162E-3</v>
      </c>
      <c r="W49" s="1"/>
      <c r="X49" s="1">
        <f t="shared" si="44"/>
        <v>-573.92999999999995</v>
      </c>
      <c r="Y49" s="1"/>
      <c r="Z49" s="5">
        <f t="shared" si="45"/>
        <v>-1</v>
      </c>
    </row>
    <row r="50" spans="1:26" s="24" customFormat="1" hidden="1" outlineLevel="2" x14ac:dyDescent="0.25">
      <c r="A50" s="25"/>
      <c r="B50" s="11" t="str">
        <f>CONCATENATE("          ", "6351", " - ", "EQUIPMENT RENTAL")</f>
        <v xml:space="preserve">          6351 - EQUIPMENT RENTAL</v>
      </c>
      <c r="C50" s="11"/>
      <c r="D50" s="6"/>
      <c r="E50" s="2"/>
      <c r="F50" s="7">
        <f t="shared" si="38"/>
        <v>0</v>
      </c>
      <c r="G50" s="2"/>
      <c r="H50" s="6">
        <v>100.99</v>
      </c>
      <c r="I50" s="2"/>
      <c r="J50" s="7">
        <f t="shared" si="39"/>
        <v>1.3042059382372803E-3</v>
      </c>
      <c r="K50" s="2"/>
      <c r="L50" s="6">
        <f t="shared" si="40"/>
        <v>-100.99</v>
      </c>
      <c r="M50" s="2"/>
      <c r="N50" s="7">
        <f t="shared" si="41"/>
        <v>-1</v>
      </c>
      <c r="O50" s="11"/>
      <c r="P50" s="6"/>
      <c r="Q50" s="2"/>
      <c r="R50" s="7">
        <f t="shared" si="42"/>
        <v>0</v>
      </c>
      <c r="S50" s="2"/>
      <c r="T50" s="6">
        <v>573.92999999999995</v>
      </c>
      <c r="U50" s="2"/>
      <c r="V50" s="7">
        <f t="shared" si="43"/>
        <v>1.6235094280827162E-3</v>
      </c>
      <c r="W50" s="2"/>
      <c r="X50" s="6">
        <f t="shared" si="44"/>
        <v>-573.92999999999995</v>
      </c>
      <c r="Y50" s="2"/>
      <c r="Z50" s="7">
        <f t="shared" si="45"/>
        <v>-1</v>
      </c>
    </row>
    <row r="51" spans="1:26" s="26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0</v>
      </c>
      <c r="E51" s="1"/>
      <c r="F51" s="5">
        <f t="shared" si="38"/>
        <v>0</v>
      </c>
      <c r="G51" s="1"/>
      <c r="H51" s="1">
        <f>SUM(OSRRefH22_8x_0)</f>
        <v>27</v>
      </c>
      <c r="I51" s="1"/>
      <c r="J51" s="5">
        <f t="shared" si="39"/>
        <v>3.4868363533425653E-4</v>
      </c>
      <c r="K51" s="1"/>
      <c r="L51" s="1">
        <f t="shared" si="40"/>
        <v>-27</v>
      </c>
      <c r="M51" s="1"/>
      <c r="N51" s="5">
        <f t="shared" si="41"/>
        <v>-1</v>
      </c>
      <c r="O51" s="13"/>
      <c r="P51" s="1">
        <f>SUM(OSRRefP22_8x_0)</f>
        <v>754.55</v>
      </c>
      <c r="Q51" s="1"/>
      <c r="R51" s="5">
        <f t="shared" si="42"/>
        <v>0</v>
      </c>
      <c r="S51" s="1"/>
      <c r="T51" s="1">
        <f>SUM(OSRRefT22_8x_0)</f>
        <v>1054.23</v>
      </c>
      <c r="U51" s="1"/>
      <c r="V51" s="5">
        <f t="shared" si="43"/>
        <v>2.9821621876668617E-3</v>
      </c>
      <c r="W51" s="1"/>
      <c r="X51" s="1">
        <f t="shared" si="44"/>
        <v>-299.68000000000006</v>
      </c>
      <c r="Y51" s="1"/>
      <c r="Z51" s="5">
        <f t="shared" si="45"/>
        <v>-0.28426434459273597</v>
      </c>
    </row>
    <row r="52" spans="1:26" s="24" customFormat="1" hidden="1" outlineLevel="2" x14ac:dyDescent="0.25">
      <c r="A52" s="25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38"/>
        <v>0</v>
      </c>
      <c r="G52" s="2"/>
      <c r="H52" s="6">
        <v>27</v>
      </c>
      <c r="I52" s="2"/>
      <c r="J52" s="7">
        <f t="shared" si="39"/>
        <v>3.4868363533425653E-4</v>
      </c>
      <c r="K52" s="2"/>
      <c r="L52" s="6">
        <f t="shared" si="40"/>
        <v>-27</v>
      </c>
      <c r="M52" s="2"/>
      <c r="N52" s="7">
        <f t="shared" si="41"/>
        <v>-1</v>
      </c>
      <c r="O52" s="11"/>
      <c r="P52" s="6">
        <v>754.55</v>
      </c>
      <c r="Q52" s="2"/>
      <c r="R52" s="7">
        <f t="shared" si="42"/>
        <v>0</v>
      </c>
      <c r="S52" s="2"/>
      <c r="T52" s="6">
        <v>1054.23</v>
      </c>
      <c r="U52" s="2"/>
      <c r="V52" s="7">
        <f t="shared" si="43"/>
        <v>2.9821621876668617E-3</v>
      </c>
      <c r="W52" s="2"/>
      <c r="X52" s="6">
        <f t="shared" si="44"/>
        <v>-299.68000000000006</v>
      </c>
      <c r="Y52" s="2"/>
      <c r="Z52" s="7">
        <f t="shared" si="45"/>
        <v>-0.28426434459273597</v>
      </c>
    </row>
    <row r="53" spans="1:26" s="26" customFormat="1" outlineLevel="1" collapsed="1" x14ac:dyDescent="0.25">
      <c r="A53" s="27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SUM(OSRRefD22_9x_0)</f>
        <v>243.54</v>
      </c>
      <c r="E53" s="1"/>
      <c r="F53" s="5">
        <f t="shared" si="38"/>
        <v>0</v>
      </c>
      <c r="G53" s="1"/>
      <c r="H53" s="1">
        <f>SUM(OSRRefH22_9x_0)</f>
        <v>243.54</v>
      </c>
      <c r="I53" s="1"/>
      <c r="J53" s="5">
        <f t="shared" si="39"/>
        <v>3.145126390714994E-3</v>
      </c>
      <c r="K53" s="1"/>
      <c r="L53" s="1">
        <f t="shared" si="40"/>
        <v>0</v>
      </c>
      <c r="M53" s="1"/>
      <c r="N53" s="5">
        <f t="shared" si="41"/>
        <v>0</v>
      </c>
      <c r="O53" s="13"/>
      <c r="P53" s="1">
        <f>SUM(OSRRefP22_9x_0)</f>
        <v>1217.7</v>
      </c>
      <c r="Q53" s="1"/>
      <c r="R53" s="5">
        <f t="shared" si="42"/>
        <v>0</v>
      </c>
      <c r="S53" s="1"/>
      <c r="T53" s="1">
        <f>SUM(OSRRefT22_9x_0)</f>
        <v>1217.7</v>
      </c>
      <c r="U53" s="1"/>
      <c r="V53" s="5">
        <f t="shared" si="43"/>
        <v>3.4445793573716719E-3</v>
      </c>
      <c r="W53" s="1"/>
      <c r="X53" s="1">
        <f t="shared" si="44"/>
        <v>0</v>
      </c>
      <c r="Y53" s="1"/>
      <c r="Z53" s="5">
        <f t="shared" si="45"/>
        <v>0</v>
      </c>
    </row>
    <row r="54" spans="1:26" s="24" customFormat="1" hidden="1" outlineLevel="2" x14ac:dyDescent="0.25">
      <c r="A54" s="25"/>
      <c r="B54" s="11" t="str">
        <f>CONCATENATE("          ", "6314", " - ", "LIABILITY INSURANCE")</f>
        <v xml:space="preserve">          6314 - LIABILITY INSURANCE</v>
      </c>
      <c r="C54" s="11"/>
      <c r="D54" s="6">
        <v>243.54</v>
      </c>
      <c r="E54" s="2"/>
      <c r="F54" s="7">
        <f t="shared" si="38"/>
        <v>0</v>
      </c>
      <c r="G54" s="2"/>
      <c r="H54" s="6">
        <v>243.54</v>
      </c>
      <c r="I54" s="2"/>
      <c r="J54" s="7">
        <f t="shared" si="39"/>
        <v>3.145126390714994E-3</v>
      </c>
      <c r="K54" s="2"/>
      <c r="L54" s="6">
        <f t="shared" si="40"/>
        <v>0</v>
      </c>
      <c r="M54" s="2"/>
      <c r="N54" s="7">
        <f t="shared" si="41"/>
        <v>0</v>
      </c>
      <c r="O54" s="11"/>
      <c r="P54" s="6">
        <v>1217.7</v>
      </c>
      <c r="Q54" s="2"/>
      <c r="R54" s="7">
        <f t="shared" si="42"/>
        <v>0</v>
      </c>
      <c r="S54" s="2"/>
      <c r="T54" s="6">
        <v>1217.7</v>
      </c>
      <c r="U54" s="2"/>
      <c r="V54" s="7">
        <f t="shared" si="43"/>
        <v>3.4445793573716719E-3</v>
      </c>
      <c r="W54" s="2"/>
      <c r="X54" s="6">
        <f t="shared" si="44"/>
        <v>0</v>
      </c>
      <c r="Y54" s="2"/>
      <c r="Z54" s="7">
        <f t="shared" si="45"/>
        <v>0</v>
      </c>
    </row>
    <row r="55" spans="1:26" s="26" customFormat="1" outlineLevel="1" collapsed="1" x14ac:dyDescent="0.25">
      <c r="A55" s="27"/>
      <c r="B55" s="13" t="str">
        <f>CONCATENATE("     ","Interest                                          ")</f>
        <v xml:space="preserve">     Interest                                          </v>
      </c>
      <c r="C55" s="13"/>
      <c r="D55" s="1">
        <f>SUM(OSRRefD22_10x_0)</f>
        <v>4044</v>
      </c>
      <c r="E55" s="1"/>
      <c r="F55" s="5">
        <f t="shared" si="38"/>
        <v>0</v>
      </c>
      <c r="G55" s="1"/>
      <c r="H55" s="1">
        <f>SUM(OSRRefH22_10x_0)</f>
        <v>4175</v>
      </c>
      <c r="I55" s="1"/>
      <c r="J55" s="5">
        <f t="shared" si="39"/>
        <v>5.3916821389648928E-2</v>
      </c>
      <c r="K55" s="1"/>
      <c r="L55" s="1">
        <f t="shared" si="40"/>
        <v>-131</v>
      </c>
      <c r="M55" s="1"/>
      <c r="N55" s="5">
        <f t="shared" si="41"/>
        <v>-3.1377245508982035E-2</v>
      </c>
      <c r="O55" s="13"/>
      <c r="P55" s="1">
        <f>SUM(OSRRefP22_10x_0)</f>
        <v>19957.849999999999</v>
      </c>
      <c r="Q55" s="1"/>
      <c r="R55" s="5">
        <f t="shared" si="42"/>
        <v>0</v>
      </c>
      <c r="S55" s="1"/>
      <c r="T55" s="1">
        <f>SUM(OSRRefT22_10x_0)</f>
        <v>20668.95</v>
      </c>
      <c r="U55" s="1"/>
      <c r="V55" s="5">
        <f t="shared" si="43"/>
        <v>5.8467470237782065E-2</v>
      </c>
      <c r="W55" s="1"/>
      <c r="X55" s="1">
        <f t="shared" si="44"/>
        <v>-711.10000000000218</v>
      </c>
      <c r="Y55" s="1"/>
      <c r="Z55" s="5">
        <f t="shared" si="45"/>
        <v>-3.4404263399930919E-2</v>
      </c>
    </row>
    <row r="56" spans="1:26" s="24" customFormat="1" hidden="1" outlineLevel="2" x14ac:dyDescent="0.25">
      <c r="A56" s="25"/>
      <c r="B56" s="11" t="str">
        <f>CONCATENATE("          ", "6401", " - ", "INTEREST EXPENSE")</f>
        <v xml:space="preserve">          6401 - INTEREST EXPENSE</v>
      </c>
      <c r="C56" s="11"/>
      <c r="D56" s="6">
        <v>4044</v>
      </c>
      <c r="E56" s="2"/>
      <c r="F56" s="7">
        <f t="shared" si="38"/>
        <v>0</v>
      </c>
      <c r="G56" s="2"/>
      <c r="H56" s="6">
        <v>4175</v>
      </c>
      <c r="I56" s="2"/>
      <c r="J56" s="7">
        <f t="shared" si="39"/>
        <v>5.3916821389648928E-2</v>
      </c>
      <c r="K56" s="2"/>
      <c r="L56" s="6">
        <f t="shared" si="40"/>
        <v>-131</v>
      </c>
      <c r="M56" s="2"/>
      <c r="N56" s="7">
        <f t="shared" si="41"/>
        <v>-3.1377245508982035E-2</v>
      </c>
      <c r="O56" s="11"/>
      <c r="P56" s="6">
        <v>19957.849999999999</v>
      </c>
      <c r="Q56" s="2"/>
      <c r="R56" s="7">
        <f t="shared" si="42"/>
        <v>0</v>
      </c>
      <c r="S56" s="2"/>
      <c r="T56" s="6">
        <v>20668.95</v>
      </c>
      <c r="U56" s="2"/>
      <c r="V56" s="7">
        <f t="shared" si="43"/>
        <v>5.8467470237782065E-2</v>
      </c>
      <c r="W56" s="2"/>
      <c r="X56" s="6">
        <f t="shared" si="44"/>
        <v>-711.10000000000218</v>
      </c>
      <c r="Y56" s="2"/>
      <c r="Z56" s="7">
        <f t="shared" si="45"/>
        <v>-3.4404263399930919E-2</v>
      </c>
    </row>
    <row r="57" spans="1:26" s="26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SUM(OSRRefD22_11x_0)</f>
        <v>0</v>
      </c>
      <c r="E57" s="1"/>
      <c r="F57" s="5">
        <f t="shared" si="38"/>
        <v>0</v>
      </c>
      <c r="G57" s="1"/>
      <c r="H57" s="1">
        <f>SUM(OSRRefH22_11x_0)</f>
        <v>0</v>
      </c>
      <c r="I57" s="1"/>
      <c r="J57" s="5">
        <f t="shared" si="39"/>
        <v>0</v>
      </c>
      <c r="K57" s="1"/>
      <c r="L57" s="1">
        <f t="shared" si="40"/>
        <v>0</v>
      </c>
      <c r="M57" s="1"/>
      <c r="N57" s="5">
        <f t="shared" si="41"/>
        <v>0</v>
      </c>
      <c r="O57" s="13"/>
      <c r="P57" s="1">
        <f>SUM(OSRRefP22_11x_0)</f>
        <v>187.12</v>
      </c>
      <c r="Q57" s="1"/>
      <c r="R57" s="5">
        <f t="shared" si="42"/>
        <v>0</v>
      </c>
      <c r="S57" s="1"/>
      <c r="T57" s="1">
        <f>SUM(OSRRefT22_11x_0)</f>
        <v>624.08999999999992</v>
      </c>
      <c r="U57" s="1"/>
      <c r="V57" s="5">
        <f t="shared" si="43"/>
        <v>1.7653999598768878E-3</v>
      </c>
      <c r="W57" s="1"/>
      <c r="X57" s="1">
        <f t="shared" si="44"/>
        <v>-436.96999999999991</v>
      </c>
      <c r="Y57" s="1"/>
      <c r="Z57" s="5">
        <f t="shared" si="45"/>
        <v>-0.70017144963066225</v>
      </c>
    </row>
    <row r="58" spans="1:26" s="24" customFormat="1" hidden="1" outlineLevel="2" x14ac:dyDescent="0.25">
      <c r="A58" s="25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38"/>
        <v>0</v>
      </c>
      <c r="G58" s="2"/>
      <c r="H58" s="6"/>
      <c r="I58" s="2"/>
      <c r="J58" s="7">
        <f t="shared" si="39"/>
        <v>0</v>
      </c>
      <c r="K58" s="2"/>
      <c r="L58" s="6">
        <f t="shared" si="40"/>
        <v>0</v>
      </c>
      <c r="M58" s="2"/>
      <c r="N58" s="7">
        <f t="shared" si="41"/>
        <v>0</v>
      </c>
      <c r="O58" s="11"/>
      <c r="P58" s="6"/>
      <c r="Q58" s="2"/>
      <c r="R58" s="7">
        <f t="shared" si="42"/>
        <v>0</v>
      </c>
      <c r="S58" s="2"/>
      <c r="T58" s="6">
        <v>437.31</v>
      </c>
      <c r="U58" s="2"/>
      <c r="V58" s="7">
        <f t="shared" si="43"/>
        <v>1.2370444270117483E-3</v>
      </c>
      <c r="W58" s="2"/>
      <c r="X58" s="6">
        <f t="shared" si="44"/>
        <v>-437.31</v>
      </c>
      <c r="Y58" s="2"/>
      <c r="Z58" s="7">
        <f t="shared" si="45"/>
        <v>-1</v>
      </c>
    </row>
    <row r="59" spans="1:26" s="24" customFormat="1" hidden="1" outlineLevel="2" x14ac:dyDescent="0.25">
      <c r="A59" s="25"/>
      <c r="B59" s="11" t="str">
        <f>CONCATENATE("          ", "6373", " - ", "MAINTENANCE CONTRACTS")</f>
        <v xml:space="preserve">          6373 - MAINTENANCE CONTRACTS</v>
      </c>
      <c r="C59" s="11"/>
      <c r="D59" s="6"/>
      <c r="E59" s="2"/>
      <c r="F59" s="7">
        <f t="shared" si="38"/>
        <v>0</v>
      </c>
      <c r="G59" s="2"/>
      <c r="H59" s="6"/>
      <c r="I59" s="2"/>
      <c r="J59" s="7">
        <f t="shared" si="39"/>
        <v>0</v>
      </c>
      <c r="K59" s="2"/>
      <c r="L59" s="6">
        <f t="shared" si="40"/>
        <v>0</v>
      </c>
      <c r="M59" s="2"/>
      <c r="N59" s="7">
        <f t="shared" si="41"/>
        <v>0</v>
      </c>
      <c r="O59" s="11"/>
      <c r="P59" s="6">
        <v>187.12</v>
      </c>
      <c r="Q59" s="2"/>
      <c r="R59" s="7">
        <f t="shared" si="42"/>
        <v>0</v>
      </c>
      <c r="S59" s="2"/>
      <c r="T59" s="6">
        <v>102.71</v>
      </c>
      <c r="U59" s="2"/>
      <c r="V59" s="7">
        <f t="shared" si="43"/>
        <v>2.9054179666226855E-4</v>
      </c>
      <c r="W59" s="2"/>
      <c r="X59" s="6">
        <f t="shared" si="44"/>
        <v>84.410000000000011</v>
      </c>
      <c r="Y59" s="2"/>
      <c r="Z59" s="7">
        <f t="shared" si="45"/>
        <v>0.82182844903125318</v>
      </c>
    </row>
    <row r="60" spans="1:26" s="24" customFormat="1" hidden="1" outlineLevel="2" x14ac:dyDescent="0.25">
      <c r="A60" s="25"/>
      <c r="B60" s="11" t="str">
        <f>CONCATENATE("          ", "6375", " - ", "OUTSIDE REPAIRS &amp; MAINTENANCE")</f>
        <v xml:space="preserve">          6375 - OUTSIDE REPAIRS &amp; MAINTENANCE</v>
      </c>
      <c r="C60" s="11"/>
      <c r="D60" s="6"/>
      <c r="E60" s="2"/>
      <c r="F60" s="7">
        <f t="shared" si="38"/>
        <v>0</v>
      </c>
      <c r="G60" s="2"/>
      <c r="H60" s="6"/>
      <c r="I60" s="2"/>
      <c r="J60" s="7">
        <f t="shared" si="39"/>
        <v>0</v>
      </c>
      <c r="K60" s="2"/>
      <c r="L60" s="6">
        <f t="shared" si="40"/>
        <v>0</v>
      </c>
      <c r="M60" s="2"/>
      <c r="N60" s="7">
        <f t="shared" si="41"/>
        <v>0</v>
      </c>
      <c r="O60" s="11"/>
      <c r="P60" s="6"/>
      <c r="Q60" s="2"/>
      <c r="R60" s="7">
        <f t="shared" si="42"/>
        <v>0</v>
      </c>
      <c r="S60" s="2"/>
      <c r="T60" s="6">
        <v>84.07</v>
      </c>
      <c r="U60" s="2"/>
      <c r="V60" s="7">
        <f t="shared" si="43"/>
        <v>2.3781373620287134E-4</v>
      </c>
      <c r="W60" s="2"/>
      <c r="X60" s="6">
        <f t="shared" si="44"/>
        <v>-84.07</v>
      </c>
      <c r="Y60" s="2"/>
      <c r="Z60" s="7">
        <f t="shared" si="45"/>
        <v>-1</v>
      </c>
    </row>
    <row r="61" spans="1:26" s="26" customFormat="1" outlineLevel="1" collapsed="1" x14ac:dyDescent="0.25">
      <c r="A61" s="27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SUM(OSRRefD22_12x_0)</f>
        <v>289</v>
      </c>
      <c r="E61" s="1"/>
      <c r="F61" s="5">
        <f t="shared" ref="F61:F64" si="46">IF(D$12=0,0,D61/D$12)</f>
        <v>0</v>
      </c>
      <c r="G61" s="1"/>
      <c r="H61" s="1">
        <f>SUM(OSRRefH22_12x_0)</f>
        <v>340.88</v>
      </c>
      <c r="I61" s="1"/>
      <c r="J61" s="5">
        <f t="shared" ref="J61:J64" si="47">IF(H$12=0,0,H61/H$12)</f>
        <v>4.4021954671385694E-3</v>
      </c>
      <c r="K61" s="1"/>
      <c r="L61" s="1">
        <f t="shared" ref="L61:L64" si="48">+D61-H61</f>
        <v>-51.879999999999995</v>
      </c>
      <c r="M61" s="1"/>
      <c r="N61" s="5">
        <f t="shared" ref="N61:N64" si="49">IF(H61=0,0,L61/H61)</f>
        <v>-0.15219432058202298</v>
      </c>
      <c r="O61" s="13"/>
      <c r="P61" s="1">
        <f>SUM(OSRRefP22_12x_0)</f>
        <v>289</v>
      </c>
      <c r="Q61" s="1"/>
      <c r="R61" s="5">
        <f t="shared" ref="R61:R64" si="50">IF(P$12=0,0,P61/P$12)</f>
        <v>0</v>
      </c>
      <c r="S61" s="1"/>
      <c r="T61" s="1">
        <f>SUM(OSRRefT22_12x_0)</f>
        <v>1743.3600000000001</v>
      </c>
      <c r="U61" s="1"/>
      <c r="V61" s="5">
        <f t="shared" ref="V61:V64" si="51">IF(T$12=0,0,T61/T$12)</f>
        <v>4.931544607429973E-3</v>
      </c>
      <c r="W61" s="1"/>
      <c r="X61" s="1">
        <f t="shared" ref="X61:X64" si="52">+P61-T61</f>
        <v>-1454.3600000000001</v>
      </c>
      <c r="Y61" s="1"/>
      <c r="Z61" s="5">
        <f t="shared" ref="Z61:Z64" si="53">IF(T61=0,0,X61/T61)</f>
        <v>-0.83422815712187959</v>
      </c>
    </row>
    <row r="62" spans="1:26" s="24" customFormat="1" hidden="1" outlineLevel="2" x14ac:dyDescent="0.25">
      <c r="A62" s="25"/>
      <c r="B62" s="11" t="str">
        <f>CONCATENATE("          ", "6282", " - ", "JANITORIAL/EXTERMINATOR EXPENS")</f>
        <v xml:space="preserve">          6282 - JANITORIAL/EXTERMINATOR EXPENS</v>
      </c>
      <c r="C62" s="11"/>
      <c r="D62" s="6"/>
      <c r="E62" s="2"/>
      <c r="F62" s="7">
        <f t="shared" si="46"/>
        <v>0</v>
      </c>
      <c r="G62" s="2"/>
      <c r="H62" s="6"/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1"/>
      <c r="P62" s="6"/>
      <c r="Q62" s="2"/>
      <c r="R62" s="7">
        <f t="shared" si="50"/>
        <v>0</v>
      </c>
      <c r="S62" s="2"/>
      <c r="T62" s="6">
        <v>314.7</v>
      </c>
      <c r="U62" s="2"/>
      <c r="V62" s="7">
        <f t="shared" si="51"/>
        <v>8.9021033404357807E-4</v>
      </c>
      <c r="W62" s="2"/>
      <c r="X62" s="6">
        <f t="shared" si="52"/>
        <v>-314.7</v>
      </c>
      <c r="Y62" s="2"/>
      <c r="Z62" s="7">
        <f t="shared" si="53"/>
        <v>-1</v>
      </c>
    </row>
    <row r="63" spans="1:26" s="24" customFormat="1" hidden="1" outlineLevel="2" x14ac:dyDescent="0.25">
      <c r="A63" s="25"/>
      <c r="B63" s="11" t="str">
        <f>CONCATENATE("          ", "6284", " - ", "TRASH REMOVAL EXPENSE")</f>
        <v xml:space="preserve">          6284 - TRASH REMOVAL EXPENSE</v>
      </c>
      <c r="C63" s="11"/>
      <c r="D63" s="6">
        <v>289</v>
      </c>
      <c r="E63" s="2"/>
      <c r="F63" s="7">
        <f t="shared" si="46"/>
        <v>0</v>
      </c>
      <c r="G63" s="2"/>
      <c r="H63" s="6">
        <v>237</v>
      </c>
      <c r="I63" s="2"/>
      <c r="J63" s="7">
        <f t="shared" si="47"/>
        <v>3.0606674657118076E-3</v>
      </c>
      <c r="K63" s="2"/>
      <c r="L63" s="6">
        <f t="shared" si="48"/>
        <v>52</v>
      </c>
      <c r="M63" s="2"/>
      <c r="N63" s="7">
        <f t="shared" si="49"/>
        <v>0.21940928270042195</v>
      </c>
      <c r="O63" s="11"/>
      <c r="P63" s="6">
        <v>289</v>
      </c>
      <c r="Q63" s="2"/>
      <c r="R63" s="7">
        <f t="shared" si="50"/>
        <v>0</v>
      </c>
      <c r="S63" s="2"/>
      <c r="T63" s="6">
        <v>948</v>
      </c>
      <c r="U63" s="2"/>
      <c r="V63" s="7">
        <f t="shared" si="51"/>
        <v>2.6816631607032479E-3</v>
      </c>
      <c r="W63" s="2"/>
      <c r="X63" s="6">
        <f t="shared" si="52"/>
        <v>-659</v>
      </c>
      <c r="Y63" s="2"/>
      <c r="Z63" s="7">
        <f t="shared" si="53"/>
        <v>-0.69514767932489452</v>
      </c>
    </row>
    <row r="64" spans="1:26" s="24" customFormat="1" hidden="1" outlineLevel="2" x14ac:dyDescent="0.25">
      <c r="A64" s="25"/>
      <c r="B64" s="11" t="str">
        <f>CONCATENATE("          ", "6286", " - ", "LAUNDRY EXPENSE")</f>
        <v xml:space="preserve">          6286 - LAUNDRY EXPENSE</v>
      </c>
      <c r="C64" s="11"/>
      <c r="D64" s="6"/>
      <c r="E64" s="2"/>
      <c r="F64" s="7">
        <f t="shared" si="46"/>
        <v>0</v>
      </c>
      <c r="G64" s="2"/>
      <c r="H64" s="6">
        <v>103.88</v>
      </c>
      <c r="I64" s="2"/>
      <c r="J64" s="7">
        <f t="shared" si="47"/>
        <v>1.3415280014267617E-3</v>
      </c>
      <c r="K64" s="2"/>
      <c r="L64" s="6">
        <f t="shared" si="48"/>
        <v>-103.88</v>
      </c>
      <c r="M64" s="2"/>
      <c r="N64" s="7">
        <f t="shared" si="49"/>
        <v>-1</v>
      </c>
      <c r="O64" s="11"/>
      <c r="P64" s="6"/>
      <c r="Q64" s="2"/>
      <c r="R64" s="7">
        <f t="shared" si="50"/>
        <v>0</v>
      </c>
      <c r="S64" s="2"/>
      <c r="T64" s="6">
        <v>480.66</v>
      </c>
      <c r="U64" s="2"/>
      <c r="V64" s="7">
        <f t="shared" si="51"/>
        <v>1.3596711126831467E-3</v>
      </c>
      <c r="W64" s="2"/>
      <c r="X64" s="6">
        <f t="shared" si="52"/>
        <v>-480.66</v>
      </c>
      <c r="Y64" s="2"/>
      <c r="Z64" s="7">
        <f t="shared" si="53"/>
        <v>-1</v>
      </c>
    </row>
    <row r="65" spans="1:26" s="26" customFormat="1" outlineLevel="1" collapsed="1" x14ac:dyDescent="0.25">
      <c r="A65" s="27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SUM(OSRRefD22_13x_0)</f>
        <v>0</v>
      </c>
      <c r="E65" s="1"/>
      <c r="F65" s="5">
        <f t="shared" ref="F65:F72" si="54">IF(D$12=0,0,D65/D$12)</f>
        <v>0</v>
      </c>
      <c r="G65" s="1"/>
      <c r="H65" s="1">
        <f>SUM(OSRRefH22_13x_0)</f>
        <v>0</v>
      </c>
      <c r="I65" s="1"/>
      <c r="J65" s="5">
        <f t="shared" ref="J65:J72" si="55">IF(H$12=0,0,H65/H$12)</f>
        <v>0</v>
      </c>
      <c r="K65" s="1"/>
      <c r="L65" s="1">
        <f t="shared" ref="L65:L72" si="56">+D65-H65</f>
        <v>0</v>
      </c>
      <c r="M65" s="1"/>
      <c r="N65" s="5">
        <f t="shared" ref="N65:N72" si="57">IF(H65=0,0,L65/H65)</f>
        <v>0</v>
      </c>
      <c r="O65" s="13"/>
      <c r="P65" s="1">
        <f>SUM(OSRRefP22_13x_0)</f>
        <v>0</v>
      </c>
      <c r="Q65" s="1"/>
      <c r="R65" s="5">
        <f t="shared" ref="R65:R72" si="58">IF(P$12=0,0,P65/P$12)</f>
        <v>0</v>
      </c>
      <c r="S65" s="1"/>
      <c r="T65" s="1">
        <f>SUM(OSRRefT22_13x_0)</f>
        <v>705.6</v>
      </c>
      <c r="U65" s="1"/>
      <c r="V65" s="5">
        <f t="shared" ref="V65:V72" si="59">IF(T$12=0,0,T65/T$12)</f>
        <v>1.9959720740424175E-3</v>
      </c>
      <c r="W65" s="1"/>
      <c r="X65" s="1">
        <f t="shared" ref="X65:X72" si="60">+P65-T65</f>
        <v>-705.6</v>
      </c>
      <c r="Y65" s="1"/>
      <c r="Z65" s="5">
        <f t="shared" ref="Z65:Z72" si="61">IF(T65=0,0,X65/T65)</f>
        <v>-1</v>
      </c>
    </row>
    <row r="66" spans="1:26" s="24" customFormat="1" hidden="1" outlineLevel="2" x14ac:dyDescent="0.25">
      <c r="A66" s="25"/>
      <c r="B66" s="11" t="str">
        <f>CONCATENATE("          ", "6275", " - ", "SUBSCRIPTIONS")</f>
        <v xml:space="preserve">          6275 - SUBSCRIPTIONS</v>
      </c>
      <c r="C66" s="11"/>
      <c r="D66" s="6"/>
      <c r="E66" s="2"/>
      <c r="F66" s="7">
        <f t="shared" si="54"/>
        <v>0</v>
      </c>
      <c r="G66" s="2"/>
      <c r="H66" s="6"/>
      <c r="I66" s="2"/>
      <c r="J66" s="7">
        <f t="shared" si="55"/>
        <v>0</v>
      </c>
      <c r="K66" s="2"/>
      <c r="L66" s="6">
        <f t="shared" si="56"/>
        <v>0</v>
      </c>
      <c r="M66" s="2"/>
      <c r="N66" s="7">
        <f t="shared" si="57"/>
        <v>0</v>
      </c>
      <c r="O66" s="11"/>
      <c r="P66" s="6"/>
      <c r="Q66" s="2"/>
      <c r="R66" s="7">
        <f t="shared" si="58"/>
        <v>0</v>
      </c>
      <c r="S66" s="2"/>
      <c r="T66" s="6">
        <v>705.6</v>
      </c>
      <c r="U66" s="2"/>
      <c r="V66" s="7">
        <f t="shared" si="59"/>
        <v>1.9959720740424175E-3</v>
      </c>
      <c r="W66" s="2"/>
      <c r="X66" s="6">
        <f t="shared" si="60"/>
        <v>-705.6</v>
      </c>
      <c r="Y66" s="2"/>
      <c r="Z66" s="7">
        <f t="shared" si="61"/>
        <v>-1</v>
      </c>
    </row>
    <row r="67" spans="1:26" s="26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SUM(OSRRefD22_14x_0)</f>
        <v>0</v>
      </c>
      <c r="E67" s="1"/>
      <c r="F67" s="5">
        <f t="shared" si="54"/>
        <v>0</v>
      </c>
      <c r="G67" s="1"/>
      <c r="H67" s="1">
        <f>SUM(OSRRefH22_14x_0)</f>
        <v>1005.78</v>
      </c>
      <c r="I67" s="1"/>
      <c r="J67" s="5">
        <f t="shared" si="55"/>
        <v>1.2988852842462538E-2</v>
      </c>
      <c r="K67" s="1"/>
      <c r="L67" s="1">
        <f t="shared" si="56"/>
        <v>-1005.78</v>
      </c>
      <c r="M67" s="1"/>
      <c r="N67" s="5">
        <f t="shared" si="57"/>
        <v>-1</v>
      </c>
      <c r="O67" s="13"/>
      <c r="P67" s="1">
        <f>SUM(OSRRefP22_14x_0)</f>
        <v>634.24</v>
      </c>
      <c r="Q67" s="1"/>
      <c r="R67" s="5">
        <f t="shared" si="58"/>
        <v>0</v>
      </c>
      <c r="S67" s="1"/>
      <c r="T67" s="1">
        <f>SUM(OSRRefT22_14x_0)</f>
        <v>8772.6</v>
      </c>
      <c r="U67" s="1"/>
      <c r="V67" s="5">
        <f t="shared" si="59"/>
        <v>2.4815567767495054E-2</v>
      </c>
      <c r="W67" s="1"/>
      <c r="X67" s="1">
        <f t="shared" si="60"/>
        <v>-8138.3600000000006</v>
      </c>
      <c r="Y67" s="1"/>
      <c r="Z67" s="5">
        <f t="shared" si="61"/>
        <v>-0.92770216355470447</v>
      </c>
    </row>
    <row r="68" spans="1:26" s="24" customFormat="1" hidden="1" outlineLevel="2" x14ac:dyDescent="0.25">
      <c r="A68" s="25"/>
      <c r="B68" s="11" t="str">
        <f>CONCATENATE("          ", "6234", " - ", "EXPENDABLE SUPPLIES &amp; EQUIPMEN")</f>
        <v xml:space="preserve">          6234 - EXPENDABLE SUPPLIES &amp; EQUIPMEN</v>
      </c>
      <c r="C68" s="11"/>
      <c r="D68" s="6"/>
      <c r="E68" s="2"/>
      <c r="F68" s="7">
        <f t="shared" si="54"/>
        <v>0</v>
      </c>
      <c r="G68" s="2"/>
      <c r="H68" s="6">
        <v>28.22</v>
      </c>
      <c r="I68" s="2"/>
      <c r="J68" s="7">
        <f t="shared" si="55"/>
        <v>3.644389699678785E-4</v>
      </c>
      <c r="K68" s="2"/>
      <c r="L68" s="6">
        <f t="shared" si="56"/>
        <v>-28.22</v>
      </c>
      <c r="M68" s="2"/>
      <c r="N68" s="7">
        <f t="shared" si="57"/>
        <v>-1</v>
      </c>
      <c r="O68" s="11"/>
      <c r="P68" s="6">
        <v>316.67</v>
      </c>
      <c r="Q68" s="2"/>
      <c r="R68" s="7">
        <f t="shared" si="58"/>
        <v>0</v>
      </c>
      <c r="S68" s="2"/>
      <c r="T68" s="6">
        <v>28.22</v>
      </c>
      <c r="U68" s="2"/>
      <c r="V68" s="7">
        <f t="shared" si="59"/>
        <v>7.9827567927263343E-5</v>
      </c>
      <c r="W68" s="2"/>
      <c r="X68" s="6">
        <f t="shared" si="60"/>
        <v>288.45000000000005</v>
      </c>
      <c r="Y68" s="2"/>
      <c r="Z68" s="7">
        <f t="shared" si="61"/>
        <v>10.221474131821406</v>
      </c>
    </row>
    <row r="69" spans="1:26" s="24" customFormat="1" hidden="1" outlineLevel="2" x14ac:dyDescent="0.25">
      <c r="A69" s="25"/>
      <c r="B69" s="11" t="str">
        <f>CONCATENATE("          ", "6237", " - ", "JANITORIAL SUPPLIES")</f>
        <v xml:space="preserve">          6237 - JANITORIAL SUPPLIES</v>
      </c>
      <c r="C69" s="11"/>
      <c r="D69" s="6"/>
      <c r="E69" s="2"/>
      <c r="F69" s="7">
        <f t="shared" si="54"/>
        <v>0</v>
      </c>
      <c r="G69" s="2"/>
      <c r="H69" s="6">
        <v>290.66000000000003</v>
      </c>
      <c r="I69" s="2"/>
      <c r="J69" s="7">
        <f t="shared" si="55"/>
        <v>3.7536439054168523E-3</v>
      </c>
      <c r="K69" s="2"/>
      <c r="L69" s="6">
        <f t="shared" si="56"/>
        <v>-290.66000000000003</v>
      </c>
      <c r="M69" s="2"/>
      <c r="N69" s="7">
        <f t="shared" si="57"/>
        <v>-1</v>
      </c>
      <c r="O69" s="11"/>
      <c r="P69" s="6">
        <v>317.57</v>
      </c>
      <c r="Q69" s="2"/>
      <c r="R69" s="7">
        <f t="shared" si="58"/>
        <v>0</v>
      </c>
      <c r="S69" s="2"/>
      <c r="T69" s="6">
        <v>690.05</v>
      </c>
      <c r="U69" s="2"/>
      <c r="V69" s="7">
        <f t="shared" si="59"/>
        <v>1.9519848776827805E-3</v>
      </c>
      <c r="W69" s="2"/>
      <c r="X69" s="6">
        <f t="shared" si="60"/>
        <v>-372.47999999999996</v>
      </c>
      <c r="Y69" s="2"/>
      <c r="Z69" s="7">
        <f t="shared" si="61"/>
        <v>-0.53978697195855374</v>
      </c>
    </row>
    <row r="70" spans="1:26" s="24" customFormat="1" hidden="1" outlineLevel="2" x14ac:dyDescent="0.25">
      <c r="A70" s="25"/>
      <c r="B70" s="11" t="str">
        <f>CONCATENATE("          ", "6241", " - ", "OFFICE EXPENSE")</f>
        <v xml:space="preserve">          6241 - OFFICE EXPENSE</v>
      </c>
      <c r="C70" s="11"/>
      <c r="D70" s="6"/>
      <c r="E70" s="2"/>
      <c r="F70" s="7">
        <f t="shared" si="54"/>
        <v>0</v>
      </c>
      <c r="G70" s="2"/>
      <c r="H70" s="6"/>
      <c r="I70" s="2"/>
      <c r="J70" s="7">
        <f t="shared" si="55"/>
        <v>0</v>
      </c>
      <c r="K70" s="2"/>
      <c r="L70" s="6">
        <f t="shared" si="56"/>
        <v>0</v>
      </c>
      <c r="M70" s="2"/>
      <c r="N70" s="7">
        <f t="shared" si="57"/>
        <v>0</v>
      </c>
      <c r="O70" s="11"/>
      <c r="P70" s="6"/>
      <c r="Q70" s="2"/>
      <c r="R70" s="7">
        <f t="shared" si="58"/>
        <v>0</v>
      </c>
      <c r="S70" s="2"/>
      <c r="T70" s="6">
        <v>328.13</v>
      </c>
      <c r="U70" s="2"/>
      <c r="V70" s="7">
        <f t="shared" si="59"/>
        <v>9.2820056215354085E-4</v>
      </c>
      <c r="W70" s="2"/>
      <c r="X70" s="6">
        <f t="shared" si="60"/>
        <v>-328.13</v>
      </c>
      <c r="Y70" s="2"/>
      <c r="Z70" s="7">
        <f t="shared" si="61"/>
        <v>-1</v>
      </c>
    </row>
    <row r="71" spans="1:26" s="24" customFormat="1" hidden="1" outlineLevel="2" x14ac:dyDescent="0.25">
      <c r="A71" s="25"/>
      <c r="B71" s="11" t="str">
        <f>CONCATENATE("          ", "6243", " - ", "PAPER SUPPLIES")</f>
        <v xml:space="preserve">          6243 - PAPER SUPPLIES</v>
      </c>
      <c r="C71" s="11"/>
      <c r="D71" s="6"/>
      <c r="E71" s="2"/>
      <c r="F71" s="7">
        <f t="shared" si="54"/>
        <v>0</v>
      </c>
      <c r="G71" s="2"/>
      <c r="H71" s="6">
        <v>246.21</v>
      </c>
      <c r="I71" s="2"/>
      <c r="J71" s="7">
        <f t="shared" si="55"/>
        <v>3.1796073279869372E-3</v>
      </c>
      <c r="K71" s="2"/>
      <c r="L71" s="6">
        <f t="shared" si="56"/>
        <v>-246.21</v>
      </c>
      <c r="M71" s="2"/>
      <c r="N71" s="7">
        <f t="shared" si="57"/>
        <v>-1</v>
      </c>
      <c r="O71" s="11"/>
      <c r="P71" s="6"/>
      <c r="Q71" s="2"/>
      <c r="R71" s="7">
        <f t="shared" si="58"/>
        <v>0</v>
      </c>
      <c r="S71" s="2"/>
      <c r="T71" s="6">
        <v>676.55</v>
      </c>
      <c r="U71" s="2"/>
      <c r="V71" s="7">
        <f t="shared" si="59"/>
        <v>1.9137966364702343E-3</v>
      </c>
      <c r="W71" s="2"/>
      <c r="X71" s="6">
        <f t="shared" si="60"/>
        <v>-676.55</v>
      </c>
      <c r="Y71" s="2"/>
      <c r="Z71" s="7">
        <f t="shared" si="61"/>
        <v>-1</v>
      </c>
    </row>
    <row r="72" spans="1:26" s="24" customFormat="1" hidden="1" outlineLevel="2" x14ac:dyDescent="0.25">
      <c r="A72" s="25"/>
      <c r="B72" s="11" t="str">
        <f>CONCATENATE("          ", "6247", " - ", "STORE SUPPLIES")</f>
        <v xml:space="preserve">          6247 - STORE SUPPLIES</v>
      </c>
      <c r="C72" s="11"/>
      <c r="D72" s="6"/>
      <c r="E72" s="2"/>
      <c r="F72" s="7">
        <f t="shared" si="54"/>
        <v>0</v>
      </c>
      <c r="G72" s="2"/>
      <c r="H72" s="6">
        <v>440.69</v>
      </c>
      <c r="I72" s="2"/>
      <c r="J72" s="7">
        <f t="shared" si="55"/>
        <v>5.691162639090871E-3</v>
      </c>
      <c r="K72" s="2"/>
      <c r="L72" s="6">
        <f t="shared" si="56"/>
        <v>-440.69</v>
      </c>
      <c r="M72" s="2"/>
      <c r="N72" s="7">
        <f t="shared" si="57"/>
        <v>-1</v>
      </c>
      <c r="O72" s="11"/>
      <c r="P72" s="6"/>
      <c r="Q72" s="2"/>
      <c r="R72" s="7">
        <f t="shared" si="58"/>
        <v>0</v>
      </c>
      <c r="S72" s="2"/>
      <c r="T72" s="6">
        <v>7049.65</v>
      </c>
      <c r="U72" s="2"/>
      <c r="V72" s="7">
        <f t="shared" si="59"/>
        <v>1.9941758123261235E-2</v>
      </c>
      <c r="W72" s="2"/>
      <c r="X72" s="6">
        <f t="shared" si="60"/>
        <v>-7049.65</v>
      </c>
      <c r="Y72" s="2"/>
      <c r="Z72" s="7">
        <f t="shared" si="61"/>
        <v>-1</v>
      </c>
    </row>
    <row r="73" spans="1:26" s="26" customFormat="1" outlineLevel="1" collapsed="1" x14ac:dyDescent="0.25">
      <c r="A73" s="27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SUM(OSRRefD22_15x_0)</f>
        <v>-126</v>
      </c>
      <c r="E73" s="1"/>
      <c r="F73" s="5">
        <f t="shared" ref="F73:F76" si="62">IF(D$12=0,0,D73/D$12)</f>
        <v>0</v>
      </c>
      <c r="G73" s="1"/>
      <c r="H73" s="1">
        <f>SUM(OSRRefH22_15x_0)</f>
        <v>39.65</v>
      </c>
      <c r="I73" s="1"/>
      <c r="J73" s="5">
        <f t="shared" ref="J73:J76" si="63">IF(H$12=0,0,H73/H$12)</f>
        <v>5.1204837559271381E-4</v>
      </c>
      <c r="K73" s="1"/>
      <c r="L73" s="1">
        <f t="shared" ref="L73:L76" si="64">+D73-H73</f>
        <v>-165.65</v>
      </c>
      <c r="M73" s="1"/>
      <c r="N73" s="5">
        <f t="shared" ref="N73:N76" si="65">IF(H73=0,0,L73/H73)</f>
        <v>-4.1778058007566203</v>
      </c>
      <c r="O73" s="13"/>
      <c r="P73" s="1">
        <f>SUM(OSRRefP22_15x_0)</f>
        <v>865.87</v>
      </c>
      <c r="Q73" s="1"/>
      <c r="R73" s="5">
        <f t="shared" ref="R73:R76" si="66">IF(P$12=0,0,P73/P$12)</f>
        <v>0</v>
      </c>
      <c r="S73" s="1"/>
      <c r="T73" s="1">
        <f>SUM(OSRRefT22_15x_0)</f>
        <v>195.25</v>
      </c>
      <c r="U73" s="1"/>
      <c r="V73" s="5">
        <f t="shared" ref="V73:V76" si="67">IF(T$12=0,0,T73/T$12)</f>
        <v>5.5231511827775223E-4</v>
      </c>
      <c r="W73" s="1"/>
      <c r="X73" s="1">
        <f t="shared" ref="X73:X76" si="68">+P73-T73</f>
        <v>670.62</v>
      </c>
      <c r="Y73" s="1"/>
      <c r="Z73" s="5">
        <f t="shared" ref="Z73:Z76" si="69">IF(T73=0,0,X73/T73)</f>
        <v>3.4346734955185658</v>
      </c>
    </row>
    <row r="74" spans="1:26" s="24" customFormat="1" hidden="1" outlineLevel="2" x14ac:dyDescent="0.25">
      <c r="A74" s="25"/>
      <c r="B74" s="11" t="str">
        <f>CONCATENATE("          ", "6309", " - ", "TELEPHONE")</f>
        <v xml:space="preserve">          6309 - TELEPHONE</v>
      </c>
      <c r="C74" s="11"/>
      <c r="D74" s="6">
        <v>-126</v>
      </c>
      <c r="E74" s="2"/>
      <c r="F74" s="7">
        <f t="shared" si="62"/>
        <v>0</v>
      </c>
      <c r="G74" s="2"/>
      <c r="H74" s="6">
        <v>39.65</v>
      </c>
      <c r="I74" s="2"/>
      <c r="J74" s="7">
        <f t="shared" si="63"/>
        <v>5.1204837559271381E-4</v>
      </c>
      <c r="K74" s="2"/>
      <c r="L74" s="6">
        <f t="shared" si="64"/>
        <v>-165.65</v>
      </c>
      <c r="M74" s="2"/>
      <c r="N74" s="7">
        <f t="shared" si="65"/>
        <v>-4.1778058007566203</v>
      </c>
      <c r="O74" s="11"/>
      <c r="P74" s="6">
        <v>865.87</v>
      </c>
      <c r="Q74" s="2"/>
      <c r="R74" s="7">
        <f t="shared" si="66"/>
        <v>0</v>
      </c>
      <c r="S74" s="2"/>
      <c r="T74" s="6">
        <v>195.25</v>
      </c>
      <c r="U74" s="2"/>
      <c r="V74" s="7">
        <f t="shared" si="67"/>
        <v>5.5231511827775223E-4</v>
      </c>
      <c r="W74" s="2"/>
      <c r="X74" s="6">
        <f t="shared" si="68"/>
        <v>670.62</v>
      </c>
      <c r="Y74" s="2"/>
      <c r="Z74" s="7">
        <f t="shared" si="69"/>
        <v>3.4346734955185658</v>
      </c>
    </row>
    <row r="75" spans="1:26" s="26" customFormat="1" outlineLevel="1" collapsed="1" x14ac:dyDescent="0.25">
      <c r="A75" s="27"/>
      <c r="B75" s="13" t="str">
        <f>CONCATENATE("     ","Utilities                                         ")</f>
        <v xml:space="preserve">     Utilities                                         </v>
      </c>
      <c r="C75" s="13"/>
      <c r="D75" s="1">
        <f>SUM(OSRRefD22_16x_0)</f>
        <v>878</v>
      </c>
      <c r="E75" s="1"/>
      <c r="F75" s="5">
        <f t="shared" si="62"/>
        <v>0</v>
      </c>
      <c r="G75" s="1"/>
      <c r="H75" s="1">
        <f>SUM(OSRRefH22_16x_0)</f>
        <v>771</v>
      </c>
      <c r="I75" s="1"/>
      <c r="J75" s="5">
        <f t="shared" si="63"/>
        <v>9.9568549201004362E-3</v>
      </c>
      <c r="K75" s="1"/>
      <c r="L75" s="1">
        <f t="shared" si="64"/>
        <v>107</v>
      </c>
      <c r="M75" s="1"/>
      <c r="N75" s="5">
        <f t="shared" si="65"/>
        <v>0.13878080415045396</v>
      </c>
      <c r="O75" s="13"/>
      <c r="P75" s="1">
        <f>SUM(OSRRefP22_16x_0)</f>
        <v>1756</v>
      </c>
      <c r="Q75" s="1"/>
      <c r="R75" s="5">
        <f t="shared" si="66"/>
        <v>0</v>
      </c>
      <c r="S75" s="1"/>
      <c r="T75" s="1">
        <f>SUM(OSRRefT22_16x_0)</f>
        <v>3084</v>
      </c>
      <c r="U75" s="1"/>
      <c r="V75" s="5">
        <f t="shared" si="67"/>
        <v>8.7238915481105649E-3</v>
      </c>
      <c r="W75" s="1"/>
      <c r="X75" s="1">
        <f t="shared" si="68"/>
        <v>-1328</v>
      </c>
      <c r="Y75" s="1"/>
      <c r="Z75" s="5">
        <f t="shared" si="69"/>
        <v>-0.43060959792477305</v>
      </c>
    </row>
    <row r="76" spans="1:26" s="24" customFormat="1" hidden="1" outlineLevel="2" x14ac:dyDescent="0.25">
      <c r="A76" s="25"/>
      <c r="B76" s="11" t="str">
        <f>CONCATENATE("          ", "6274", " - ", "UTILITIES")</f>
        <v xml:space="preserve">          6274 - UTILITIES</v>
      </c>
      <c r="C76" s="11"/>
      <c r="D76" s="6">
        <v>878</v>
      </c>
      <c r="E76" s="2"/>
      <c r="F76" s="7">
        <f t="shared" si="62"/>
        <v>0</v>
      </c>
      <c r="G76" s="2"/>
      <c r="H76" s="6">
        <v>771</v>
      </c>
      <c r="I76" s="2"/>
      <c r="J76" s="7">
        <f t="shared" si="63"/>
        <v>9.9568549201004362E-3</v>
      </c>
      <c r="K76" s="2"/>
      <c r="L76" s="6">
        <f t="shared" si="64"/>
        <v>107</v>
      </c>
      <c r="M76" s="2"/>
      <c r="N76" s="7">
        <f t="shared" si="65"/>
        <v>0.13878080415045396</v>
      </c>
      <c r="O76" s="11"/>
      <c r="P76" s="6">
        <v>1756</v>
      </c>
      <c r="Q76" s="2"/>
      <c r="R76" s="7">
        <f t="shared" si="66"/>
        <v>0</v>
      </c>
      <c r="S76" s="2"/>
      <c r="T76" s="6">
        <v>3084</v>
      </c>
      <c r="U76" s="2"/>
      <c r="V76" s="7">
        <f t="shared" si="67"/>
        <v>8.7238915481105649E-3</v>
      </c>
      <c r="W76" s="2"/>
      <c r="X76" s="6">
        <f t="shared" si="68"/>
        <v>-1328</v>
      </c>
      <c r="Y76" s="2"/>
      <c r="Z76" s="7">
        <f t="shared" si="69"/>
        <v>-0.43060959792477305</v>
      </c>
    </row>
    <row r="77" spans="1:26" s="53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9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8" t="s">
        <v>3</v>
      </c>
      <c r="C80" s="28"/>
      <c r="D80" s="20">
        <f>+D20-D22+D78</f>
        <v>-10799.75</v>
      </c>
      <c r="E80" s="14"/>
      <c r="F80" s="22">
        <f>IF(D$12=0,0,D80/D$12)</f>
        <v>0</v>
      </c>
      <c r="G80" s="14"/>
      <c r="H80" s="20">
        <f>+H20-H22+H78</f>
        <v>10239.769999999993</v>
      </c>
      <c r="I80" s="14"/>
      <c r="J80" s="22">
        <f>IF(H$12=0,0,H80/H$12)</f>
        <v>0.13223852698469102</v>
      </c>
      <c r="K80" s="15"/>
      <c r="L80" s="20">
        <f>+D80-H80</f>
        <v>-21039.519999999993</v>
      </c>
      <c r="M80" s="15"/>
      <c r="N80" s="22">
        <f>IF(H80=0,0,L80/H80)</f>
        <v>-2.0546867751912403</v>
      </c>
      <c r="O80" s="29"/>
      <c r="P80" s="20">
        <f>+P20-P22+P78</f>
        <v>-68085.47</v>
      </c>
      <c r="Q80" s="14"/>
      <c r="R80" s="22">
        <f>IF(P$12=0,0,P80/P$12)</f>
        <v>0</v>
      </c>
      <c r="S80" s="14"/>
      <c r="T80" s="20">
        <f>+T20-T22+T78</f>
        <v>43057.409999999974</v>
      </c>
      <c r="U80" s="14"/>
      <c r="V80" s="22">
        <f>IF(T$12=0,0,T80/T$12)</f>
        <v>0.1217990191901852</v>
      </c>
      <c r="W80" s="15"/>
      <c r="X80" s="20">
        <f>+P80-T80</f>
        <v>-111142.87999999998</v>
      </c>
      <c r="Y80" s="15"/>
      <c r="Z80" s="22">
        <f>IF(T80=0,0,X80/T80)</f>
        <v>-2.581271841478622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/>
      <c r="E82" s="4"/>
      <c r="F82" s="12">
        <f>IF(D$12=0,0,D82/D$12)</f>
        <v>0</v>
      </c>
      <c r="G82" s="4"/>
      <c r="H82" s="4">
        <v>9643.83</v>
      </c>
      <c r="I82" s="4"/>
      <c r="J82" s="12">
        <f>IF(H$12=0,0,H82/H$12)</f>
        <v>0.12454243344242827</v>
      </c>
      <c r="K82" s="4"/>
      <c r="L82" s="4">
        <f>+D82-H82</f>
        <v>-9643.83</v>
      </c>
      <c r="M82" s="4"/>
      <c r="N82" s="12">
        <f>IF(H82=0,0,L82/H82)</f>
        <v>-1</v>
      </c>
      <c r="O82" s="10"/>
      <c r="P82" s="4"/>
      <c r="Q82" s="4"/>
      <c r="R82" s="12">
        <f>IF(P$12=0,0,P82/P$12)</f>
        <v>0</v>
      </c>
      <c r="S82" s="4"/>
      <c r="T82" s="4">
        <v>37434.53</v>
      </c>
      <c r="U82" s="4"/>
      <c r="V82" s="12">
        <f>IF(T$12=0,0,T82/T$12)</f>
        <v>0.10589324898654066</v>
      </c>
      <c r="W82" s="4"/>
      <c r="X82" s="4">
        <f>+P82-T82</f>
        <v>-37434.53</v>
      </c>
      <c r="Y82" s="4"/>
      <c r="Z82" s="12">
        <f>IF(T82=0,0,X82/T82)</f>
        <v>-1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4</v>
      </c>
      <c r="C84" s="28"/>
      <c r="D84" s="31">
        <f>+D80-D82</f>
        <v>-10799.75</v>
      </c>
      <c r="E84" s="14"/>
      <c r="F84" s="34">
        <f>IF(D$12=0,0,D84/D$12)</f>
        <v>0</v>
      </c>
      <c r="G84" s="14"/>
      <c r="H84" s="31">
        <f>+H80-H82</f>
        <v>595.93999999999323</v>
      </c>
      <c r="I84" s="14"/>
      <c r="J84" s="34">
        <f>IF(H$12=0,0,H84/H$12)</f>
        <v>7.6960935422627583E-3</v>
      </c>
      <c r="K84" s="15"/>
      <c r="L84" s="31">
        <f>D84-H84</f>
        <v>-11395.689999999993</v>
      </c>
      <c r="M84" s="15"/>
      <c r="N84" s="34">
        <f>IF(H84=0,0,L84/H84)</f>
        <v>-19.122210289626679</v>
      </c>
      <c r="O84" s="29"/>
      <c r="P84" s="31">
        <f>+P80-P82</f>
        <v>-68085.47</v>
      </c>
      <c r="Q84" s="14"/>
      <c r="R84" s="34">
        <f>IF(P$12=0,0,P84/P$12)</f>
        <v>0</v>
      </c>
      <c r="S84" s="14"/>
      <c r="T84" s="31">
        <f>+T80-T82</f>
        <v>5622.8799999999756</v>
      </c>
      <c r="U84" s="14"/>
      <c r="V84" s="34">
        <f>IF(T$12=0,0,T84/T$12)</f>
        <v>1.5905770203644528E-2</v>
      </c>
      <c r="W84" s="15"/>
      <c r="X84" s="31">
        <f>P84-T84</f>
        <v>-73708.349999999977</v>
      </c>
      <c r="Y84" s="15"/>
      <c r="Z84" s="34">
        <f>IF(T84=0,0,X84/T84)</f>
        <v>-13.108647170133507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5</v>
      </c>
      <c r="C87" s="28"/>
      <c r="D87" s="32">
        <f>SUM(D84:D86)</f>
        <v>-10799.75</v>
      </c>
      <c r="E87" s="14"/>
      <c r="F87" s="30">
        <f>IF(D$12=0,0,D87/D$12)</f>
        <v>0</v>
      </c>
      <c r="G87" s="14"/>
      <c r="H87" s="32">
        <f>SUM(H84:H86)</f>
        <v>595.93999999999323</v>
      </c>
      <c r="I87" s="14"/>
      <c r="J87" s="30">
        <f>IF(H$12=0,0,H87/H$12)</f>
        <v>7.6960935422627583E-3</v>
      </c>
      <c r="K87" s="15"/>
      <c r="L87" s="32">
        <f>+D87-H87</f>
        <v>-11395.689999999993</v>
      </c>
      <c r="M87" s="15"/>
      <c r="N87" s="30">
        <f>IF(H87=0,0,L87/H87)</f>
        <v>-19.122210289626679</v>
      </c>
      <c r="O87" s="29"/>
      <c r="P87" s="32">
        <f>SUM(P84:P86)</f>
        <v>-68085.47</v>
      </c>
      <c r="Q87" s="14"/>
      <c r="R87" s="30">
        <f>IF(P$12=0,0,P87/P$12)</f>
        <v>0</v>
      </c>
      <c r="S87" s="14"/>
      <c r="T87" s="32">
        <f>SUM(T84:T86)</f>
        <v>5622.8799999999756</v>
      </c>
      <c r="U87" s="14"/>
      <c r="V87" s="30">
        <f>IF(T$12=0,0,T87/T$12)</f>
        <v>1.5905770203644528E-2</v>
      </c>
      <c r="W87" s="15"/>
      <c r="X87" s="32">
        <f>+P87-T87</f>
        <v>-73708.349999999977</v>
      </c>
      <c r="Y87" s="15"/>
      <c r="Z87" s="30">
        <f>IF(T87=0,0,X87/T87)</f>
        <v>-13.108647170133507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54">
        <v>44174.685812037038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56" t="s">
        <v>313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61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","327", " - ", "C-Store Vending Machine(s)")</f>
        <v>Department 327 - C-Store Vending Machine(s)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1546.5</v>
      </c>
      <c r="I12" s="4"/>
      <c r="J12" s="12"/>
      <c r="K12" s="4"/>
      <c r="L12" s="4">
        <f t="shared" ref="L12:L13" si="0">+D12-H12</f>
        <v>-1546.5</v>
      </c>
      <c r="M12" s="4"/>
      <c r="N12" s="12">
        <f t="shared" ref="N12:N13" si="1">IF(H12=0,0,L12/H12)</f>
        <v>-1</v>
      </c>
      <c r="O12" s="10"/>
      <c r="P12" s="4">
        <f>SUM(OSRRefP13x_0)</f>
        <v>110</v>
      </c>
      <c r="Q12" s="4"/>
      <c r="R12" s="12"/>
      <c r="S12" s="4"/>
      <c r="T12" s="4">
        <f>SUM(OSRRefT13x_0)</f>
        <v>6827</v>
      </c>
      <c r="U12" s="4"/>
      <c r="V12" s="12"/>
      <c r="W12" s="4"/>
      <c r="X12" s="4">
        <f t="shared" ref="X12:X13" si="2">+P12-T12</f>
        <v>-6717</v>
      </c>
      <c r="Y12" s="4"/>
      <c r="Z12" s="12">
        <f t="shared" ref="Z12:Z13" si="3">IF(T12=0,0,X12/T12)</f>
        <v>-0.98388750549289583</v>
      </c>
    </row>
    <row r="13" spans="1:26" s="24" customFormat="1" hidden="1" outlineLevel="1" x14ac:dyDescent="0.25">
      <c r="A13" s="44"/>
      <c r="B13" s="11" t="str">
        <f>CONCATENATE("          ", "4153", " - ", "NON-TAXABLE SALES-FOOD")</f>
        <v xml:space="preserve">          4153 - NON-TAXABLE SALES-FOOD</v>
      </c>
      <c r="C13" s="11"/>
      <c r="D13" s="2">
        <f>0</f>
        <v>0</v>
      </c>
      <c r="E13" s="2"/>
      <c r="F13" s="19"/>
      <c r="G13" s="2"/>
      <c r="H13" s="2">
        <f>--1546.5</f>
        <v>1546.5</v>
      </c>
      <c r="I13" s="2"/>
      <c r="J13" s="19"/>
      <c r="K13" s="2"/>
      <c r="L13" s="2">
        <f t="shared" si="0"/>
        <v>-1546.5</v>
      </c>
      <c r="M13" s="2"/>
      <c r="N13" s="19">
        <f t="shared" si="1"/>
        <v>-1</v>
      </c>
      <c r="O13" s="11"/>
      <c r="P13" s="2">
        <f>--110</f>
        <v>110</v>
      </c>
      <c r="Q13" s="2"/>
      <c r="R13" s="19"/>
      <c r="S13" s="2"/>
      <c r="T13" s="2">
        <f>--6827</f>
        <v>6827</v>
      </c>
      <c r="U13" s="2"/>
      <c r="V13" s="19"/>
      <c r="W13" s="2"/>
      <c r="X13" s="2">
        <f t="shared" si="2"/>
        <v>-6717</v>
      </c>
      <c r="Y13" s="2"/>
      <c r="Z13" s="19">
        <f t="shared" si="3"/>
        <v>-0.98388750549289583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773</v>
      </c>
      <c r="I15" s="4"/>
      <c r="J15" s="12">
        <f t="shared" ref="J15:J16" si="5">IF(H$12=0,0,H15/H$12)</f>
        <v>0.4998383446492079</v>
      </c>
      <c r="K15" s="4"/>
      <c r="L15" s="4">
        <f t="shared" ref="L15:L16" si="6">+D15-H15</f>
        <v>-773</v>
      </c>
      <c r="M15" s="4"/>
      <c r="N15" s="12">
        <f t="shared" ref="N15:N16" si="7">IF(H15=0,0,L15/H15)</f>
        <v>-1</v>
      </c>
      <c r="O15" s="10"/>
      <c r="P15" s="4">
        <f>SUM(OSRRefP16x_0)</f>
        <v>68.91</v>
      </c>
      <c r="Q15" s="4"/>
      <c r="R15" s="12">
        <f t="shared" ref="R15:R16" si="8">IF(P$12=0,0,P15/P$12)</f>
        <v>0.62645454545454538</v>
      </c>
      <c r="S15" s="4"/>
      <c r="T15" s="4">
        <f>SUM(OSRRefT16x_0)</f>
        <v>3421.96</v>
      </c>
      <c r="U15" s="4"/>
      <c r="V15" s="12">
        <f t="shared" ref="V15:V16" si="9">IF(T$12=0,0,T15/T$12)</f>
        <v>0.50123919730481914</v>
      </c>
      <c r="W15" s="4"/>
      <c r="X15" s="4">
        <f t="shared" ref="X15:X16" si="10">+P15-T15</f>
        <v>-3353.05</v>
      </c>
      <c r="Y15" s="4"/>
      <c r="Z15" s="12">
        <f t="shared" ref="Z15:Z16" si="11">IF(T15=0,0,X15/T15)</f>
        <v>-0.97986241802943341</v>
      </c>
    </row>
    <row r="16" spans="1:26" s="24" customFormat="1" hidden="1" outlineLevel="1" x14ac:dyDescent="0.25">
      <c r="A16" s="44"/>
      <c r="B16" s="11" t="str">
        <f>CONCATENATE("          ", "5059", " - ", "PURCHASES @ COST-FOOD")</f>
        <v xml:space="preserve">          5059 - PURCHASES @ COST-FOOD</v>
      </c>
      <c r="C16" s="11"/>
      <c r="D16" s="2"/>
      <c r="E16" s="2"/>
      <c r="F16" s="19">
        <f t="shared" si="4"/>
        <v>0</v>
      </c>
      <c r="G16" s="2"/>
      <c r="H16" s="2">
        <v>773</v>
      </c>
      <c r="I16" s="2"/>
      <c r="J16" s="19">
        <f t="shared" si="5"/>
        <v>0.4998383446492079</v>
      </c>
      <c r="K16" s="2"/>
      <c r="L16" s="2">
        <f t="shared" si="6"/>
        <v>-773</v>
      </c>
      <c r="M16" s="2"/>
      <c r="N16" s="19">
        <f t="shared" si="7"/>
        <v>-1</v>
      </c>
      <c r="O16" s="11"/>
      <c r="P16" s="2">
        <v>68.91</v>
      </c>
      <c r="Q16" s="2"/>
      <c r="R16" s="19">
        <f t="shared" si="8"/>
        <v>0.62645454545454538</v>
      </c>
      <c r="S16" s="2"/>
      <c r="T16" s="2">
        <v>3421.96</v>
      </c>
      <c r="U16" s="2"/>
      <c r="V16" s="19">
        <f t="shared" si="9"/>
        <v>0.50123919730481914</v>
      </c>
      <c r="W16" s="2"/>
      <c r="X16" s="2">
        <f t="shared" si="10"/>
        <v>-3353.05</v>
      </c>
      <c r="Y16" s="2"/>
      <c r="Z16" s="19">
        <f t="shared" si="11"/>
        <v>-0.97986241802943341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>
        <f>D12-D15</f>
        <v>0</v>
      </c>
      <c r="E18" s="14"/>
      <c r="F18" s="22">
        <f>IF(D$12=0,0,D18/D$12)</f>
        <v>0</v>
      </c>
      <c r="G18" s="14"/>
      <c r="H18" s="20">
        <f>H12-H15</f>
        <v>773.5</v>
      </c>
      <c r="I18" s="14"/>
      <c r="J18" s="22">
        <f>IF(H$12=0,0,H18/H$12)</f>
        <v>0.50016165535079216</v>
      </c>
      <c r="K18" s="15"/>
      <c r="L18" s="20">
        <f>+D18-H18</f>
        <v>-773.5</v>
      </c>
      <c r="M18" s="15"/>
      <c r="N18" s="22">
        <f>IF(H18=0,0,L18/H18)</f>
        <v>-1</v>
      </c>
      <c r="O18" s="29"/>
      <c r="P18" s="20">
        <f>P12-P15</f>
        <v>41.09</v>
      </c>
      <c r="Q18" s="14"/>
      <c r="R18" s="22">
        <f>IF(P$12=0,0,P18/P$12)</f>
        <v>0.37354545454545457</v>
      </c>
      <c r="S18" s="14"/>
      <c r="T18" s="20">
        <f>T12-T15</f>
        <v>3405.04</v>
      </c>
      <c r="U18" s="14"/>
      <c r="V18" s="22">
        <f>IF(T$12=0,0,T18/T$12)</f>
        <v>0.49876080269518092</v>
      </c>
      <c r="W18" s="15"/>
      <c r="X18" s="20">
        <f>+P18-T18</f>
        <v>-3363.95</v>
      </c>
      <c r="Y18" s="15"/>
      <c r="Z18" s="22">
        <f>IF(T18=0,0,X18/T18)</f>
        <v>-0.98793259403707445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>
        <f>SUM(OSRRefD22x_0)</f>
        <v>0</v>
      </c>
      <c r="E20" s="21"/>
      <c r="F20" s="35">
        <f t="shared" ref="F20:F26" si="12">IF(D$12=0,0,D20/D$12)</f>
        <v>0</v>
      </c>
      <c r="G20" s="21"/>
      <c r="H20" s="21">
        <f>SUM(OSRRefH22x_0)</f>
        <v>232.77</v>
      </c>
      <c r="I20" s="21"/>
      <c r="J20" s="35">
        <f t="shared" ref="J20:J26" si="13">IF(H$12=0,0,H20/H$12)</f>
        <v>0.15051406401551892</v>
      </c>
      <c r="K20" s="4"/>
      <c r="L20" s="21">
        <f t="shared" ref="L20:L26" si="14">+D20-H20</f>
        <v>-232.77</v>
      </c>
      <c r="M20" s="4"/>
      <c r="N20" s="35">
        <f t="shared" ref="N20:N26" si="15">IF(H20=0,0,L20/H20)</f>
        <v>-1</v>
      </c>
      <c r="O20" s="10"/>
      <c r="P20" s="21">
        <f>SUM(OSRRefP22x_0)</f>
        <v>0</v>
      </c>
      <c r="Q20" s="21"/>
      <c r="R20" s="35">
        <f t="shared" ref="R20:R26" si="16">IF(P$12=0,0,P20/P$12)</f>
        <v>0</v>
      </c>
      <c r="S20" s="21"/>
      <c r="T20" s="21">
        <f>SUM(OSRRefT22x_0)</f>
        <v>973.97</v>
      </c>
      <c r="U20" s="21"/>
      <c r="V20" s="35">
        <f t="shared" ref="V20:V26" si="17">IF(T$12=0,0,T20/T$12)</f>
        <v>0.14266442068258386</v>
      </c>
      <c r="W20" s="4"/>
      <c r="X20" s="21">
        <f t="shared" ref="X20:X26" si="18">+P20-T20</f>
        <v>-973.97</v>
      </c>
      <c r="Y20" s="4"/>
      <c r="Z20" s="35">
        <f t="shared" ref="Z20:Z26" si="19">IF(T20=0,0,X20/T20)</f>
        <v>-1</v>
      </c>
    </row>
    <row r="21" spans="1:26" s="26" customFormat="1" outlineLevel="1" collapsed="1" x14ac:dyDescent="0.25">
      <c r="A21" s="27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232.77</v>
      </c>
      <c r="I21" s="1"/>
      <c r="J21" s="5">
        <f t="shared" si="13"/>
        <v>0.15051406401551892</v>
      </c>
      <c r="K21" s="1"/>
      <c r="L21" s="1">
        <f t="shared" si="14"/>
        <v>-232.77</v>
      </c>
      <c r="M21" s="1"/>
      <c r="N21" s="5">
        <f t="shared" si="15"/>
        <v>-1</v>
      </c>
      <c r="O21" s="13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653.52</v>
      </c>
      <c r="U21" s="1"/>
      <c r="V21" s="5">
        <f t="shared" si="17"/>
        <v>9.5725794638933645E-2</v>
      </c>
      <c r="W21" s="1"/>
      <c r="X21" s="1">
        <f t="shared" si="18"/>
        <v>-653.52</v>
      </c>
      <c r="Y21" s="1"/>
      <c r="Z21" s="5">
        <f t="shared" si="19"/>
        <v>-1</v>
      </c>
    </row>
    <row r="22" spans="1:26" s="24" customFormat="1" hidden="1" outlineLevel="2" x14ac:dyDescent="0.25">
      <c r="A22" s="25"/>
      <c r="B22" s="11" t="str">
        <f>CONCATENATE("          ", "6381", " - ", "BANK/CREDIT CARD FEES")</f>
        <v xml:space="preserve">          6381 - BANK/CREDIT CARD FEES</v>
      </c>
      <c r="C22" s="11"/>
      <c r="D22" s="6"/>
      <c r="E22" s="2"/>
      <c r="F22" s="7">
        <f t="shared" si="12"/>
        <v>0</v>
      </c>
      <c r="G22" s="2"/>
      <c r="H22" s="6">
        <v>232.77</v>
      </c>
      <c r="I22" s="2"/>
      <c r="J22" s="7">
        <f t="shared" si="13"/>
        <v>0.15051406401551892</v>
      </c>
      <c r="K22" s="2"/>
      <c r="L22" s="6">
        <f t="shared" si="14"/>
        <v>-232.77</v>
      </c>
      <c r="M22" s="2"/>
      <c r="N22" s="7">
        <f t="shared" si="15"/>
        <v>-1</v>
      </c>
      <c r="O22" s="11"/>
      <c r="P22" s="6"/>
      <c r="Q22" s="2"/>
      <c r="R22" s="7">
        <f t="shared" si="16"/>
        <v>0</v>
      </c>
      <c r="S22" s="2"/>
      <c r="T22" s="6">
        <v>653.52</v>
      </c>
      <c r="U22" s="2"/>
      <c r="V22" s="7">
        <f t="shared" si="17"/>
        <v>9.5725794638933645E-2</v>
      </c>
      <c r="W22" s="2"/>
      <c r="X22" s="6">
        <f t="shared" si="18"/>
        <v>-653.52</v>
      </c>
      <c r="Y22" s="2"/>
      <c r="Z22" s="7">
        <f t="shared" si="19"/>
        <v>-1</v>
      </c>
    </row>
    <row r="23" spans="1:26" s="26" customFormat="1" outlineLevel="1" collapsed="1" x14ac:dyDescent="0.25">
      <c r="A23" s="27"/>
      <c r="B23" s="13" t="str">
        <f>CONCATENATE("     ","General                                           ")</f>
        <v xml:space="preserve">     General                                           </v>
      </c>
      <c r="C23" s="13"/>
      <c r="D23" s="1">
        <f>SUM(OSRRefD22_1x_0)</f>
        <v>0</v>
      </c>
      <c r="E23" s="1"/>
      <c r="F23" s="5">
        <f t="shared" si="12"/>
        <v>0</v>
      </c>
      <c r="G23" s="1"/>
      <c r="H23" s="1">
        <f>SUM(OSRRefH22_1x_0)</f>
        <v>0</v>
      </c>
      <c r="I23" s="1"/>
      <c r="J23" s="5">
        <f t="shared" si="13"/>
        <v>0</v>
      </c>
      <c r="K23" s="1"/>
      <c r="L23" s="1">
        <f t="shared" si="14"/>
        <v>0</v>
      </c>
      <c r="M23" s="1"/>
      <c r="N23" s="5">
        <f t="shared" si="15"/>
        <v>0</v>
      </c>
      <c r="O23" s="13"/>
      <c r="P23" s="1">
        <f>SUM(OSRRefP22_1x_0)</f>
        <v>0</v>
      </c>
      <c r="Q23" s="1"/>
      <c r="R23" s="5">
        <f t="shared" si="16"/>
        <v>0</v>
      </c>
      <c r="S23" s="1"/>
      <c r="T23" s="1">
        <f>SUM(OSRRefT22_1x_0)</f>
        <v>23.45</v>
      </c>
      <c r="U23" s="1"/>
      <c r="V23" s="5">
        <f t="shared" si="17"/>
        <v>3.4348908744690201E-3</v>
      </c>
      <c r="W23" s="1"/>
      <c r="X23" s="1">
        <f t="shared" si="18"/>
        <v>-23.45</v>
      </c>
      <c r="Y23" s="1"/>
      <c r="Z23" s="5">
        <f t="shared" si="19"/>
        <v>-1</v>
      </c>
    </row>
    <row r="24" spans="1:26" s="24" customFormat="1" hidden="1" outlineLevel="2" x14ac:dyDescent="0.25">
      <c r="A24" s="25"/>
      <c r="B24" s="11" t="str">
        <f>CONCATENATE("          ", "6279", " - ", "GENERAL EXPENSE")</f>
        <v xml:space="preserve">          6279 - GENERAL EXPENSE</v>
      </c>
      <c r="C24" s="11"/>
      <c r="D24" s="6"/>
      <c r="E24" s="2"/>
      <c r="F24" s="7">
        <f t="shared" si="12"/>
        <v>0</v>
      </c>
      <c r="G24" s="2"/>
      <c r="H24" s="6"/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1"/>
      <c r="P24" s="6"/>
      <c r="Q24" s="2"/>
      <c r="R24" s="7">
        <f t="shared" si="16"/>
        <v>0</v>
      </c>
      <c r="S24" s="2"/>
      <c r="T24" s="6">
        <v>23.45</v>
      </c>
      <c r="U24" s="2"/>
      <c r="V24" s="7">
        <f t="shared" si="17"/>
        <v>3.4348908744690201E-3</v>
      </c>
      <c r="W24" s="2"/>
      <c r="X24" s="6">
        <f t="shared" si="18"/>
        <v>-23.45</v>
      </c>
      <c r="Y24" s="2"/>
      <c r="Z24" s="7">
        <f t="shared" si="19"/>
        <v>-1</v>
      </c>
    </row>
    <row r="25" spans="1:26" s="26" customFormat="1" outlineLevel="1" collapsed="1" x14ac:dyDescent="0.25">
      <c r="A25" s="27"/>
      <c r="B25" s="13" t="str">
        <f>CONCATENATE("     ","Supplies                                          ")</f>
        <v xml:space="preserve">     Supplies                                          </v>
      </c>
      <c r="C25" s="13"/>
      <c r="D25" s="1">
        <f>SUM(OSRRefD22_2x_0)</f>
        <v>0</v>
      </c>
      <c r="E25" s="1"/>
      <c r="F25" s="5">
        <f t="shared" si="12"/>
        <v>0</v>
      </c>
      <c r="G25" s="1"/>
      <c r="H25" s="1">
        <f>SUM(OSRRefH22_2x_0)</f>
        <v>0</v>
      </c>
      <c r="I25" s="1"/>
      <c r="J25" s="5">
        <f t="shared" si="13"/>
        <v>0</v>
      </c>
      <c r="K25" s="1"/>
      <c r="L25" s="1">
        <f t="shared" si="14"/>
        <v>0</v>
      </c>
      <c r="M25" s="1"/>
      <c r="N25" s="5">
        <f t="shared" si="15"/>
        <v>0</v>
      </c>
      <c r="O25" s="13"/>
      <c r="P25" s="1">
        <f>SUM(OSRRefP22_2x_0)</f>
        <v>0</v>
      </c>
      <c r="Q25" s="1"/>
      <c r="R25" s="5">
        <f t="shared" si="16"/>
        <v>0</v>
      </c>
      <c r="S25" s="1"/>
      <c r="T25" s="1">
        <f>SUM(OSRRefT22_2x_0)</f>
        <v>297</v>
      </c>
      <c r="U25" s="1"/>
      <c r="V25" s="5">
        <f t="shared" si="17"/>
        <v>4.3503735169181192E-2</v>
      </c>
      <c r="W25" s="1"/>
      <c r="X25" s="1">
        <f t="shared" si="18"/>
        <v>-297</v>
      </c>
      <c r="Y25" s="1"/>
      <c r="Z25" s="5">
        <f t="shared" si="19"/>
        <v>-1</v>
      </c>
    </row>
    <row r="26" spans="1:26" s="24" customFormat="1" hidden="1" outlineLevel="2" x14ac:dyDescent="0.25">
      <c r="A26" s="25"/>
      <c r="B26" s="11" t="str">
        <f>CONCATENATE("          ", "6247", " - ", "STORE SUPPLIES")</f>
        <v xml:space="preserve">          6247 - STORE SUPPLIES</v>
      </c>
      <c r="C26" s="11"/>
      <c r="D26" s="6"/>
      <c r="E26" s="2"/>
      <c r="F26" s="7">
        <f t="shared" si="12"/>
        <v>0</v>
      </c>
      <c r="G26" s="2"/>
      <c r="H26" s="6"/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/>
      <c r="Q26" s="2"/>
      <c r="R26" s="7">
        <f t="shared" si="16"/>
        <v>0</v>
      </c>
      <c r="S26" s="2"/>
      <c r="T26" s="6">
        <v>297</v>
      </c>
      <c r="U26" s="2"/>
      <c r="V26" s="7">
        <f t="shared" si="17"/>
        <v>4.3503735169181192E-2</v>
      </c>
      <c r="W26" s="2"/>
      <c r="X26" s="6">
        <f t="shared" si="18"/>
        <v>-297</v>
      </c>
      <c r="Y26" s="2"/>
      <c r="Z26" s="7">
        <f t="shared" si="19"/>
        <v>-1</v>
      </c>
    </row>
    <row r="27" spans="1:26" s="53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9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3</v>
      </c>
      <c r="C30" s="28"/>
      <c r="D30" s="20">
        <f>+D18-D20+D28</f>
        <v>0</v>
      </c>
      <c r="E30" s="14"/>
      <c r="F30" s="22">
        <f>IF(D$12=0,0,D30/D$12)</f>
        <v>0</v>
      </c>
      <c r="G30" s="14"/>
      <c r="H30" s="20">
        <f>+H18-H20+H28</f>
        <v>540.73</v>
      </c>
      <c r="I30" s="14"/>
      <c r="J30" s="22">
        <f>IF(H$12=0,0,H30/H$12)</f>
        <v>0.34964759133527323</v>
      </c>
      <c r="K30" s="15"/>
      <c r="L30" s="20">
        <f>+D30-H30</f>
        <v>-540.73</v>
      </c>
      <c r="M30" s="15"/>
      <c r="N30" s="22">
        <f>IF(H30=0,0,L30/H30)</f>
        <v>-1</v>
      </c>
      <c r="O30" s="29"/>
      <c r="P30" s="20">
        <f>+P18-P20+P28</f>
        <v>41.09</v>
      </c>
      <c r="Q30" s="14"/>
      <c r="R30" s="22">
        <f>IF(P$12=0,0,P30/P$12)</f>
        <v>0.37354545454545457</v>
      </c>
      <c r="S30" s="14"/>
      <c r="T30" s="20">
        <f>+T18-T20+T28</f>
        <v>2431.0699999999997</v>
      </c>
      <c r="U30" s="14"/>
      <c r="V30" s="22">
        <f>IF(T$12=0,0,T30/T$12)</f>
        <v>0.35609638201259702</v>
      </c>
      <c r="W30" s="15"/>
      <c r="X30" s="20">
        <f>+P30-T30</f>
        <v>-2389.9799999999996</v>
      </c>
      <c r="Y30" s="15"/>
      <c r="Z30" s="22">
        <f>IF(T30=0,0,X30/T30)</f>
        <v>-0.98309797743380478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1"/>
      <c r="B32" s="10" t="s">
        <v>13</v>
      </c>
      <c r="C32" s="10"/>
      <c r="D32" s="4"/>
      <c r="E32" s="4"/>
      <c r="F32" s="12">
        <f>IF(D$12=0,0,D32/D$12)</f>
        <v>0</v>
      </c>
      <c r="G32" s="4"/>
      <c r="H32" s="4">
        <v>191.38</v>
      </c>
      <c r="I32" s="4"/>
      <c r="J32" s="12">
        <f>IF(H$12=0,0,H32/H$12)</f>
        <v>0.12375040413837697</v>
      </c>
      <c r="K32" s="4"/>
      <c r="L32" s="4">
        <f>+D32-H32</f>
        <v>-191.38</v>
      </c>
      <c r="M32" s="4"/>
      <c r="N32" s="12">
        <f>IF(H32=0,0,L32/H32)</f>
        <v>-1</v>
      </c>
      <c r="O32" s="10"/>
      <c r="P32" s="4">
        <v>23.83</v>
      </c>
      <c r="Q32" s="4"/>
      <c r="R32" s="12">
        <f>IF(P$12=0,0,P32/P$12)</f>
        <v>0.21663636363636363</v>
      </c>
      <c r="S32" s="4"/>
      <c r="T32" s="4">
        <v>722.93</v>
      </c>
      <c r="U32" s="4"/>
      <c r="V32" s="12">
        <f>IF(T$12=0,0,T32/T$12)</f>
        <v>0.10589277867291635</v>
      </c>
      <c r="W32" s="4"/>
      <c r="X32" s="4">
        <f>+P32-T32</f>
        <v>-699.09999999999991</v>
      </c>
      <c r="Y32" s="4"/>
      <c r="Z32" s="12">
        <f>IF(T32=0,0,X32/T32)</f>
        <v>-0.96703691920379564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8" t="s">
        <v>4</v>
      </c>
      <c r="C34" s="28"/>
      <c r="D34" s="31">
        <f>+D30-D32</f>
        <v>0</v>
      </c>
      <c r="E34" s="14"/>
      <c r="F34" s="34">
        <f>IF(D$12=0,0,D34/D$12)</f>
        <v>0</v>
      </c>
      <c r="G34" s="14"/>
      <c r="H34" s="31">
        <f>+H30-H32</f>
        <v>349.35</v>
      </c>
      <c r="I34" s="14"/>
      <c r="J34" s="34">
        <f>IF(H$12=0,0,H34/H$12)</f>
        <v>0.22589718719689622</v>
      </c>
      <c r="K34" s="15"/>
      <c r="L34" s="31">
        <f>D34-H34</f>
        <v>-349.35</v>
      </c>
      <c r="M34" s="15"/>
      <c r="N34" s="34">
        <f>IF(H34=0,0,L34/H34)</f>
        <v>-1</v>
      </c>
      <c r="O34" s="29"/>
      <c r="P34" s="31">
        <f>+P30-P32</f>
        <v>17.260000000000005</v>
      </c>
      <c r="Q34" s="14"/>
      <c r="R34" s="34">
        <f>IF(P$12=0,0,P34/P$12)</f>
        <v>0.15690909090909094</v>
      </c>
      <c r="S34" s="14"/>
      <c r="T34" s="31">
        <f>+T30-T32</f>
        <v>1708.1399999999999</v>
      </c>
      <c r="U34" s="14"/>
      <c r="V34" s="34">
        <f>IF(T$12=0,0,T34/T$12)</f>
        <v>0.25020360333968067</v>
      </c>
      <c r="W34" s="15"/>
      <c r="X34" s="31">
        <f>P34-T34</f>
        <v>-1690.8799999999999</v>
      </c>
      <c r="Y34" s="15"/>
      <c r="Z34" s="34">
        <f>IF(T34=0,0,X34/T34)</f>
        <v>-0.98989544182561151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8" t="s">
        <v>5</v>
      </c>
      <c r="C37" s="28"/>
      <c r="D37" s="32">
        <f>SUM(D34:D36)</f>
        <v>0</v>
      </c>
      <c r="E37" s="14"/>
      <c r="F37" s="30">
        <f>IF(D$12=0,0,D37/D$12)</f>
        <v>0</v>
      </c>
      <c r="G37" s="14"/>
      <c r="H37" s="32">
        <f>SUM(H34:H36)</f>
        <v>349.35</v>
      </c>
      <c r="I37" s="14"/>
      <c r="J37" s="30">
        <f>IF(H$12=0,0,H37/H$12)</f>
        <v>0.22589718719689622</v>
      </c>
      <c r="K37" s="15"/>
      <c r="L37" s="32">
        <f>+D37-H37</f>
        <v>-349.35</v>
      </c>
      <c r="M37" s="15"/>
      <c r="N37" s="30">
        <f>IF(H37=0,0,L37/H37)</f>
        <v>-1</v>
      </c>
      <c r="O37" s="29"/>
      <c r="P37" s="32">
        <f>SUM(P34:P36)</f>
        <v>17.260000000000005</v>
      </c>
      <c r="Q37" s="14"/>
      <c r="R37" s="30">
        <f>IF(P$12=0,0,P37/P$12)</f>
        <v>0.15690909090909094</v>
      </c>
      <c r="S37" s="14"/>
      <c r="T37" s="32">
        <f>SUM(T34:T36)</f>
        <v>1708.1399999999999</v>
      </c>
      <c r="U37" s="14"/>
      <c r="V37" s="30">
        <f>IF(T$12=0,0,T37/T$12)</f>
        <v>0.25020360333968067</v>
      </c>
      <c r="W37" s="15"/>
      <c r="X37" s="32">
        <f>+P37-T37</f>
        <v>-1690.8799999999999</v>
      </c>
      <c r="Y37" s="15"/>
      <c r="Z37" s="30">
        <f>IF(T37=0,0,X37/T37)</f>
        <v>-0.98989544182561151</v>
      </c>
    </row>
    <row r="38" spans="1:26" ht="15.75" thickTop="1" x14ac:dyDescent="0.25">
      <c r="A38" s="9"/>
      <c r="C38" s="9"/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>
        <v>44174.685852395836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 t="s">
        <v>313</v>
      </c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A41" s="9"/>
      <c r="B41" s="61"/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25"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309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171910.73</v>
      </c>
      <c r="E12" s="4"/>
      <c r="F12" s="12"/>
      <c r="G12" s="4"/>
      <c r="H12" s="4">
        <f>SUM(OSRRefH13x_0)</f>
        <v>1703095.97</v>
      </c>
      <c r="I12" s="4"/>
      <c r="J12" s="12"/>
      <c r="K12" s="4"/>
      <c r="L12" s="4">
        <f t="shared" ref="L12:L22" si="0">+D12-H12</f>
        <v>-1531185.24</v>
      </c>
      <c r="M12" s="4"/>
      <c r="N12" s="12">
        <f t="shared" ref="N12:N22" si="1">IF(H12=0,0,L12/H12)</f>
        <v>-0.89905986918635006</v>
      </c>
      <c r="O12" s="10"/>
      <c r="P12" s="4">
        <f>SUM(OSRRefP13x_0)</f>
        <v>673464.93</v>
      </c>
      <c r="Q12" s="4"/>
      <c r="R12" s="12"/>
      <c r="S12" s="4"/>
      <c r="T12" s="4">
        <f>SUM(OSRRefT13x_0)</f>
        <v>7960069.3799999999</v>
      </c>
      <c r="U12" s="4"/>
      <c r="V12" s="12"/>
      <c r="W12" s="4"/>
      <c r="X12" s="4">
        <f t="shared" ref="X12:X22" si="2">+P12-T12</f>
        <v>-7286604.4500000002</v>
      </c>
      <c r="Y12" s="4"/>
      <c r="Z12" s="12">
        <f t="shared" ref="Z12:Z22" si="3">IF(T12=0,0,X12/T12)</f>
        <v>-0.91539459044262761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--4501.27</f>
        <v>4501.2700000000004</v>
      </c>
      <c r="E13" s="2"/>
      <c r="F13" s="19"/>
      <c r="G13" s="2"/>
      <c r="H13" s="2">
        <f>--57390.66</f>
        <v>57390.66</v>
      </c>
      <c r="I13" s="2"/>
      <c r="J13" s="19"/>
      <c r="K13" s="2"/>
      <c r="L13" s="2">
        <f t="shared" si="0"/>
        <v>-52889.39</v>
      </c>
      <c r="M13" s="2"/>
      <c r="N13" s="19">
        <f t="shared" si="1"/>
        <v>-0.92156789972444986</v>
      </c>
      <c r="O13" s="11"/>
      <c r="P13" s="2">
        <f>--17251.21</f>
        <v>17251.21</v>
      </c>
      <c r="Q13" s="2"/>
      <c r="R13" s="19"/>
      <c r="S13" s="2"/>
      <c r="T13" s="2">
        <f>--283007.33</f>
        <v>283007.33</v>
      </c>
      <c r="U13" s="2"/>
      <c r="V13" s="19"/>
      <c r="W13" s="2"/>
      <c r="X13" s="2">
        <f t="shared" si="2"/>
        <v>-265756.12</v>
      </c>
      <c r="Y13" s="2"/>
      <c r="Z13" s="19">
        <f t="shared" si="3"/>
        <v>-0.93904323962209735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--55493.87</f>
        <v>55493.87</v>
      </c>
      <c r="E14" s="2"/>
      <c r="F14" s="19"/>
      <c r="G14" s="2"/>
      <c r="H14" s="2">
        <f>--85023.13</f>
        <v>85023.13</v>
      </c>
      <c r="I14" s="2"/>
      <c r="J14" s="19"/>
      <c r="K14" s="2"/>
      <c r="L14" s="2">
        <f t="shared" si="0"/>
        <v>-29529.260000000002</v>
      </c>
      <c r="M14" s="2"/>
      <c r="N14" s="19">
        <f t="shared" si="1"/>
        <v>-0.34730855003808964</v>
      </c>
      <c r="O14" s="11"/>
      <c r="P14" s="2">
        <f>--85725.16</f>
        <v>85725.16</v>
      </c>
      <c r="Q14" s="2"/>
      <c r="R14" s="19"/>
      <c r="S14" s="2"/>
      <c r="T14" s="2">
        <f>--453845.53</f>
        <v>453845.53</v>
      </c>
      <c r="U14" s="2"/>
      <c r="V14" s="19"/>
      <c r="W14" s="2"/>
      <c r="X14" s="2">
        <f t="shared" si="2"/>
        <v>-368120.37</v>
      </c>
      <c r="Y14" s="2"/>
      <c r="Z14" s="19">
        <f t="shared" si="3"/>
        <v>-0.81111379459879218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--92.59</f>
        <v>92.59</v>
      </c>
      <c r="E15" s="2"/>
      <c r="F15" s="19"/>
      <c r="G15" s="2"/>
      <c r="H15" s="2">
        <f>--20292.53</f>
        <v>20292.53</v>
      </c>
      <c r="I15" s="2"/>
      <c r="J15" s="19"/>
      <c r="K15" s="2"/>
      <c r="L15" s="2">
        <f t="shared" si="0"/>
        <v>-20199.939999999999</v>
      </c>
      <c r="M15" s="2"/>
      <c r="N15" s="19">
        <f t="shared" si="1"/>
        <v>-0.99543723724937205</v>
      </c>
      <c r="O15" s="11"/>
      <c r="P15" s="2">
        <f>--495.03</f>
        <v>495.03</v>
      </c>
      <c r="Q15" s="2"/>
      <c r="R15" s="19"/>
      <c r="S15" s="2"/>
      <c r="T15" s="2">
        <f>--90170.93</f>
        <v>90170.93</v>
      </c>
      <c r="U15" s="2"/>
      <c r="V15" s="19"/>
      <c r="W15" s="2"/>
      <c r="X15" s="2">
        <f t="shared" si="2"/>
        <v>-89675.9</v>
      </c>
      <c r="Y15" s="2"/>
      <c r="Z15" s="19">
        <f t="shared" si="3"/>
        <v>-0.99451009321962192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 t="shared" ref="D16:D17" si="4">0</f>
        <v>0</v>
      </c>
      <c r="E16" s="2"/>
      <c r="F16" s="19"/>
      <c r="G16" s="2"/>
      <c r="H16" s="2">
        <f>--49269.15</f>
        <v>49269.15</v>
      </c>
      <c r="I16" s="2"/>
      <c r="J16" s="19"/>
      <c r="K16" s="2"/>
      <c r="L16" s="2">
        <f t="shared" si="0"/>
        <v>-49269.15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f>--235911.89</f>
        <v>235911.89</v>
      </c>
      <c r="U16" s="2"/>
      <c r="V16" s="19"/>
      <c r="W16" s="2"/>
      <c r="X16" s="2">
        <f t="shared" si="2"/>
        <v>-235911.89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"4058", " - ", "TAXABLE SALES-FOOD")</f>
        <v xml:space="preserve">          4058 - TAXABLE SALES-FOOD</v>
      </c>
      <c r="C17" s="11"/>
      <c r="D17" s="2">
        <f t="shared" si="4"/>
        <v>0</v>
      </c>
      <c r="E17" s="2"/>
      <c r="F17" s="19"/>
      <c r="G17" s="2"/>
      <c r="H17" s="2">
        <f>--14656.48</f>
        <v>14656.48</v>
      </c>
      <c r="I17" s="2"/>
      <c r="J17" s="19"/>
      <c r="K17" s="2"/>
      <c r="L17" s="2">
        <f t="shared" si="0"/>
        <v>-14656.48</v>
      </c>
      <c r="M17" s="2"/>
      <c r="N17" s="19">
        <f t="shared" si="1"/>
        <v>-1</v>
      </c>
      <c r="O17" s="11"/>
      <c r="P17" s="2">
        <f>--974.91</f>
        <v>974.91</v>
      </c>
      <c r="Q17" s="2"/>
      <c r="R17" s="19"/>
      <c r="S17" s="2"/>
      <c r="T17" s="2">
        <f>--78802.41</f>
        <v>78802.41</v>
      </c>
      <c r="U17" s="2"/>
      <c r="V17" s="19"/>
      <c r="W17" s="2"/>
      <c r="X17" s="2">
        <f t="shared" si="2"/>
        <v>-77827.5</v>
      </c>
      <c r="Y17" s="2"/>
      <c r="Z17" s="19">
        <f t="shared" si="3"/>
        <v>-0.98762842405454343</v>
      </c>
    </row>
    <row r="18" spans="1:26" s="24" customFormat="1" hidden="1" outlineLevel="1" x14ac:dyDescent="0.25">
      <c r="A18" s="44"/>
      <c r="B18" s="11" t="str">
        <f>CONCATENATE("          ", "4151", " - ", "NON-TAXABLE SALES-FOOD")</f>
        <v xml:space="preserve">          4151 - NON-TAXABLE SALES-FOOD</v>
      </c>
      <c r="C18" s="11"/>
      <c r="D18" s="2">
        <f>--101465.72</f>
        <v>101465.72</v>
      </c>
      <c r="E18" s="2"/>
      <c r="F18" s="19"/>
      <c r="G18" s="2"/>
      <c r="H18" s="2">
        <f>--1293579.41</f>
        <v>1293579.4099999999</v>
      </c>
      <c r="I18" s="2"/>
      <c r="J18" s="19"/>
      <c r="K18" s="2"/>
      <c r="L18" s="2">
        <f t="shared" si="0"/>
        <v>-1192113.69</v>
      </c>
      <c r="M18" s="2"/>
      <c r="N18" s="19">
        <f t="shared" si="1"/>
        <v>-0.92156204774471484</v>
      </c>
      <c r="O18" s="11"/>
      <c r="P18" s="2">
        <f>--542894.76</f>
        <v>542894.76</v>
      </c>
      <c r="Q18" s="2"/>
      <c r="R18" s="19"/>
      <c r="S18" s="2"/>
      <c r="T18" s="2">
        <f>--5878609.42</f>
        <v>5878609.4199999999</v>
      </c>
      <c r="U18" s="2"/>
      <c r="V18" s="19"/>
      <c r="W18" s="2"/>
      <c r="X18" s="2">
        <f t="shared" si="2"/>
        <v>-5335714.66</v>
      </c>
      <c r="Y18" s="2"/>
      <c r="Z18" s="19">
        <f t="shared" si="3"/>
        <v>-0.90764911882851373</v>
      </c>
    </row>
    <row r="19" spans="1:26" s="24" customFormat="1" hidden="1" outlineLevel="1" x14ac:dyDescent="0.25">
      <c r="A19" s="44"/>
      <c r="B19" s="11" t="str">
        <f>CONCATENATE("          ", "4152", " - ", "NON-TAXABLE SALES-FOOD")</f>
        <v xml:space="preserve">          4152 - NON-TAXABLE SALES-FOOD</v>
      </c>
      <c r="C19" s="11"/>
      <c r="D19" s="2">
        <f>0</f>
        <v>0</v>
      </c>
      <c r="E19" s="2"/>
      <c r="F19" s="19"/>
      <c r="G19" s="2"/>
      <c r="H19" s="2">
        <f>--5402.66</f>
        <v>5402.66</v>
      </c>
      <c r="I19" s="2"/>
      <c r="J19" s="19"/>
      <c r="K19" s="2"/>
      <c r="L19" s="2">
        <f t="shared" si="0"/>
        <v>-5402.66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f>--30341.45</f>
        <v>30341.45</v>
      </c>
      <c r="U19" s="2"/>
      <c r="V19" s="19"/>
      <c r="W19" s="2"/>
      <c r="X19" s="2">
        <f t="shared" si="2"/>
        <v>-30341.45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>--10357.28</f>
        <v>10357.280000000001</v>
      </c>
      <c r="E20" s="2"/>
      <c r="F20" s="19"/>
      <c r="G20" s="2"/>
      <c r="H20" s="2">
        <f>--22208.1</f>
        <v>22208.1</v>
      </c>
      <c r="I20" s="2"/>
      <c r="J20" s="19"/>
      <c r="K20" s="2"/>
      <c r="L20" s="2">
        <f t="shared" si="0"/>
        <v>-11850.819999999998</v>
      </c>
      <c r="M20" s="2"/>
      <c r="N20" s="19">
        <f t="shared" si="1"/>
        <v>-0.53362601933528753</v>
      </c>
      <c r="O20" s="11"/>
      <c r="P20" s="2">
        <f>--26123.86</f>
        <v>26123.86</v>
      </c>
      <c r="Q20" s="2"/>
      <c r="R20" s="19"/>
      <c r="S20" s="2"/>
      <c r="T20" s="2">
        <f>--211996.16</f>
        <v>211996.16</v>
      </c>
      <c r="U20" s="2"/>
      <c r="V20" s="19"/>
      <c r="W20" s="2"/>
      <c r="X20" s="2">
        <f t="shared" si="2"/>
        <v>-185872.3</v>
      </c>
      <c r="Y20" s="2"/>
      <c r="Z20" s="19">
        <f t="shared" si="3"/>
        <v>-0.87677201322891885</v>
      </c>
    </row>
    <row r="21" spans="1:26" s="24" customFormat="1" hidden="1" outlineLevel="1" x14ac:dyDescent="0.25">
      <c r="A21" s="44"/>
      <c r="B21" s="11" t="str">
        <f>CONCATENATE("          ", "4155", " - ", "NON-TAXABLE SALES-FOOD")</f>
        <v xml:space="preserve">          4155 - NON-TAXABLE SALES-FOOD</v>
      </c>
      <c r="C21" s="11"/>
      <c r="D21" s="2">
        <f t="shared" ref="D21:D22" si="5">0</f>
        <v>0</v>
      </c>
      <c r="E21" s="2"/>
      <c r="F21" s="19"/>
      <c r="G21" s="2"/>
      <c r="H21" s="2">
        <f>--90106.86</f>
        <v>90106.86</v>
      </c>
      <c r="I21" s="2"/>
      <c r="J21" s="19"/>
      <c r="K21" s="2"/>
      <c r="L21" s="2">
        <f t="shared" si="0"/>
        <v>-90106.86</v>
      </c>
      <c r="M21" s="2"/>
      <c r="N21" s="19">
        <f t="shared" si="1"/>
        <v>-1</v>
      </c>
      <c r="O21" s="11"/>
      <c r="P21" s="2">
        <f t="shared" ref="P21:P22" si="6">0</f>
        <v>0</v>
      </c>
      <c r="Q21" s="2"/>
      <c r="R21" s="19"/>
      <c r="S21" s="2"/>
      <c r="T21" s="2">
        <f>--424497</f>
        <v>424497</v>
      </c>
      <c r="U21" s="2"/>
      <c r="V21" s="19"/>
      <c r="W21" s="2"/>
      <c r="X21" s="2">
        <f t="shared" si="2"/>
        <v>-424497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"4158", " - ", "NON-TAXABLE SALES-FOOD")</f>
        <v xml:space="preserve">          4158 - NON-TAXABLE SALES-FOOD</v>
      </c>
      <c r="C22" s="11"/>
      <c r="D22" s="2">
        <f t="shared" si="5"/>
        <v>0</v>
      </c>
      <c r="E22" s="2"/>
      <c r="F22" s="19"/>
      <c r="G22" s="2"/>
      <c r="H22" s="2">
        <f>--65166.99</f>
        <v>65166.99</v>
      </c>
      <c r="I22" s="2"/>
      <c r="J22" s="19"/>
      <c r="K22" s="2"/>
      <c r="L22" s="2">
        <f t="shared" si="0"/>
        <v>-65166.99</v>
      </c>
      <c r="M22" s="2"/>
      <c r="N22" s="19">
        <f t="shared" si="1"/>
        <v>-1</v>
      </c>
      <c r="O22" s="11"/>
      <c r="P22" s="2">
        <f t="shared" si="6"/>
        <v>0</v>
      </c>
      <c r="Q22" s="2"/>
      <c r="R22" s="19"/>
      <c r="S22" s="2"/>
      <c r="T22" s="2">
        <f>--272887.26</f>
        <v>272887.26</v>
      </c>
      <c r="U22" s="2"/>
      <c r="V22" s="19"/>
      <c r="W22" s="2"/>
      <c r="X22" s="2">
        <f t="shared" si="2"/>
        <v>-272887.26</v>
      </c>
      <c r="Y22" s="2"/>
      <c r="Z22" s="19">
        <f t="shared" si="3"/>
        <v>-1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collapsed="1" x14ac:dyDescent="0.25">
      <c r="A24" s="10"/>
      <c r="B24" s="29" t="s">
        <v>8</v>
      </c>
      <c r="C24" s="10"/>
      <c r="D24" s="4">
        <f>SUM(OSRRefD16x_0)</f>
        <v>44102.18</v>
      </c>
      <c r="E24" s="4"/>
      <c r="F24" s="12">
        <f t="shared" ref="F24:F26" si="7">IF(D$12=0,0,D24/D$12)</f>
        <v>0.25654117110665514</v>
      </c>
      <c r="G24" s="4"/>
      <c r="H24" s="4">
        <f>SUM(OSRRefH16x_0)</f>
        <v>450618.89</v>
      </c>
      <c r="I24" s="4"/>
      <c r="J24" s="12">
        <f t="shared" ref="J24:J26" si="8">IF(H$12=0,0,H24/H$12)</f>
        <v>0.26458807838057419</v>
      </c>
      <c r="K24" s="4"/>
      <c r="L24" s="4">
        <f t="shared" ref="L24:L26" si="9">+D24-H24</f>
        <v>-406516.71</v>
      </c>
      <c r="M24" s="4"/>
      <c r="N24" s="12">
        <f t="shared" ref="N24:N26" si="10">IF(H24=0,0,L24/H24)</f>
        <v>-0.90212975758739278</v>
      </c>
      <c r="O24" s="10"/>
      <c r="P24" s="4">
        <f>SUM(OSRRefP16x_0)</f>
        <v>230909.41999999998</v>
      </c>
      <c r="Q24" s="4"/>
      <c r="R24" s="12">
        <f t="shared" ref="R24:R26" si="11">IF(P$12=0,0,P24/P$12)</f>
        <v>0.34286777189719436</v>
      </c>
      <c r="S24" s="4"/>
      <c r="T24" s="4">
        <f>SUM(OSRRefT16x_0)</f>
        <v>2146094.6399999997</v>
      </c>
      <c r="U24" s="4"/>
      <c r="V24" s="12">
        <f t="shared" ref="V24:V26" si="12">IF(T$12=0,0,T24/T$12)</f>
        <v>0.26960752947608096</v>
      </c>
      <c r="W24" s="4"/>
      <c r="X24" s="4">
        <f t="shared" ref="X24:X26" si="13">+P24-T24</f>
        <v>-1915185.2199999997</v>
      </c>
      <c r="Y24" s="4"/>
      <c r="Z24" s="12">
        <f t="shared" ref="Z24:Z26" si="14">IF(T24=0,0,X24/T24)</f>
        <v>-0.89240482889421879</v>
      </c>
    </row>
    <row r="25" spans="1:26" s="24" customFormat="1" hidden="1" outlineLevel="1" x14ac:dyDescent="0.25">
      <c r="A25" s="44"/>
      <c r="B25" s="11" t="str">
        <f>CONCATENATE("          ", "5053", " - ", "PURCHASES @ COST-FOOD")</f>
        <v xml:space="preserve">          5053 - PURCHASES @ COST-FOOD</v>
      </c>
      <c r="C25" s="11"/>
      <c r="D25" s="2">
        <v>39551.18</v>
      </c>
      <c r="E25" s="2"/>
      <c r="F25" s="19">
        <f t="shared" si="7"/>
        <v>0.23006812896437587</v>
      </c>
      <c r="G25" s="2"/>
      <c r="H25" s="2">
        <v>420297.18</v>
      </c>
      <c r="I25" s="2"/>
      <c r="J25" s="19">
        <f t="shared" si="8"/>
        <v>0.24678420206701562</v>
      </c>
      <c r="K25" s="2"/>
      <c r="L25" s="2">
        <f t="shared" si="9"/>
        <v>-380746</v>
      </c>
      <c r="M25" s="2"/>
      <c r="N25" s="19">
        <f t="shared" si="10"/>
        <v>-0.90589710832701753</v>
      </c>
      <c r="O25" s="11"/>
      <c r="P25" s="2">
        <v>235088.03999999998</v>
      </c>
      <c r="Q25" s="2"/>
      <c r="R25" s="19">
        <f t="shared" si="11"/>
        <v>0.34907243054215153</v>
      </c>
      <c r="S25" s="2"/>
      <c r="T25" s="2">
        <v>2181713.59</v>
      </c>
      <c r="U25" s="2"/>
      <c r="V25" s="19">
        <f t="shared" si="12"/>
        <v>0.27408223293651746</v>
      </c>
      <c r="W25" s="2"/>
      <c r="X25" s="2">
        <f t="shared" si="13"/>
        <v>-1946625.5499999998</v>
      </c>
      <c r="Y25" s="2"/>
      <c r="Z25" s="19">
        <f t="shared" si="14"/>
        <v>-0.89224614950489445</v>
      </c>
    </row>
    <row r="26" spans="1:26" s="24" customFormat="1" hidden="1" outlineLevel="1" x14ac:dyDescent="0.25">
      <c r="A26" s="44"/>
      <c r="B26" s="11" t="str">
        <f>CONCATENATE("          ", "5059", " - ", "PURCHASES @ COST-FOOD")</f>
        <v xml:space="preserve">          5059 - PURCHASES @ COST-FOOD</v>
      </c>
      <c r="C26" s="11"/>
      <c r="D26" s="2">
        <v>4551</v>
      </c>
      <c r="E26" s="2"/>
      <c r="F26" s="19">
        <f t="shared" si="7"/>
        <v>2.6473042142279309E-2</v>
      </c>
      <c r="G26" s="2"/>
      <c r="H26" s="2">
        <v>30321.710000000003</v>
      </c>
      <c r="I26" s="2"/>
      <c r="J26" s="19">
        <f t="shared" si="8"/>
        <v>1.780387631355854E-2</v>
      </c>
      <c r="K26" s="2"/>
      <c r="L26" s="2">
        <f t="shared" si="9"/>
        <v>-25770.710000000003</v>
      </c>
      <c r="M26" s="2"/>
      <c r="N26" s="19">
        <f t="shared" si="10"/>
        <v>-0.84990952027441724</v>
      </c>
      <c r="O26" s="11"/>
      <c r="P26" s="2">
        <v>-4178.62</v>
      </c>
      <c r="Q26" s="2"/>
      <c r="R26" s="19">
        <f t="shared" si="11"/>
        <v>-6.2046586449572057E-3</v>
      </c>
      <c r="S26" s="2"/>
      <c r="T26" s="2">
        <v>-35618.950000000004</v>
      </c>
      <c r="U26" s="2"/>
      <c r="V26" s="19">
        <f t="shared" si="12"/>
        <v>-4.4747034604364225E-3</v>
      </c>
      <c r="W26" s="2"/>
      <c r="X26" s="2">
        <f t="shared" si="13"/>
        <v>31440.330000000005</v>
      </c>
      <c r="Y26" s="2"/>
      <c r="Z26" s="19">
        <f t="shared" si="14"/>
        <v>-0.88268548062197238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8" t="s">
        <v>6</v>
      </c>
      <c r="C28" s="28"/>
      <c r="D28" s="20">
        <f>D12-D24</f>
        <v>127808.55000000002</v>
      </c>
      <c r="E28" s="14"/>
      <c r="F28" s="22">
        <f>IF(D$12=0,0,D28/D$12)</f>
        <v>0.74345882889334491</v>
      </c>
      <c r="G28" s="14"/>
      <c r="H28" s="20">
        <f>H12-H24</f>
        <v>1252477.08</v>
      </c>
      <c r="I28" s="14"/>
      <c r="J28" s="22">
        <f>IF(H$12=0,0,H28/H$12)</f>
        <v>0.73541192161942592</v>
      </c>
      <c r="K28" s="15"/>
      <c r="L28" s="20">
        <f>+D28-H28</f>
        <v>-1124668.53</v>
      </c>
      <c r="M28" s="15"/>
      <c r="N28" s="22">
        <f>IF(H28=0,0,L28/H28)</f>
        <v>-0.89795537815350679</v>
      </c>
      <c r="O28" s="29"/>
      <c r="P28" s="20">
        <f>P12-P24</f>
        <v>442555.51000000007</v>
      </c>
      <c r="Q28" s="14"/>
      <c r="R28" s="22">
        <f>IF(P$12=0,0,P28/P$12)</f>
        <v>0.65713222810280569</v>
      </c>
      <c r="S28" s="14"/>
      <c r="T28" s="20">
        <f>T12-T24</f>
        <v>5813974.7400000002</v>
      </c>
      <c r="U28" s="14"/>
      <c r="V28" s="22">
        <f>IF(T$12=0,0,T28/T$12)</f>
        <v>0.73039247052391898</v>
      </c>
      <c r="W28" s="15"/>
      <c r="X28" s="20">
        <f>+P28-T28</f>
        <v>-5371419.2300000004</v>
      </c>
      <c r="Y28" s="15"/>
      <c r="Z28" s="22">
        <f>IF(T28=0,0,X28/T28)</f>
        <v>-0.9238807305172434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9" t="s">
        <v>9</v>
      </c>
      <c r="C30" s="10"/>
      <c r="D30" s="21">
        <f>SUM(OSRRefD22x_0)</f>
        <v>353034.65</v>
      </c>
      <c r="E30" s="21"/>
      <c r="F30" s="35">
        <f t="shared" ref="F30:F40" si="15">IF(D$12=0,0,D30/D$12)</f>
        <v>2.0535928734640359</v>
      </c>
      <c r="G30" s="21"/>
      <c r="H30" s="21">
        <f>SUM(OSRRefH22x_0)</f>
        <v>972605.4</v>
      </c>
      <c r="I30" s="21"/>
      <c r="J30" s="35">
        <f t="shared" ref="J30:J40" si="16">IF(H$12=0,0,H30/H$12)</f>
        <v>0.57108079470119355</v>
      </c>
      <c r="K30" s="4"/>
      <c r="L30" s="21">
        <f t="shared" ref="L30:L40" si="17">+D30-H30</f>
        <v>-619570.75</v>
      </c>
      <c r="M30" s="4"/>
      <c r="N30" s="35">
        <f t="shared" ref="N30:N40" si="18">IF(H30=0,0,L30/H30)</f>
        <v>-0.63702170479415388</v>
      </c>
      <c r="O30" s="10"/>
      <c r="P30" s="21">
        <f>SUM(OSRRefP22x_0)</f>
        <v>1714226.12</v>
      </c>
      <c r="Q30" s="21"/>
      <c r="R30" s="35">
        <f t="shared" ref="R30:R40" si="19">IF(P$12=0,0,P30/P$12)</f>
        <v>2.5453829050905443</v>
      </c>
      <c r="S30" s="21"/>
      <c r="T30" s="21">
        <f>SUM(OSRRefT22x_0)</f>
        <v>4917827.4699999988</v>
      </c>
      <c r="U30" s="21"/>
      <c r="V30" s="35">
        <f t="shared" ref="V30:V40" si="20">IF(T$12=0,0,T30/T$12)</f>
        <v>0.6178121364565291</v>
      </c>
      <c r="W30" s="4"/>
      <c r="X30" s="21">
        <f t="shared" ref="X30:X40" si="21">+P30-T30</f>
        <v>-3203601.3499999987</v>
      </c>
      <c r="Y30" s="4"/>
      <c r="Z30" s="35">
        <f t="shared" ref="Z30:Z40" si="22">IF(T30=0,0,X30/T30)</f>
        <v>-0.6514261367530243</v>
      </c>
    </row>
    <row r="31" spans="1:26" s="26" customFormat="1" outlineLevel="1" collapsed="1" x14ac:dyDescent="0.25">
      <c r="A31" s="27"/>
      <c r="B31" s="13" t="str">
        <f>CONCATENATE("     ","*Benefits                                         ")</f>
        <v xml:space="preserve">     *Benefits                                         </v>
      </c>
      <c r="C31" s="13"/>
      <c r="D31" s="1">
        <f>SUM(OSRRefD22_0x_0)</f>
        <v>102249.69</v>
      </c>
      <c r="E31" s="1"/>
      <c r="F31" s="5">
        <f t="shared" si="15"/>
        <v>0.59478364148648544</v>
      </c>
      <c r="G31" s="1"/>
      <c r="H31" s="1">
        <f>SUM(OSRRefH22_0x_0)</f>
        <v>159393.44</v>
      </c>
      <c r="I31" s="1"/>
      <c r="J31" s="5">
        <f t="shared" si="16"/>
        <v>9.3590404068656222E-2</v>
      </c>
      <c r="K31" s="1"/>
      <c r="L31" s="1">
        <f t="shared" si="17"/>
        <v>-57143.75</v>
      </c>
      <c r="M31" s="1"/>
      <c r="N31" s="5">
        <f t="shared" si="18"/>
        <v>-0.35850753958255749</v>
      </c>
      <c r="O31" s="13"/>
      <c r="P31" s="1">
        <f>SUM(OSRRefP22_0x_0)</f>
        <v>501117.24999999994</v>
      </c>
      <c r="Q31" s="1"/>
      <c r="R31" s="5">
        <f t="shared" si="19"/>
        <v>0.74408811458081403</v>
      </c>
      <c r="S31" s="1"/>
      <c r="T31" s="1">
        <f>SUM(OSRRefT22_0x_0)</f>
        <v>810611.16000000015</v>
      </c>
      <c r="U31" s="1"/>
      <c r="V31" s="5">
        <f t="shared" si="20"/>
        <v>0.10183468526501714</v>
      </c>
      <c r="W31" s="1"/>
      <c r="X31" s="1">
        <f t="shared" si="21"/>
        <v>-309493.91000000021</v>
      </c>
      <c r="Y31" s="1"/>
      <c r="Z31" s="5">
        <f t="shared" si="22"/>
        <v>-0.38180316935187536</v>
      </c>
    </row>
    <row r="32" spans="1:26" s="24" customFormat="1" hidden="1" outlineLevel="2" x14ac:dyDescent="0.25">
      <c r="A32" s="25"/>
      <c r="B32" s="11" t="str">
        <f>CONCATENATE("          ", "6111", " - ", "F.I.C.A.")</f>
        <v xml:space="preserve">          6111 - F.I.C.A.</v>
      </c>
      <c r="C32" s="11"/>
      <c r="D32" s="6">
        <v>9464.19</v>
      </c>
      <c r="E32" s="2"/>
      <c r="F32" s="7">
        <f t="shared" si="15"/>
        <v>5.5052933577793541E-2</v>
      </c>
      <c r="G32" s="2"/>
      <c r="H32" s="6">
        <v>23806.94</v>
      </c>
      <c r="I32" s="2"/>
      <c r="J32" s="7">
        <f t="shared" si="16"/>
        <v>1.3978625056578578E-2</v>
      </c>
      <c r="K32" s="2"/>
      <c r="L32" s="6">
        <f t="shared" si="17"/>
        <v>-14342.749999999998</v>
      </c>
      <c r="M32" s="2"/>
      <c r="N32" s="7">
        <f t="shared" si="18"/>
        <v>-0.602460879054595</v>
      </c>
      <c r="O32" s="11"/>
      <c r="P32" s="6">
        <v>55994.74</v>
      </c>
      <c r="Q32" s="2"/>
      <c r="R32" s="7">
        <f t="shared" si="19"/>
        <v>8.3144255187868499E-2</v>
      </c>
      <c r="S32" s="2"/>
      <c r="T32" s="6">
        <v>143273.09</v>
      </c>
      <c r="U32" s="2"/>
      <c r="V32" s="7">
        <f t="shared" si="20"/>
        <v>1.799897502903423E-2</v>
      </c>
      <c r="W32" s="2"/>
      <c r="X32" s="6">
        <f t="shared" si="21"/>
        <v>-87278.35</v>
      </c>
      <c r="Y32" s="2"/>
      <c r="Z32" s="7">
        <f t="shared" si="22"/>
        <v>-0.6091747584979148</v>
      </c>
    </row>
    <row r="33" spans="1:26" s="24" customFormat="1" hidden="1" outlineLevel="2" x14ac:dyDescent="0.25">
      <c r="A33" s="25"/>
      <c r="B33" s="11" t="str">
        <f>CONCATENATE("          ", "6112", " - ", "COMPENSATION INSURANCE")</f>
        <v xml:space="preserve">          6112 - COMPENSATION INSURANCE</v>
      </c>
      <c r="C33" s="11"/>
      <c r="D33" s="6">
        <v>9429.67</v>
      </c>
      <c r="E33" s="2"/>
      <c r="F33" s="7">
        <f t="shared" si="15"/>
        <v>5.48521316848576E-2</v>
      </c>
      <c r="G33" s="2"/>
      <c r="H33" s="6">
        <v>20424.14</v>
      </c>
      <c r="I33" s="2"/>
      <c r="J33" s="7">
        <f t="shared" si="16"/>
        <v>1.1992360007756933E-2</v>
      </c>
      <c r="K33" s="2"/>
      <c r="L33" s="6">
        <f t="shared" si="17"/>
        <v>-10994.47</v>
      </c>
      <c r="M33" s="2"/>
      <c r="N33" s="7">
        <f t="shared" si="18"/>
        <v>-0.53830761050404075</v>
      </c>
      <c r="O33" s="11"/>
      <c r="P33" s="6">
        <v>29634.400000000001</v>
      </c>
      <c r="Q33" s="2"/>
      <c r="R33" s="7">
        <f t="shared" si="19"/>
        <v>4.4002885198491326E-2</v>
      </c>
      <c r="S33" s="2"/>
      <c r="T33" s="6">
        <v>61928.930000000008</v>
      </c>
      <c r="U33" s="2"/>
      <c r="V33" s="7">
        <f t="shared" si="20"/>
        <v>7.7799485210014599E-3</v>
      </c>
      <c r="W33" s="2"/>
      <c r="X33" s="6">
        <f t="shared" si="21"/>
        <v>-32294.530000000006</v>
      </c>
      <c r="Y33" s="2"/>
      <c r="Z33" s="7">
        <f t="shared" si="22"/>
        <v>-0.52147728048910258</v>
      </c>
    </row>
    <row r="34" spans="1:26" s="24" customFormat="1" hidden="1" outlineLevel="2" x14ac:dyDescent="0.25">
      <c r="A34" s="25"/>
      <c r="B34" s="11" t="str">
        <f>CONCATENATE("          ", "6113", " - ", "GROUP INSURANCE")</f>
        <v xml:space="preserve">          6113 - GROUP INSURANCE</v>
      </c>
      <c r="C34" s="11"/>
      <c r="D34" s="6">
        <v>54369.270000000004</v>
      </c>
      <c r="E34" s="2"/>
      <c r="F34" s="7">
        <f t="shared" si="15"/>
        <v>0.3162645519567045</v>
      </c>
      <c r="G34" s="2"/>
      <c r="H34" s="6">
        <v>70852.710000000006</v>
      </c>
      <c r="I34" s="2"/>
      <c r="J34" s="7">
        <f t="shared" si="16"/>
        <v>4.1602300309594421E-2</v>
      </c>
      <c r="K34" s="2"/>
      <c r="L34" s="6">
        <f t="shared" si="17"/>
        <v>-16483.440000000002</v>
      </c>
      <c r="M34" s="2"/>
      <c r="N34" s="7">
        <f t="shared" si="18"/>
        <v>-0.23264374785382239</v>
      </c>
      <c r="O34" s="11"/>
      <c r="P34" s="6">
        <v>274154.49</v>
      </c>
      <c r="Q34" s="2"/>
      <c r="R34" s="7">
        <f t="shared" si="19"/>
        <v>0.407080573594233</v>
      </c>
      <c r="S34" s="2"/>
      <c r="T34" s="6">
        <v>334195.65000000002</v>
      </c>
      <c r="U34" s="2"/>
      <c r="V34" s="7">
        <f t="shared" si="20"/>
        <v>4.1984012204677547E-2</v>
      </c>
      <c r="W34" s="2"/>
      <c r="X34" s="6">
        <f t="shared" si="21"/>
        <v>-60041.160000000033</v>
      </c>
      <c r="Y34" s="2"/>
      <c r="Z34" s="7">
        <f t="shared" si="22"/>
        <v>-0.17965871189526264</v>
      </c>
    </row>
    <row r="35" spans="1:26" s="24" customFormat="1" hidden="1" outlineLevel="2" x14ac:dyDescent="0.25">
      <c r="A35" s="25"/>
      <c r="B35" s="11" t="str">
        <f>CONCATENATE("          ", "6114", " - ", "STATE UNEMPLOYMENT INSURANCE")</f>
        <v xml:space="preserve">          6114 - STATE UNEMPLOYMENT INSURANCE</v>
      </c>
      <c r="C35" s="11"/>
      <c r="D35" s="6">
        <v>671.25</v>
      </c>
      <c r="E35" s="2"/>
      <c r="F35" s="7">
        <f t="shared" si="15"/>
        <v>3.9046428341034905E-3</v>
      </c>
      <c r="G35" s="2"/>
      <c r="H35" s="6">
        <v>1412.8</v>
      </c>
      <c r="I35" s="2"/>
      <c r="J35" s="7">
        <f t="shared" si="16"/>
        <v>8.2954808471539035E-4</v>
      </c>
      <c r="K35" s="2"/>
      <c r="L35" s="6">
        <f t="shared" si="17"/>
        <v>-741.55</v>
      </c>
      <c r="M35" s="2"/>
      <c r="N35" s="7">
        <f t="shared" si="18"/>
        <v>-0.52487967157417892</v>
      </c>
      <c r="O35" s="11"/>
      <c r="P35" s="6">
        <v>2154.13</v>
      </c>
      <c r="Q35" s="2"/>
      <c r="R35" s="7">
        <f t="shared" si="19"/>
        <v>3.1985778383441582E-3</v>
      </c>
      <c r="S35" s="2"/>
      <c r="T35" s="6">
        <v>6213.17</v>
      </c>
      <c r="U35" s="2"/>
      <c r="V35" s="7">
        <f t="shared" si="20"/>
        <v>7.8054219170637436E-4</v>
      </c>
      <c r="W35" s="2"/>
      <c r="X35" s="6">
        <f t="shared" si="21"/>
        <v>-4059.04</v>
      </c>
      <c r="Y35" s="2"/>
      <c r="Z35" s="7">
        <f t="shared" si="22"/>
        <v>-0.65329614351450227</v>
      </c>
    </row>
    <row r="36" spans="1:26" s="24" customFormat="1" hidden="1" outlineLevel="2" x14ac:dyDescent="0.25">
      <c r="A36" s="25"/>
      <c r="B36" s="11" t="str">
        <f>CONCATENATE("          ", "6115", " - ", "P.E.R.S.")</f>
        <v xml:space="preserve">          6115 - P.E.R.S.</v>
      </c>
      <c r="C36" s="11"/>
      <c r="D36" s="6">
        <v>8954.64</v>
      </c>
      <c r="E36" s="2"/>
      <c r="F36" s="7">
        <f t="shared" si="15"/>
        <v>5.2088895207413749E-2</v>
      </c>
      <c r="G36" s="2"/>
      <c r="H36" s="6">
        <v>10725.42</v>
      </c>
      <c r="I36" s="2"/>
      <c r="J36" s="7">
        <f t="shared" si="16"/>
        <v>6.2976016554134647E-3</v>
      </c>
      <c r="K36" s="2"/>
      <c r="L36" s="6">
        <f t="shared" si="17"/>
        <v>-1770.7800000000007</v>
      </c>
      <c r="M36" s="2"/>
      <c r="N36" s="7">
        <f t="shared" si="18"/>
        <v>-0.1651012268051042</v>
      </c>
      <c r="O36" s="11"/>
      <c r="P36" s="6">
        <v>37662.61</v>
      </c>
      <c r="Q36" s="2"/>
      <c r="R36" s="7">
        <f t="shared" si="19"/>
        <v>5.5923639557593587E-2</v>
      </c>
      <c r="S36" s="2"/>
      <c r="T36" s="6">
        <v>57459.13</v>
      </c>
      <c r="U36" s="2"/>
      <c r="V36" s="7">
        <f t="shared" si="20"/>
        <v>7.2184207520060587E-3</v>
      </c>
      <c r="W36" s="2"/>
      <c r="X36" s="6">
        <f t="shared" si="21"/>
        <v>-19796.519999999997</v>
      </c>
      <c r="Y36" s="2"/>
      <c r="Z36" s="7">
        <f t="shared" si="22"/>
        <v>-0.34453219183792022</v>
      </c>
    </row>
    <row r="37" spans="1:26" s="24" customFormat="1" hidden="1" outlineLevel="2" x14ac:dyDescent="0.25">
      <c r="A37" s="25"/>
      <c r="B37" s="11" t="str">
        <f>CONCATENATE("          ", "6117", " - ", "RETIREMENT STAFF HOURLY")</f>
        <v xml:space="preserve">          6117 - RETIREMENT STAFF HOURLY</v>
      </c>
      <c r="C37" s="11"/>
      <c r="D37" s="6">
        <v>1420.55</v>
      </c>
      <c r="E37" s="2"/>
      <c r="F37" s="7">
        <f t="shared" si="15"/>
        <v>8.2633003768874686E-3</v>
      </c>
      <c r="G37" s="2"/>
      <c r="H37" s="6">
        <v>1827.39</v>
      </c>
      <c r="I37" s="2"/>
      <c r="J37" s="7">
        <f t="shared" si="16"/>
        <v>1.0729812248924529E-3</v>
      </c>
      <c r="K37" s="2"/>
      <c r="L37" s="6">
        <f t="shared" si="17"/>
        <v>-406.84000000000015</v>
      </c>
      <c r="M37" s="2"/>
      <c r="N37" s="7">
        <f t="shared" si="18"/>
        <v>-0.22263446773814025</v>
      </c>
      <c r="O37" s="11"/>
      <c r="P37" s="6">
        <v>7686.86</v>
      </c>
      <c r="Q37" s="2"/>
      <c r="R37" s="7">
        <f t="shared" si="19"/>
        <v>1.1413897973870738E-2</v>
      </c>
      <c r="S37" s="2"/>
      <c r="T37" s="6">
        <v>8572.41</v>
      </c>
      <c r="U37" s="2"/>
      <c r="V37" s="7">
        <f t="shared" si="20"/>
        <v>1.0769265430699048E-3</v>
      </c>
      <c r="W37" s="2"/>
      <c r="X37" s="6">
        <f t="shared" si="21"/>
        <v>-885.55000000000018</v>
      </c>
      <c r="Y37" s="2"/>
      <c r="Z37" s="7">
        <f t="shared" si="22"/>
        <v>-0.10330233854890283</v>
      </c>
    </row>
    <row r="38" spans="1:26" s="24" customFormat="1" hidden="1" outlineLevel="2" x14ac:dyDescent="0.25">
      <c r="A38" s="25"/>
      <c r="B38" s="11" t="str">
        <f>CONCATENATE("          ", "6118", " - ", "VACATION")</f>
        <v xml:space="preserve">          6118 - VACATION</v>
      </c>
      <c r="C38" s="11"/>
      <c r="D38" s="6">
        <v>8977.98</v>
      </c>
      <c r="E38" s="2"/>
      <c r="F38" s="7">
        <f t="shared" si="15"/>
        <v>5.2224663347075539E-2</v>
      </c>
      <c r="G38" s="2"/>
      <c r="H38" s="6">
        <v>13962.54</v>
      </c>
      <c r="I38" s="2"/>
      <c r="J38" s="7">
        <f t="shared" si="16"/>
        <v>8.1983283654884116E-3</v>
      </c>
      <c r="K38" s="2"/>
      <c r="L38" s="6">
        <f t="shared" si="17"/>
        <v>-4984.5600000000013</v>
      </c>
      <c r="M38" s="2"/>
      <c r="N38" s="7">
        <f t="shared" si="18"/>
        <v>-0.35699521720260075</v>
      </c>
      <c r="O38" s="11"/>
      <c r="P38" s="6">
        <v>47308.18</v>
      </c>
      <c r="Q38" s="2"/>
      <c r="R38" s="7">
        <f t="shared" si="19"/>
        <v>7.0245944358231088E-2</v>
      </c>
      <c r="S38" s="2"/>
      <c r="T38" s="6">
        <v>84409.22</v>
      </c>
      <c r="U38" s="2"/>
      <c r="V38" s="7">
        <f t="shared" si="20"/>
        <v>1.0604080940812102E-2</v>
      </c>
      <c r="W38" s="2"/>
      <c r="X38" s="6">
        <f t="shared" si="21"/>
        <v>-37101.040000000001</v>
      </c>
      <c r="Y38" s="2"/>
      <c r="Z38" s="7">
        <f t="shared" si="22"/>
        <v>-0.43953776613502649</v>
      </c>
    </row>
    <row r="39" spans="1:26" s="24" customFormat="1" hidden="1" outlineLevel="2" x14ac:dyDescent="0.25">
      <c r="A39" s="25"/>
      <c r="B39" s="11" t="str">
        <f>CONCATENATE("          ", "6119", " - ", "SICK LEAVE")</f>
        <v xml:space="preserve">          6119 - SICK LEAVE</v>
      </c>
      <c r="C39" s="11"/>
      <c r="D39" s="6">
        <v>5575.88</v>
      </c>
      <c r="E39" s="2"/>
      <c r="F39" s="7">
        <f t="shared" si="15"/>
        <v>3.2434740984463271E-2</v>
      </c>
      <c r="G39" s="2"/>
      <c r="H39" s="6">
        <v>9960.64</v>
      </c>
      <c r="I39" s="2"/>
      <c r="J39" s="7">
        <f t="shared" si="16"/>
        <v>5.8485488636321531E-3</v>
      </c>
      <c r="K39" s="2"/>
      <c r="L39" s="6">
        <f t="shared" si="17"/>
        <v>-4384.7599999999993</v>
      </c>
      <c r="M39" s="2"/>
      <c r="N39" s="7">
        <f t="shared" si="18"/>
        <v>-0.44020866129084069</v>
      </c>
      <c r="O39" s="11"/>
      <c r="P39" s="6">
        <v>30447.91</v>
      </c>
      <c r="Q39" s="2"/>
      <c r="R39" s="7">
        <f t="shared" si="19"/>
        <v>4.5210832284911996E-2</v>
      </c>
      <c r="S39" s="2"/>
      <c r="T39" s="6">
        <v>83883.75</v>
      </c>
      <c r="U39" s="2"/>
      <c r="V39" s="7">
        <f t="shared" si="20"/>
        <v>1.0538067697093364E-2</v>
      </c>
      <c r="W39" s="2"/>
      <c r="X39" s="6">
        <f t="shared" si="21"/>
        <v>-53435.839999999997</v>
      </c>
      <c r="Y39" s="2"/>
      <c r="Z39" s="7">
        <f t="shared" si="22"/>
        <v>-0.63702254608312092</v>
      </c>
    </row>
    <row r="40" spans="1:26" s="24" customFormat="1" hidden="1" outlineLevel="2" x14ac:dyDescent="0.25">
      <c r="A40" s="25"/>
      <c r="B40" s="11" t="str">
        <f>CONCATENATE("          ", "6156", " - ", "EMPLOYEE MEALS")</f>
        <v xml:space="preserve">          6156 - EMPLOYEE MEALS</v>
      </c>
      <c r="C40" s="11"/>
      <c r="D40" s="6">
        <v>3386.26</v>
      </c>
      <c r="E40" s="2"/>
      <c r="F40" s="7">
        <f t="shared" si="15"/>
        <v>1.9697781517186274E-2</v>
      </c>
      <c r="G40" s="2"/>
      <c r="H40" s="6">
        <v>6420.86</v>
      </c>
      <c r="I40" s="2"/>
      <c r="J40" s="7">
        <f t="shared" si="16"/>
        <v>3.7701105005844148E-3</v>
      </c>
      <c r="K40" s="2"/>
      <c r="L40" s="6">
        <f t="shared" si="17"/>
        <v>-3034.5999999999995</v>
      </c>
      <c r="M40" s="2"/>
      <c r="N40" s="7">
        <f t="shared" si="18"/>
        <v>-0.4726158178187968</v>
      </c>
      <c r="O40" s="11"/>
      <c r="P40" s="6">
        <v>16073.929999999998</v>
      </c>
      <c r="Q40" s="2"/>
      <c r="R40" s="7">
        <f t="shared" si="19"/>
        <v>2.3867508587269715E-2</v>
      </c>
      <c r="S40" s="2"/>
      <c r="T40" s="6">
        <v>30675.809999999998</v>
      </c>
      <c r="U40" s="2"/>
      <c r="V40" s="7">
        <f t="shared" si="20"/>
        <v>3.8537113856160887E-3</v>
      </c>
      <c r="W40" s="2"/>
      <c r="X40" s="6">
        <f t="shared" si="21"/>
        <v>-14601.88</v>
      </c>
      <c r="Y40" s="2"/>
      <c r="Z40" s="7">
        <f t="shared" si="22"/>
        <v>-0.47600633854493168</v>
      </c>
    </row>
    <row r="41" spans="1:26" s="26" customFormat="1" outlineLevel="1" collapsed="1" x14ac:dyDescent="0.25">
      <c r="A41" s="27"/>
      <c r="B41" s="13" t="str">
        <f>CONCATENATE("     ","*Payroll                                          ")</f>
        <v xml:space="preserve">     *Payroll                                          </v>
      </c>
      <c r="C41" s="13"/>
      <c r="D41" s="1">
        <f>SUM(OSRRefD22_1x_0)</f>
        <v>135166.41</v>
      </c>
      <c r="E41" s="1"/>
      <c r="F41" s="5">
        <f t="shared" ref="F41:F48" si="23">IF(D$12=0,0,D41/D$12)</f>
        <v>0.78625929864878119</v>
      </c>
      <c r="G41" s="1"/>
      <c r="H41" s="1">
        <f>SUM(OSRRefH22_1x_0)</f>
        <v>473078.6</v>
      </c>
      <c r="I41" s="1"/>
      <c r="J41" s="5">
        <f t="shared" ref="J41:J48" si="24">IF(H$12=0,0,H41/H$12)</f>
        <v>0.27777565582519698</v>
      </c>
      <c r="K41" s="1"/>
      <c r="L41" s="1">
        <f t="shared" ref="L41:L48" si="25">+D41-H41</f>
        <v>-337912.18999999994</v>
      </c>
      <c r="M41" s="1"/>
      <c r="N41" s="5">
        <f t="shared" ref="N41:N48" si="26">IF(H41=0,0,L41/H41)</f>
        <v>-0.71428339814990571</v>
      </c>
      <c r="O41" s="13"/>
      <c r="P41" s="1">
        <f>SUM(OSRRefP22_1x_0)</f>
        <v>702423.61</v>
      </c>
      <c r="Q41" s="1"/>
      <c r="R41" s="5">
        <f t="shared" ref="R41:R48" si="27">IF(P$12=0,0,P41/P$12)</f>
        <v>1.0429995367390548</v>
      </c>
      <c r="S41" s="1"/>
      <c r="T41" s="1">
        <f>SUM(OSRRefT22_1x_0)</f>
        <v>2411646.5</v>
      </c>
      <c r="U41" s="1"/>
      <c r="V41" s="5">
        <f t="shared" ref="V41:V48" si="28">IF(T$12=0,0,T41/T$12)</f>
        <v>0.30296802513547944</v>
      </c>
      <c r="W41" s="1"/>
      <c r="X41" s="1">
        <f t="shared" ref="X41:X48" si="29">+P41-T41</f>
        <v>-1709222.8900000001</v>
      </c>
      <c r="Y41" s="1"/>
      <c r="Z41" s="5">
        <f t="shared" ref="Z41:Z48" si="30">IF(T41=0,0,X41/T41)</f>
        <v>-0.7087369106541942</v>
      </c>
    </row>
    <row r="42" spans="1:26" s="24" customFormat="1" hidden="1" outlineLevel="2" x14ac:dyDescent="0.25">
      <c r="A42" s="25"/>
      <c r="B42" s="11" t="str">
        <f>CONCATENATE("          ", "6001", " - ", "ADMINISTRATIVE SALARIES")</f>
        <v xml:space="preserve">          6001 - ADMINISTRATIVE SALARIES</v>
      </c>
      <c r="C42" s="11"/>
      <c r="D42" s="6">
        <v>18473.91</v>
      </c>
      <c r="E42" s="2"/>
      <c r="F42" s="7">
        <f t="shared" si="23"/>
        <v>0.10746222763407495</v>
      </c>
      <c r="G42" s="2"/>
      <c r="H42" s="6">
        <v>24631.070000000003</v>
      </c>
      <c r="I42" s="2"/>
      <c r="J42" s="7">
        <f t="shared" si="24"/>
        <v>1.4462526148775986E-2</v>
      </c>
      <c r="K42" s="2"/>
      <c r="L42" s="6">
        <f t="shared" si="25"/>
        <v>-6157.1600000000035</v>
      </c>
      <c r="M42" s="2"/>
      <c r="N42" s="7">
        <f t="shared" si="26"/>
        <v>-0.24997533602884497</v>
      </c>
      <c r="O42" s="11"/>
      <c r="P42" s="6">
        <v>99070.05</v>
      </c>
      <c r="Q42" s="2"/>
      <c r="R42" s="7">
        <f t="shared" si="27"/>
        <v>0.14710498733764799</v>
      </c>
      <c r="S42" s="2"/>
      <c r="T42" s="6">
        <v>125023.79</v>
      </c>
      <c r="U42" s="2"/>
      <c r="V42" s="7">
        <f t="shared" si="28"/>
        <v>1.5706369383428665E-2</v>
      </c>
      <c r="W42" s="2"/>
      <c r="X42" s="6">
        <f t="shared" si="29"/>
        <v>-25953.739999999991</v>
      </c>
      <c r="Y42" s="2"/>
      <c r="Z42" s="7">
        <f t="shared" si="30"/>
        <v>-0.20759041139290363</v>
      </c>
    </row>
    <row r="43" spans="1:26" s="24" customFormat="1" hidden="1" outlineLevel="2" x14ac:dyDescent="0.25">
      <c r="A43" s="25"/>
      <c r="B43" s="11" t="str">
        <f>CONCATENATE("          ", "6002", " - ", "STAFF SALARIES")</f>
        <v xml:space="preserve">          6002 - STAFF SALARIES</v>
      </c>
      <c r="C43" s="11"/>
      <c r="D43" s="6">
        <v>36179.25</v>
      </c>
      <c r="E43" s="2"/>
      <c r="F43" s="7">
        <f t="shared" si="23"/>
        <v>0.21045370466404278</v>
      </c>
      <c r="G43" s="2"/>
      <c r="H43" s="6">
        <v>97163.4</v>
      </c>
      <c r="I43" s="2"/>
      <c r="J43" s="7">
        <f t="shared" si="24"/>
        <v>5.705104216763545E-2</v>
      </c>
      <c r="K43" s="2"/>
      <c r="L43" s="6">
        <f t="shared" si="25"/>
        <v>-60984.149999999994</v>
      </c>
      <c r="M43" s="2"/>
      <c r="N43" s="7">
        <f t="shared" si="26"/>
        <v>-0.62764528618800908</v>
      </c>
      <c r="O43" s="11"/>
      <c r="P43" s="6">
        <v>225273.7</v>
      </c>
      <c r="Q43" s="2"/>
      <c r="R43" s="7">
        <f t="shared" si="27"/>
        <v>0.3344995262039851</v>
      </c>
      <c r="S43" s="2"/>
      <c r="T43" s="6">
        <v>501792.26</v>
      </c>
      <c r="U43" s="2"/>
      <c r="V43" s="7">
        <f t="shared" si="28"/>
        <v>6.3038679193019795E-2</v>
      </c>
      <c r="W43" s="2"/>
      <c r="X43" s="6">
        <f t="shared" si="29"/>
        <v>-276518.56</v>
      </c>
      <c r="Y43" s="2"/>
      <c r="Z43" s="7">
        <f t="shared" si="30"/>
        <v>-0.55106182785681068</v>
      </c>
    </row>
    <row r="44" spans="1:26" s="24" customFormat="1" hidden="1" outlineLevel="2" x14ac:dyDescent="0.25">
      <c r="A44" s="25"/>
      <c r="B44" s="11" t="str">
        <f>CONCATENATE("          ", "6004", " - ", "STAFF HOURLY")</f>
        <v xml:space="preserve">          6004 - STAFF HOURLY</v>
      </c>
      <c r="C44" s="11"/>
      <c r="D44" s="6">
        <v>50265.4</v>
      </c>
      <c r="E44" s="2"/>
      <c r="F44" s="7">
        <f t="shared" si="23"/>
        <v>0.2923924527573119</v>
      </c>
      <c r="G44" s="2"/>
      <c r="H44" s="6">
        <v>82178.179999999993</v>
      </c>
      <c r="I44" s="2"/>
      <c r="J44" s="7">
        <f t="shared" si="24"/>
        <v>4.8252230906282979E-2</v>
      </c>
      <c r="K44" s="2"/>
      <c r="L44" s="6">
        <f t="shared" si="25"/>
        <v>-31912.779999999992</v>
      </c>
      <c r="M44" s="2"/>
      <c r="N44" s="7">
        <f t="shared" si="26"/>
        <v>-0.38833641728254381</v>
      </c>
      <c r="O44" s="11"/>
      <c r="P44" s="6">
        <v>256960.39</v>
      </c>
      <c r="Q44" s="2"/>
      <c r="R44" s="7">
        <f t="shared" si="27"/>
        <v>0.38154977127019812</v>
      </c>
      <c r="S44" s="2"/>
      <c r="T44" s="6">
        <v>407808.54</v>
      </c>
      <c r="U44" s="2"/>
      <c r="V44" s="7">
        <f t="shared" si="28"/>
        <v>5.1231782102884128E-2</v>
      </c>
      <c r="W44" s="2"/>
      <c r="X44" s="6">
        <f t="shared" si="29"/>
        <v>-150848.14999999997</v>
      </c>
      <c r="Y44" s="2"/>
      <c r="Z44" s="7">
        <f t="shared" si="30"/>
        <v>-0.36989943859439522</v>
      </c>
    </row>
    <row r="45" spans="1:26" s="24" customFormat="1" hidden="1" outlineLevel="2" x14ac:dyDescent="0.25">
      <c r="A45" s="25"/>
      <c r="B45" s="11" t="str">
        <f>CONCATENATE("          ", "6005", " - ", "TEMPORARY WAGES-HOURLY")</f>
        <v xml:space="preserve">          6005 - TEMPORARY WAGES-HOURLY</v>
      </c>
      <c r="C45" s="11"/>
      <c r="D45" s="6">
        <v>13195.5</v>
      </c>
      <c r="E45" s="2"/>
      <c r="F45" s="7">
        <f t="shared" si="23"/>
        <v>7.6757861478454537E-2</v>
      </c>
      <c r="G45" s="2"/>
      <c r="H45" s="6">
        <v>90093.29</v>
      </c>
      <c r="I45" s="2"/>
      <c r="J45" s="7">
        <f t="shared" si="24"/>
        <v>5.2899714159971849E-2</v>
      </c>
      <c r="K45" s="2"/>
      <c r="L45" s="6">
        <f t="shared" si="25"/>
        <v>-76897.789999999994</v>
      </c>
      <c r="M45" s="2"/>
      <c r="N45" s="7">
        <f t="shared" si="26"/>
        <v>-0.85353515228492594</v>
      </c>
      <c r="O45" s="11"/>
      <c r="P45" s="6">
        <v>53045.939999999995</v>
      </c>
      <c r="Q45" s="2"/>
      <c r="R45" s="7">
        <f t="shared" si="27"/>
        <v>7.8765704993725497E-2</v>
      </c>
      <c r="S45" s="2"/>
      <c r="T45" s="6">
        <v>476600.38999999996</v>
      </c>
      <c r="U45" s="2"/>
      <c r="V45" s="7">
        <f t="shared" si="28"/>
        <v>5.9873898988553789E-2</v>
      </c>
      <c r="W45" s="2"/>
      <c r="X45" s="6">
        <f t="shared" si="29"/>
        <v>-423554.44999999995</v>
      </c>
      <c r="Y45" s="2"/>
      <c r="Z45" s="7">
        <f t="shared" si="30"/>
        <v>-0.88869933572651927</v>
      </c>
    </row>
    <row r="46" spans="1:26" s="24" customFormat="1" hidden="1" outlineLevel="2" x14ac:dyDescent="0.25">
      <c r="A46" s="25"/>
      <c r="B46" s="11" t="str">
        <f>CONCATENATE("          ", "6006", " - ", "TEMPORARY PART TIME")</f>
        <v xml:space="preserve">          6006 - TEMPORARY PART TIME</v>
      </c>
      <c r="C46" s="11"/>
      <c r="D46" s="6"/>
      <c r="E46" s="2"/>
      <c r="F46" s="7">
        <f t="shared" si="23"/>
        <v>0</v>
      </c>
      <c r="G46" s="2"/>
      <c r="H46" s="6">
        <v>4423</v>
      </c>
      <c r="I46" s="2"/>
      <c r="J46" s="7">
        <f t="shared" si="24"/>
        <v>2.5970350925086155E-3</v>
      </c>
      <c r="K46" s="2"/>
      <c r="L46" s="6">
        <f t="shared" si="25"/>
        <v>-4423</v>
      </c>
      <c r="M46" s="2"/>
      <c r="N46" s="7">
        <f t="shared" si="26"/>
        <v>-1</v>
      </c>
      <c r="O46" s="11"/>
      <c r="P46" s="6"/>
      <c r="Q46" s="2"/>
      <c r="R46" s="7">
        <f t="shared" si="27"/>
        <v>0</v>
      </c>
      <c r="S46" s="2"/>
      <c r="T46" s="6">
        <v>37412.19</v>
      </c>
      <c r="U46" s="2"/>
      <c r="V46" s="7">
        <f t="shared" si="28"/>
        <v>4.6999829039178556E-3</v>
      </c>
      <c r="W46" s="2"/>
      <c r="X46" s="6">
        <f t="shared" si="29"/>
        <v>-37412.19</v>
      </c>
      <c r="Y46" s="2"/>
      <c r="Z46" s="7">
        <f t="shared" si="30"/>
        <v>-1</v>
      </c>
    </row>
    <row r="47" spans="1:26" s="24" customFormat="1" hidden="1" outlineLevel="2" x14ac:dyDescent="0.25">
      <c r="A47" s="25"/>
      <c r="B47" s="11" t="str">
        <f>CONCATENATE("          ", "6007", " - ", "STUDENT HOURLY")</f>
        <v xml:space="preserve">          6007 - STUDENT HOURLY</v>
      </c>
      <c r="C47" s="11"/>
      <c r="D47" s="6">
        <v>15212.46</v>
      </c>
      <c r="E47" s="2"/>
      <c r="F47" s="7">
        <f t="shared" si="23"/>
        <v>8.8490462462697927E-2</v>
      </c>
      <c r="G47" s="2"/>
      <c r="H47" s="6">
        <v>150160.37</v>
      </c>
      <c r="I47" s="2"/>
      <c r="J47" s="7">
        <f t="shared" si="24"/>
        <v>8.8169059551001114E-2</v>
      </c>
      <c r="K47" s="2"/>
      <c r="L47" s="6">
        <f t="shared" si="25"/>
        <v>-134947.91</v>
      </c>
      <c r="M47" s="2"/>
      <c r="N47" s="7">
        <f t="shared" si="26"/>
        <v>-0.89869191185397324</v>
      </c>
      <c r="O47" s="11"/>
      <c r="P47" s="6">
        <v>58538.68</v>
      </c>
      <c r="Q47" s="2"/>
      <c r="R47" s="7">
        <f t="shared" si="27"/>
        <v>8.6921645645304788E-2</v>
      </c>
      <c r="S47" s="2"/>
      <c r="T47" s="6">
        <v>744182.57000000007</v>
      </c>
      <c r="U47" s="2"/>
      <c r="V47" s="7">
        <f t="shared" si="28"/>
        <v>9.3489457751434829E-2</v>
      </c>
      <c r="W47" s="2"/>
      <c r="X47" s="6">
        <f t="shared" si="29"/>
        <v>-685643.89</v>
      </c>
      <c r="Y47" s="2"/>
      <c r="Z47" s="7">
        <f t="shared" si="30"/>
        <v>-0.92133828127686457</v>
      </c>
    </row>
    <row r="48" spans="1:26" s="24" customFormat="1" hidden="1" outlineLevel="2" x14ac:dyDescent="0.25">
      <c r="A48" s="25"/>
      <c r="B48" s="11" t="str">
        <f>CONCATENATE("          ", "6008", " - ", "STUDENT HOURLY-FICA EXEMPT")</f>
        <v xml:space="preserve">          6008 - STUDENT HOURLY-FICA EXEMPT</v>
      </c>
      <c r="C48" s="11"/>
      <c r="D48" s="6">
        <v>1839.89</v>
      </c>
      <c r="E48" s="2"/>
      <c r="F48" s="7">
        <f t="shared" si="23"/>
        <v>1.0702589652199139E-2</v>
      </c>
      <c r="G48" s="2"/>
      <c r="H48" s="6">
        <v>24429.289999999997</v>
      </c>
      <c r="I48" s="2"/>
      <c r="J48" s="7">
        <f t="shared" si="24"/>
        <v>1.4344047799020978E-2</v>
      </c>
      <c r="K48" s="2"/>
      <c r="L48" s="6">
        <f t="shared" si="25"/>
        <v>-22589.399999999998</v>
      </c>
      <c r="M48" s="2"/>
      <c r="N48" s="7">
        <f t="shared" si="26"/>
        <v>-0.92468508090083668</v>
      </c>
      <c r="O48" s="11"/>
      <c r="P48" s="6">
        <v>9534.85</v>
      </c>
      <c r="Q48" s="2"/>
      <c r="R48" s="7">
        <f t="shared" si="27"/>
        <v>1.4157901288193284E-2</v>
      </c>
      <c r="S48" s="2"/>
      <c r="T48" s="6">
        <v>118826.76</v>
      </c>
      <c r="U48" s="2"/>
      <c r="V48" s="7">
        <f t="shared" si="28"/>
        <v>1.4927854812240342E-2</v>
      </c>
      <c r="W48" s="2"/>
      <c r="X48" s="6">
        <f t="shared" si="29"/>
        <v>-109291.90999999999</v>
      </c>
      <c r="Y48" s="2"/>
      <c r="Z48" s="7">
        <f t="shared" si="30"/>
        <v>-0.9197583944895914</v>
      </c>
    </row>
    <row r="49" spans="1:26" s="26" customFormat="1" outlineLevel="1" collapsed="1" x14ac:dyDescent="0.25">
      <c r="A49" s="27"/>
      <c r="B49" s="13" t="str">
        <f>CONCATENATE("     ","Advertising/Promo                                 ")</f>
        <v xml:space="preserve">     Advertising/Promo                                 </v>
      </c>
      <c r="C49" s="13"/>
      <c r="D49" s="1">
        <f>SUM(OSRRefD22_2x_0)</f>
        <v>15.9</v>
      </c>
      <c r="E49" s="1"/>
      <c r="F49" s="5">
        <f t="shared" ref="F49:F58" si="31">IF(D$12=0,0,D49/D$12)</f>
        <v>9.2489863779881567E-5</v>
      </c>
      <c r="G49" s="1"/>
      <c r="H49" s="1">
        <f>SUM(OSRRefH22_2x_0)</f>
        <v>4535.22</v>
      </c>
      <c r="I49" s="1"/>
      <c r="J49" s="5">
        <f t="shared" ref="J49:J58" si="32">IF(H$12=0,0,H49/H$12)</f>
        <v>2.6629268578446581E-3</v>
      </c>
      <c r="K49" s="1"/>
      <c r="L49" s="1">
        <f t="shared" ref="L49:L58" si="33">+D49-H49</f>
        <v>-4519.3200000000006</v>
      </c>
      <c r="M49" s="1"/>
      <c r="N49" s="5">
        <f t="shared" ref="N49:N58" si="34">IF(H49=0,0,L49/H49)</f>
        <v>-0.99649410612936096</v>
      </c>
      <c r="O49" s="13"/>
      <c r="P49" s="1">
        <f>SUM(OSRRefP22_2x_0)</f>
        <v>1555.53</v>
      </c>
      <c r="Q49" s="1"/>
      <c r="R49" s="5">
        <f t="shared" ref="R49:R58" si="35">IF(P$12=0,0,P49/P$12)</f>
        <v>2.3097416520263345E-3</v>
      </c>
      <c r="S49" s="1"/>
      <c r="T49" s="1">
        <f>SUM(OSRRefT22_2x_0)</f>
        <v>24865.8</v>
      </c>
      <c r="U49" s="1"/>
      <c r="V49" s="5">
        <f t="shared" ref="V49:V58" si="36">IF(T$12=0,0,T49/T$12)</f>
        <v>3.1238169936654496E-3</v>
      </c>
      <c r="W49" s="1"/>
      <c r="X49" s="1">
        <f t="shared" ref="X49:X58" si="37">+P49-T49</f>
        <v>-23310.27</v>
      </c>
      <c r="Y49" s="1"/>
      <c r="Z49" s="5">
        <f t="shared" ref="Z49:Z58" si="38">IF(T49=0,0,X49/T49)</f>
        <v>-0.9374429939917478</v>
      </c>
    </row>
    <row r="50" spans="1:26" s="24" customFormat="1" hidden="1" outlineLevel="2" x14ac:dyDescent="0.25">
      <c r="A50" s="25"/>
      <c r="B50" s="11" t="str">
        <f>CONCATENATE("          ", "6362", " - ", "ADVERTISING EXPENSE")</f>
        <v xml:space="preserve">          6362 - ADVERTISING EXPENSE</v>
      </c>
      <c r="C50" s="11"/>
      <c r="D50" s="6">
        <v>15.9</v>
      </c>
      <c r="E50" s="2"/>
      <c r="F50" s="7">
        <f t="shared" si="31"/>
        <v>9.2489863779881567E-5</v>
      </c>
      <c r="G50" s="2"/>
      <c r="H50" s="6">
        <v>4535.22</v>
      </c>
      <c r="I50" s="2"/>
      <c r="J50" s="7">
        <f t="shared" si="32"/>
        <v>2.6629268578446581E-3</v>
      </c>
      <c r="K50" s="2"/>
      <c r="L50" s="6">
        <f t="shared" si="33"/>
        <v>-4519.3200000000006</v>
      </c>
      <c r="M50" s="2"/>
      <c r="N50" s="7">
        <f t="shared" si="34"/>
        <v>-0.99649410612936096</v>
      </c>
      <c r="O50" s="11"/>
      <c r="P50" s="6">
        <v>1555.53</v>
      </c>
      <c r="Q50" s="2"/>
      <c r="R50" s="7">
        <f t="shared" si="35"/>
        <v>2.3097416520263345E-3</v>
      </c>
      <c r="S50" s="2"/>
      <c r="T50" s="6">
        <v>24865.8</v>
      </c>
      <c r="U50" s="2"/>
      <c r="V50" s="7">
        <f t="shared" si="36"/>
        <v>3.1238169936654496E-3</v>
      </c>
      <c r="W50" s="2"/>
      <c r="X50" s="6">
        <f t="shared" si="37"/>
        <v>-23310.27</v>
      </c>
      <c r="Y50" s="2"/>
      <c r="Z50" s="7">
        <f t="shared" si="38"/>
        <v>-0.9374429939917478</v>
      </c>
    </row>
    <row r="51" spans="1:26" s="26" customFormat="1" outlineLevel="1" collapsed="1" x14ac:dyDescent="0.25">
      <c r="A51" s="27"/>
      <c r="B51" s="13" t="str">
        <f>CONCATENATE("     ","Bad Debts/Over/Short                              ")</f>
        <v xml:space="preserve">     Bad Debts/Over/Short                              </v>
      </c>
      <c r="C51" s="13"/>
      <c r="D51" s="1">
        <f>SUM(OSRRefD22_3x_0)</f>
        <v>-1331.23</v>
      </c>
      <c r="E51" s="1"/>
      <c r="F51" s="5">
        <f t="shared" si="31"/>
        <v>-7.743728387401996E-3</v>
      </c>
      <c r="G51" s="1"/>
      <c r="H51" s="1">
        <f>SUM(OSRRefH22_3x_0)</f>
        <v>8.52</v>
      </c>
      <c r="I51" s="1"/>
      <c r="J51" s="5">
        <f t="shared" si="32"/>
        <v>5.0026540782666519E-6</v>
      </c>
      <c r="K51" s="1"/>
      <c r="L51" s="1">
        <f t="shared" si="33"/>
        <v>-1339.75</v>
      </c>
      <c r="M51" s="1"/>
      <c r="N51" s="5">
        <f t="shared" si="34"/>
        <v>-157.24765258215965</v>
      </c>
      <c r="O51" s="13"/>
      <c r="P51" s="1">
        <f>SUM(OSRRefP22_3x_0)</f>
        <v>76.790000000000006</v>
      </c>
      <c r="Q51" s="1"/>
      <c r="R51" s="5">
        <f t="shared" si="35"/>
        <v>1.1402226987528512E-4</v>
      </c>
      <c r="S51" s="1"/>
      <c r="T51" s="1">
        <f>SUM(OSRRefT22_3x_0)</f>
        <v>8.2799999999999994</v>
      </c>
      <c r="U51" s="1"/>
      <c r="V51" s="5">
        <f t="shared" si="36"/>
        <v>1.040191938628555E-6</v>
      </c>
      <c r="W51" s="1"/>
      <c r="X51" s="1">
        <f t="shared" si="37"/>
        <v>68.510000000000005</v>
      </c>
      <c r="Y51" s="1"/>
      <c r="Z51" s="5">
        <f t="shared" si="38"/>
        <v>8.2741545893719817</v>
      </c>
    </row>
    <row r="52" spans="1:26" s="24" customFormat="1" hidden="1" outlineLevel="2" x14ac:dyDescent="0.25">
      <c r="A52" s="25"/>
      <c r="B52" s="11" t="str">
        <f>CONCATENATE("          ", "6272", " - ", "CASH (OVER/SHORT)")</f>
        <v xml:space="preserve">          6272 - CASH (OVER/SHORT)</v>
      </c>
      <c r="C52" s="11"/>
      <c r="D52" s="6">
        <v>-1331.23</v>
      </c>
      <c r="E52" s="2"/>
      <c r="F52" s="7">
        <f t="shared" si="31"/>
        <v>-7.743728387401996E-3</v>
      </c>
      <c r="G52" s="2"/>
      <c r="H52" s="6">
        <v>8.52</v>
      </c>
      <c r="I52" s="2"/>
      <c r="J52" s="7">
        <f t="shared" si="32"/>
        <v>5.0026540782666519E-6</v>
      </c>
      <c r="K52" s="2"/>
      <c r="L52" s="6">
        <f t="shared" si="33"/>
        <v>-1339.75</v>
      </c>
      <c r="M52" s="2"/>
      <c r="N52" s="7">
        <f t="shared" si="34"/>
        <v>-157.24765258215965</v>
      </c>
      <c r="O52" s="11"/>
      <c r="P52" s="6">
        <v>76.790000000000006</v>
      </c>
      <c r="Q52" s="2"/>
      <c r="R52" s="7">
        <f t="shared" si="35"/>
        <v>1.1402226987528512E-4</v>
      </c>
      <c r="S52" s="2"/>
      <c r="T52" s="6">
        <v>8.2799999999999994</v>
      </c>
      <c r="U52" s="2"/>
      <c r="V52" s="7">
        <f t="shared" si="36"/>
        <v>1.040191938628555E-6</v>
      </c>
      <c r="W52" s="2"/>
      <c r="X52" s="6">
        <f t="shared" si="37"/>
        <v>68.510000000000005</v>
      </c>
      <c r="Y52" s="2"/>
      <c r="Z52" s="7">
        <f t="shared" si="38"/>
        <v>8.2741545893719817</v>
      </c>
    </row>
    <row r="53" spans="1:26" s="26" customFormat="1" outlineLevel="1" collapsed="1" x14ac:dyDescent="0.25">
      <c r="A53" s="27"/>
      <c r="B53" s="13" t="str">
        <f>CONCATENATE("     ","Bank/card Fees                                    ")</f>
        <v xml:space="preserve">     Bank/card Fees                                    </v>
      </c>
      <c r="C53" s="13"/>
      <c r="D53" s="1">
        <f>SUM(OSRRefD22_4x_0)</f>
        <v>757.56</v>
      </c>
      <c r="E53" s="1"/>
      <c r="F53" s="5">
        <f t="shared" si="31"/>
        <v>4.4067057361689985E-3</v>
      </c>
      <c r="G53" s="1"/>
      <c r="H53" s="1">
        <f>SUM(OSRRefH22_4x_0)</f>
        <v>16268.92</v>
      </c>
      <c r="I53" s="1"/>
      <c r="J53" s="5">
        <f t="shared" si="32"/>
        <v>9.5525562191307398E-3</v>
      </c>
      <c r="K53" s="1"/>
      <c r="L53" s="1">
        <f t="shared" si="33"/>
        <v>-15511.36</v>
      </c>
      <c r="M53" s="1"/>
      <c r="N53" s="5">
        <f t="shared" si="34"/>
        <v>-0.95343513890288967</v>
      </c>
      <c r="O53" s="13"/>
      <c r="P53" s="1">
        <f>SUM(OSRRefP22_4x_0)</f>
        <v>2625.37</v>
      </c>
      <c r="Q53" s="1"/>
      <c r="R53" s="5">
        <f t="shared" si="35"/>
        <v>3.8983024698851054E-3</v>
      </c>
      <c r="S53" s="1"/>
      <c r="T53" s="1">
        <f>SUM(OSRRefT22_4x_0)</f>
        <v>80919.520000000004</v>
      </c>
      <c r="U53" s="1"/>
      <c r="V53" s="5">
        <f t="shared" si="36"/>
        <v>1.0165680239334798E-2</v>
      </c>
      <c r="W53" s="1"/>
      <c r="X53" s="1">
        <f t="shared" si="37"/>
        <v>-78294.150000000009</v>
      </c>
      <c r="Y53" s="1"/>
      <c r="Z53" s="5">
        <f t="shared" si="38"/>
        <v>-0.96755578876394721</v>
      </c>
    </row>
    <row r="54" spans="1:26" s="24" customFormat="1" hidden="1" outlineLevel="2" x14ac:dyDescent="0.25">
      <c r="A54" s="25"/>
      <c r="B54" s="11" t="str">
        <f>CONCATENATE("          ", "6381", " - ", "BANK/CREDIT CARD FEES")</f>
        <v xml:space="preserve">          6381 - BANK/CREDIT CARD FEES</v>
      </c>
      <c r="C54" s="11"/>
      <c r="D54" s="6">
        <v>757.56</v>
      </c>
      <c r="E54" s="2"/>
      <c r="F54" s="7">
        <f t="shared" si="31"/>
        <v>4.4067057361689985E-3</v>
      </c>
      <c r="G54" s="2"/>
      <c r="H54" s="6">
        <v>16268.92</v>
      </c>
      <c r="I54" s="2"/>
      <c r="J54" s="7">
        <f t="shared" si="32"/>
        <v>9.5525562191307398E-3</v>
      </c>
      <c r="K54" s="2"/>
      <c r="L54" s="6">
        <f t="shared" si="33"/>
        <v>-15511.36</v>
      </c>
      <c r="M54" s="2"/>
      <c r="N54" s="7">
        <f t="shared" si="34"/>
        <v>-0.95343513890288967</v>
      </c>
      <c r="O54" s="11"/>
      <c r="P54" s="6">
        <v>2625.37</v>
      </c>
      <c r="Q54" s="2"/>
      <c r="R54" s="7">
        <f t="shared" si="35"/>
        <v>3.8983024698851054E-3</v>
      </c>
      <c r="S54" s="2"/>
      <c r="T54" s="6">
        <v>80919.520000000004</v>
      </c>
      <c r="U54" s="2"/>
      <c r="V54" s="7">
        <f t="shared" si="36"/>
        <v>1.0165680239334798E-2</v>
      </c>
      <c r="W54" s="2"/>
      <c r="X54" s="6">
        <f t="shared" si="37"/>
        <v>-78294.150000000009</v>
      </c>
      <c r="Y54" s="2"/>
      <c r="Z54" s="7">
        <f t="shared" si="38"/>
        <v>-0.96755578876394721</v>
      </c>
    </row>
    <row r="55" spans="1:26" s="26" customFormat="1" outlineLevel="1" collapsed="1" x14ac:dyDescent="0.25">
      <c r="A55" s="27"/>
      <c r="B55" s="13" t="str">
        <f>CONCATENATE("     ","Depreciation                                      ")</f>
        <v xml:space="preserve">     Depreciation                                      </v>
      </c>
      <c r="C55" s="13"/>
      <c r="D55" s="1">
        <f>SUM(OSRRefD22_5x_0)</f>
        <v>37479.259999999995</v>
      </c>
      <c r="E55" s="1"/>
      <c r="F55" s="5">
        <f t="shared" si="31"/>
        <v>0.21801582716797255</v>
      </c>
      <c r="G55" s="1"/>
      <c r="H55" s="1">
        <f>SUM(OSRRefH22_5x_0)</f>
        <v>39571.050000000003</v>
      </c>
      <c r="I55" s="1"/>
      <c r="J55" s="5">
        <f t="shared" si="32"/>
        <v>2.3234774021572022E-2</v>
      </c>
      <c r="K55" s="1"/>
      <c r="L55" s="1">
        <f t="shared" si="33"/>
        <v>-2091.7900000000081</v>
      </c>
      <c r="M55" s="1"/>
      <c r="N55" s="5">
        <f t="shared" si="34"/>
        <v>-5.2861624849479809E-2</v>
      </c>
      <c r="O55" s="13"/>
      <c r="P55" s="1">
        <f>SUM(OSRRefP22_5x_0)</f>
        <v>189691.38</v>
      </c>
      <c r="Q55" s="1"/>
      <c r="R55" s="5">
        <f t="shared" si="35"/>
        <v>0.28166482254688452</v>
      </c>
      <c r="S55" s="1"/>
      <c r="T55" s="1">
        <f>SUM(OSRRefT22_5x_0)</f>
        <v>197855.25</v>
      </c>
      <c r="U55" s="1"/>
      <c r="V55" s="5">
        <f t="shared" si="36"/>
        <v>2.485597053929196E-2</v>
      </c>
      <c r="W55" s="1"/>
      <c r="X55" s="1">
        <f t="shared" si="37"/>
        <v>-8163.8699999999953</v>
      </c>
      <c r="Y55" s="1"/>
      <c r="Z55" s="5">
        <f t="shared" si="38"/>
        <v>-4.1261831566258643E-2</v>
      </c>
    </row>
    <row r="56" spans="1:26" s="24" customFormat="1" hidden="1" outlineLevel="2" x14ac:dyDescent="0.25">
      <c r="A56" s="25"/>
      <c r="B56" s="11" t="str">
        <f>CONCATENATE("          ", "6321", " - ", "BUILDING DEPRECIATION")</f>
        <v xml:space="preserve">          6321 - BUILDING DEPRECIATION</v>
      </c>
      <c r="C56" s="11"/>
      <c r="D56" s="6">
        <v>23583.489999999998</v>
      </c>
      <c r="E56" s="2"/>
      <c r="F56" s="7">
        <f t="shared" si="31"/>
        <v>0.13718451431158485</v>
      </c>
      <c r="G56" s="2"/>
      <c r="H56" s="6">
        <v>24042.959999999999</v>
      </c>
      <c r="I56" s="2"/>
      <c r="J56" s="7">
        <f t="shared" si="32"/>
        <v>1.4117207969202111E-2</v>
      </c>
      <c r="K56" s="2"/>
      <c r="L56" s="6">
        <f t="shared" si="33"/>
        <v>-459.47000000000116</v>
      </c>
      <c r="M56" s="2"/>
      <c r="N56" s="7">
        <f t="shared" si="34"/>
        <v>-1.9110375760721689E-2</v>
      </c>
      <c r="O56" s="11"/>
      <c r="P56" s="6">
        <v>118701.64</v>
      </c>
      <c r="Q56" s="2"/>
      <c r="R56" s="7">
        <f t="shared" si="35"/>
        <v>0.17625511695167259</v>
      </c>
      <c r="S56" s="2"/>
      <c r="T56" s="6">
        <v>120214.79999999999</v>
      </c>
      <c r="U56" s="2"/>
      <c r="V56" s="7">
        <f t="shared" si="36"/>
        <v>1.5102230176792754E-2</v>
      </c>
      <c r="W56" s="2"/>
      <c r="X56" s="6">
        <f t="shared" si="37"/>
        <v>-1513.1599999999889</v>
      </c>
      <c r="Y56" s="2"/>
      <c r="Z56" s="7">
        <f t="shared" si="38"/>
        <v>-1.2587135693774719E-2</v>
      </c>
    </row>
    <row r="57" spans="1:26" s="24" customFormat="1" hidden="1" outlineLevel="2" x14ac:dyDescent="0.25">
      <c r="A57" s="25"/>
      <c r="B57" s="11" t="str">
        <f>CONCATENATE("          ", "6322", " - ", "EQUIPMENT DEPRECIATION EXPENSE")</f>
        <v xml:space="preserve">          6322 - EQUIPMENT DEPRECIATION EXPENSE</v>
      </c>
      <c r="C57" s="11"/>
      <c r="D57" s="6">
        <v>13895.77</v>
      </c>
      <c r="E57" s="2"/>
      <c r="F57" s="7">
        <f t="shared" si="31"/>
        <v>8.0831312856387727E-2</v>
      </c>
      <c r="G57" s="2"/>
      <c r="H57" s="6">
        <v>15103.84</v>
      </c>
      <c r="I57" s="2"/>
      <c r="J57" s="7">
        <f t="shared" si="32"/>
        <v>8.8684608889069236E-3</v>
      </c>
      <c r="K57" s="2"/>
      <c r="L57" s="6">
        <f t="shared" si="33"/>
        <v>-1208.0699999999997</v>
      </c>
      <c r="M57" s="2"/>
      <c r="N57" s="7">
        <f t="shared" si="34"/>
        <v>-7.9984295384484982E-2</v>
      </c>
      <c r="O57" s="11"/>
      <c r="P57" s="6">
        <v>70989.740000000005</v>
      </c>
      <c r="Q57" s="2"/>
      <c r="R57" s="7">
        <f t="shared" si="35"/>
        <v>0.10540970559521191</v>
      </c>
      <c r="S57" s="2"/>
      <c r="T57" s="6">
        <v>75519.199999999997</v>
      </c>
      <c r="U57" s="2"/>
      <c r="V57" s="7">
        <f t="shared" si="36"/>
        <v>9.4872539917484986E-3</v>
      </c>
      <c r="W57" s="2"/>
      <c r="X57" s="6">
        <f t="shared" si="37"/>
        <v>-4529.4599999999919</v>
      </c>
      <c r="Y57" s="2"/>
      <c r="Z57" s="7">
        <f t="shared" si="38"/>
        <v>-5.9977595101642918E-2</v>
      </c>
    </row>
    <row r="58" spans="1:26" s="24" customFormat="1" hidden="1" outlineLevel="2" x14ac:dyDescent="0.25">
      <c r="A58" s="25"/>
      <c r="B58" s="11" t="str">
        <f>CONCATENATE("          ", "6326", " - ", "VEHICLES DEPRECIATION EXPENSE")</f>
        <v xml:space="preserve">          6326 - VEHICLES DEPRECIATION EXPENSE</v>
      </c>
      <c r="C58" s="11"/>
      <c r="D58" s="6"/>
      <c r="E58" s="2"/>
      <c r="F58" s="7">
        <f t="shared" si="31"/>
        <v>0</v>
      </c>
      <c r="G58" s="2"/>
      <c r="H58" s="6">
        <v>424.25</v>
      </c>
      <c r="I58" s="2"/>
      <c r="J58" s="7">
        <f t="shared" si="32"/>
        <v>2.4910516346298442E-4</v>
      </c>
      <c r="K58" s="2"/>
      <c r="L58" s="6">
        <f t="shared" si="33"/>
        <v>-424.25</v>
      </c>
      <c r="M58" s="2"/>
      <c r="N58" s="7">
        <f t="shared" si="34"/>
        <v>-1</v>
      </c>
      <c r="O58" s="11"/>
      <c r="P58" s="6"/>
      <c r="Q58" s="2"/>
      <c r="R58" s="7">
        <f t="shared" si="35"/>
        <v>0</v>
      </c>
      <c r="S58" s="2"/>
      <c r="T58" s="6">
        <v>2121.25</v>
      </c>
      <c r="U58" s="2"/>
      <c r="V58" s="7">
        <f t="shared" si="36"/>
        <v>2.6648637075070316E-4</v>
      </c>
      <c r="W58" s="2"/>
      <c r="X58" s="6">
        <f t="shared" si="37"/>
        <v>-2121.25</v>
      </c>
      <c r="Y58" s="2"/>
      <c r="Z58" s="7">
        <f t="shared" si="38"/>
        <v>-1</v>
      </c>
    </row>
    <row r="59" spans="1:26" s="26" customFormat="1" outlineLevel="1" collapsed="1" x14ac:dyDescent="0.25">
      <c r="A59" s="27"/>
      <c r="B59" s="13" t="str">
        <f>CONCATENATE("     ","Donations                                         ")</f>
        <v xml:space="preserve">     Donations                                         </v>
      </c>
      <c r="C59" s="13"/>
      <c r="D59" s="1">
        <f>SUM(OSRRefD22_6x_0)</f>
        <v>7935.78</v>
      </c>
      <c r="E59" s="1"/>
      <c r="F59" s="5">
        <f t="shared" ref="F59:F69" si="39">IF(D$12=0,0,D59/D$12)</f>
        <v>4.6162214540069718E-2</v>
      </c>
      <c r="G59" s="1"/>
      <c r="H59" s="1">
        <f>SUM(OSRRefH22_6x_0)</f>
        <v>16127.990000000002</v>
      </c>
      <c r="I59" s="1"/>
      <c r="J59" s="5">
        <f t="shared" ref="J59:J69" si="40">IF(H$12=0,0,H59/H$12)</f>
        <v>9.4698069187492719E-3</v>
      </c>
      <c r="K59" s="1"/>
      <c r="L59" s="1">
        <f t="shared" ref="L59:L69" si="41">+D59-H59</f>
        <v>-8192.2100000000028</v>
      </c>
      <c r="M59" s="1"/>
      <c r="N59" s="5">
        <f t="shared" ref="N59:N69" si="42">IF(H59=0,0,L59/H59)</f>
        <v>-0.50794984371890128</v>
      </c>
      <c r="O59" s="13"/>
      <c r="P59" s="1">
        <f>SUM(OSRRefP22_6x_0)</f>
        <v>30155.96</v>
      </c>
      <c r="Q59" s="1"/>
      <c r="R59" s="5">
        <f t="shared" ref="R59:R69" si="43">IF(P$12=0,0,P59/P$12)</f>
        <v>4.4777327900355546E-2</v>
      </c>
      <c r="S59" s="1"/>
      <c r="T59" s="1">
        <f>SUM(OSRRefT22_6x_0)</f>
        <v>66407.42</v>
      </c>
      <c r="U59" s="1"/>
      <c r="V59" s="5">
        <f t="shared" ref="V59:V69" si="44">IF(T$12=0,0,T59/T$12)</f>
        <v>8.3425679890242362E-3</v>
      </c>
      <c r="W59" s="1"/>
      <c r="X59" s="1">
        <f t="shared" ref="X59:X69" si="45">+P59-T59</f>
        <v>-36251.46</v>
      </c>
      <c r="Y59" s="1"/>
      <c r="Z59" s="5">
        <f t="shared" ref="Z59:Z69" si="46">IF(T59=0,0,X59/T59)</f>
        <v>-0.54589472080077794</v>
      </c>
    </row>
    <row r="60" spans="1:26" s="24" customFormat="1" hidden="1" outlineLevel="2" x14ac:dyDescent="0.25">
      <c r="A60" s="25"/>
      <c r="B60" s="11" t="str">
        <f>CONCATENATE("          ", "6399", " - ", "DONATION-ON CAMPUS")</f>
        <v xml:space="preserve">          6399 - DONATION-ON CAMPUS</v>
      </c>
      <c r="C60" s="11"/>
      <c r="D60" s="6">
        <v>7935.78</v>
      </c>
      <c r="E60" s="2"/>
      <c r="F60" s="7">
        <f t="shared" si="39"/>
        <v>4.6162214540069718E-2</v>
      </c>
      <c r="G60" s="2"/>
      <c r="H60" s="6">
        <v>16127.990000000002</v>
      </c>
      <c r="I60" s="2"/>
      <c r="J60" s="7">
        <f t="shared" si="40"/>
        <v>9.4698069187492719E-3</v>
      </c>
      <c r="K60" s="2"/>
      <c r="L60" s="6">
        <f t="shared" si="41"/>
        <v>-8192.2100000000028</v>
      </c>
      <c r="M60" s="2"/>
      <c r="N60" s="7">
        <f t="shared" si="42"/>
        <v>-0.50794984371890128</v>
      </c>
      <c r="O60" s="11"/>
      <c r="P60" s="6">
        <v>30155.96</v>
      </c>
      <c r="Q60" s="2"/>
      <c r="R60" s="7">
        <f t="shared" si="43"/>
        <v>4.4777327900355546E-2</v>
      </c>
      <c r="S60" s="2"/>
      <c r="T60" s="6">
        <v>66407.42</v>
      </c>
      <c r="U60" s="2"/>
      <c r="V60" s="7">
        <f t="shared" si="44"/>
        <v>8.3425679890242362E-3</v>
      </c>
      <c r="W60" s="2"/>
      <c r="X60" s="6">
        <f t="shared" si="45"/>
        <v>-36251.46</v>
      </c>
      <c r="Y60" s="2"/>
      <c r="Z60" s="7">
        <f t="shared" si="46"/>
        <v>-0.54589472080077794</v>
      </c>
    </row>
    <row r="61" spans="1:26" s="26" customFormat="1" outlineLevel="1" collapsed="1" x14ac:dyDescent="0.25">
      <c r="A61" s="27"/>
      <c r="B61" s="13" t="str">
        <f>CONCATENATE("     ","Employees' Appreciation                           ")</f>
        <v xml:space="preserve">     Employees' Appreciation                           </v>
      </c>
      <c r="C61" s="13"/>
      <c r="D61" s="1">
        <f>SUM(OSRRefD22_7x_0)</f>
        <v>0</v>
      </c>
      <c r="E61" s="1"/>
      <c r="F61" s="5">
        <f t="shared" si="39"/>
        <v>0</v>
      </c>
      <c r="G61" s="1"/>
      <c r="H61" s="1">
        <f>SUM(OSRRefH22_7x_0)</f>
        <v>672.06</v>
      </c>
      <c r="I61" s="1"/>
      <c r="J61" s="5">
        <f t="shared" si="40"/>
        <v>3.9461076289200542E-4</v>
      </c>
      <c r="K61" s="1"/>
      <c r="L61" s="1">
        <f t="shared" si="41"/>
        <v>-672.06</v>
      </c>
      <c r="M61" s="1"/>
      <c r="N61" s="5">
        <f t="shared" si="42"/>
        <v>-1</v>
      </c>
      <c r="O61" s="13"/>
      <c r="P61" s="1">
        <f>SUM(OSRRefP22_7x_0)</f>
        <v>0</v>
      </c>
      <c r="Q61" s="1"/>
      <c r="R61" s="5">
        <f t="shared" si="43"/>
        <v>0</v>
      </c>
      <c r="S61" s="1"/>
      <c r="T61" s="1">
        <f>SUM(OSRRefT22_7x_0)</f>
        <v>2007.56</v>
      </c>
      <c r="U61" s="1"/>
      <c r="V61" s="5">
        <f t="shared" si="44"/>
        <v>2.5220383192187703E-4</v>
      </c>
      <c r="W61" s="1"/>
      <c r="X61" s="1">
        <f t="shared" si="45"/>
        <v>-2007.56</v>
      </c>
      <c r="Y61" s="1"/>
      <c r="Z61" s="5">
        <f t="shared" si="46"/>
        <v>-1</v>
      </c>
    </row>
    <row r="62" spans="1:26" s="24" customFormat="1" hidden="1" outlineLevel="2" x14ac:dyDescent="0.25">
      <c r="A62" s="25"/>
      <c r="B62" s="11" t="str">
        <f>CONCATENATE("          ", "6277", " - ", "EMPLOYEE APPRECIATION")</f>
        <v xml:space="preserve">          6277 - EMPLOYEE APPRECIATION</v>
      </c>
      <c r="C62" s="11"/>
      <c r="D62" s="6"/>
      <c r="E62" s="2"/>
      <c r="F62" s="7">
        <f t="shared" si="39"/>
        <v>0</v>
      </c>
      <c r="G62" s="2"/>
      <c r="H62" s="6">
        <v>672.06</v>
      </c>
      <c r="I62" s="2"/>
      <c r="J62" s="7">
        <f t="shared" si="40"/>
        <v>3.9461076289200542E-4</v>
      </c>
      <c r="K62" s="2"/>
      <c r="L62" s="6">
        <f t="shared" si="41"/>
        <v>-672.06</v>
      </c>
      <c r="M62" s="2"/>
      <c r="N62" s="7">
        <f t="shared" si="42"/>
        <v>-1</v>
      </c>
      <c r="O62" s="11"/>
      <c r="P62" s="6"/>
      <c r="Q62" s="2"/>
      <c r="R62" s="7">
        <f t="shared" si="43"/>
        <v>0</v>
      </c>
      <c r="S62" s="2"/>
      <c r="T62" s="6">
        <v>2007.56</v>
      </c>
      <c r="U62" s="2"/>
      <c r="V62" s="7">
        <f t="shared" si="44"/>
        <v>2.5220383192187703E-4</v>
      </c>
      <c r="W62" s="2"/>
      <c r="X62" s="6">
        <f t="shared" si="45"/>
        <v>-2007.56</v>
      </c>
      <c r="Y62" s="2"/>
      <c r="Z62" s="7">
        <f t="shared" si="46"/>
        <v>-1</v>
      </c>
    </row>
    <row r="63" spans="1:26" s="26" customFormat="1" outlineLevel="1" collapsed="1" x14ac:dyDescent="0.25">
      <c r="A63" s="27"/>
      <c r="B63" s="13" t="str">
        <f>CONCATENATE("     ","Equipment Rental                                  ")</f>
        <v xml:space="preserve">     Equipment Rental                                  </v>
      </c>
      <c r="C63" s="13"/>
      <c r="D63" s="1">
        <f>SUM(OSRRefD22_8x_0)</f>
        <v>1043.17</v>
      </c>
      <c r="E63" s="1"/>
      <c r="F63" s="5">
        <f t="shared" si="39"/>
        <v>6.0680912703936513E-3</v>
      </c>
      <c r="G63" s="1"/>
      <c r="H63" s="1">
        <f>SUM(OSRRefH22_8x_0)</f>
        <v>-290.35000000000002</v>
      </c>
      <c r="I63" s="1"/>
      <c r="J63" s="5">
        <f t="shared" si="40"/>
        <v>-1.7048363986205665E-4</v>
      </c>
      <c r="K63" s="1"/>
      <c r="L63" s="1">
        <f t="shared" si="41"/>
        <v>1333.52</v>
      </c>
      <c r="M63" s="1"/>
      <c r="N63" s="5">
        <f t="shared" si="42"/>
        <v>-4.5928017909419658</v>
      </c>
      <c r="O63" s="13"/>
      <c r="P63" s="1">
        <f>SUM(OSRRefP22_8x_0)</f>
        <v>6616.31</v>
      </c>
      <c r="Q63" s="1"/>
      <c r="R63" s="5">
        <f t="shared" si="43"/>
        <v>9.8242829066095549E-3</v>
      </c>
      <c r="S63" s="1"/>
      <c r="T63" s="1">
        <f>SUM(OSRRefT22_8x_0)</f>
        <v>14762.68</v>
      </c>
      <c r="U63" s="1"/>
      <c r="V63" s="5">
        <f t="shared" si="44"/>
        <v>1.854591875429106E-3</v>
      </c>
      <c r="W63" s="1"/>
      <c r="X63" s="1">
        <f t="shared" si="45"/>
        <v>-8146.37</v>
      </c>
      <c r="Y63" s="1"/>
      <c r="Z63" s="5">
        <f t="shared" si="46"/>
        <v>-0.55182189141808935</v>
      </c>
    </row>
    <row r="64" spans="1:26" s="24" customFormat="1" hidden="1" outlineLevel="2" x14ac:dyDescent="0.25">
      <c r="A64" s="25"/>
      <c r="B64" s="11" t="str">
        <f>CONCATENATE("          ", "6351", " - ", "EQUIPMENT RENTAL")</f>
        <v xml:space="preserve">          6351 - EQUIPMENT RENTAL</v>
      </c>
      <c r="C64" s="11"/>
      <c r="D64" s="6">
        <v>1043.17</v>
      </c>
      <c r="E64" s="2"/>
      <c r="F64" s="7">
        <f t="shared" si="39"/>
        <v>6.0680912703936513E-3</v>
      </c>
      <c r="G64" s="2"/>
      <c r="H64" s="6">
        <v>-290.35000000000002</v>
      </c>
      <c r="I64" s="2"/>
      <c r="J64" s="7">
        <f t="shared" si="40"/>
        <v>-1.7048363986205665E-4</v>
      </c>
      <c r="K64" s="2"/>
      <c r="L64" s="6">
        <f t="shared" si="41"/>
        <v>1333.52</v>
      </c>
      <c r="M64" s="2"/>
      <c r="N64" s="7">
        <f t="shared" si="42"/>
        <v>-4.5928017909419658</v>
      </c>
      <c r="O64" s="11"/>
      <c r="P64" s="6">
        <v>6616.31</v>
      </c>
      <c r="Q64" s="2"/>
      <c r="R64" s="7">
        <f t="shared" si="43"/>
        <v>9.8242829066095549E-3</v>
      </c>
      <c r="S64" s="2"/>
      <c r="T64" s="6">
        <v>14762.68</v>
      </c>
      <c r="U64" s="2"/>
      <c r="V64" s="7">
        <f t="shared" si="44"/>
        <v>1.854591875429106E-3</v>
      </c>
      <c r="W64" s="2"/>
      <c r="X64" s="6">
        <f t="shared" si="45"/>
        <v>-8146.37</v>
      </c>
      <c r="Y64" s="2"/>
      <c r="Z64" s="7">
        <f t="shared" si="46"/>
        <v>-0.55182189141808935</v>
      </c>
    </row>
    <row r="65" spans="1:26" s="26" customFormat="1" outlineLevel="1" collapsed="1" x14ac:dyDescent="0.25">
      <c r="A65" s="27"/>
      <c r="B65" s="13" t="str">
        <f>CONCATENATE("     ","Freight out/Postage                               ")</f>
        <v xml:space="preserve">     Freight out/Postage                               </v>
      </c>
      <c r="C65" s="13"/>
      <c r="D65" s="1">
        <f>SUM(OSRRefD22_9x_0)</f>
        <v>0</v>
      </c>
      <c r="E65" s="1"/>
      <c r="F65" s="5">
        <f t="shared" si="39"/>
        <v>0</v>
      </c>
      <c r="G65" s="1"/>
      <c r="H65" s="1">
        <f>SUM(OSRRefH22_9x_0)</f>
        <v>0</v>
      </c>
      <c r="I65" s="1"/>
      <c r="J65" s="5">
        <f t="shared" si="40"/>
        <v>0</v>
      </c>
      <c r="K65" s="1"/>
      <c r="L65" s="1">
        <f t="shared" si="41"/>
        <v>0</v>
      </c>
      <c r="M65" s="1"/>
      <c r="N65" s="5">
        <f t="shared" si="42"/>
        <v>0</v>
      </c>
      <c r="O65" s="13"/>
      <c r="P65" s="1">
        <f>SUM(OSRRefP22_9x_0)</f>
        <v>-5.41</v>
      </c>
      <c r="Q65" s="1"/>
      <c r="R65" s="5">
        <f t="shared" si="43"/>
        <v>-8.0330834747401029E-6</v>
      </c>
      <c r="S65" s="1"/>
      <c r="T65" s="1">
        <f>SUM(OSRRefT22_9x_0)</f>
        <v>0</v>
      </c>
      <c r="U65" s="1"/>
      <c r="V65" s="5">
        <f t="shared" si="44"/>
        <v>0</v>
      </c>
      <c r="W65" s="1"/>
      <c r="X65" s="1">
        <f t="shared" si="45"/>
        <v>-5.41</v>
      </c>
      <c r="Y65" s="1"/>
      <c r="Z65" s="5">
        <f t="shared" si="46"/>
        <v>0</v>
      </c>
    </row>
    <row r="66" spans="1:26" s="24" customFormat="1" hidden="1" outlineLevel="2" x14ac:dyDescent="0.25">
      <c r="A66" s="25"/>
      <c r="B66" s="11" t="str">
        <f>CONCATENATE("          ", "6307", " - ", "POSTAGE")</f>
        <v xml:space="preserve">          6307 - POSTAGE</v>
      </c>
      <c r="C66" s="11"/>
      <c r="D66" s="6"/>
      <c r="E66" s="2"/>
      <c r="F66" s="7">
        <f t="shared" si="39"/>
        <v>0</v>
      </c>
      <c r="G66" s="2"/>
      <c r="H66" s="6"/>
      <c r="I66" s="2"/>
      <c r="J66" s="7">
        <f t="shared" si="40"/>
        <v>0</v>
      </c>
      <c r="K66" s="2"/>
      <c r="L66" s="6">
        <f t="shared" si="41"/>
        <v>0</v>
      </c>
      <c r="M66" s="2"/>
      <c r="N66" s="7">
        <f t="shared" si="42"/>
        <v>0</v>
      </c>
      <c r="O66" s="11"/>
      <c r="P66" s="6">
        <v>-5.41</v>
      </c>
      <c r="Q66" s="2"/>
      <c r="R66" s="7">
        <f t="shared" si="43"/>
        <v>-8.0330834747401029E-6</v>
      </c>
      <c r="S66" s="2"/>
      <c r="T66" s="6"/>
      <c r="U66" s="2"/>
      <c r="V66" s="7">
        <f t="shared" si="44"/>
        <v>0</v>
      </c>
      <c r="W66" s="2"/>
      <c r="X66" s="6">
        <f t="shared" si="45"/>
        <v>-5.41</v>
      </c>
      <c r="Y66" s="2"/>
      <c r="Z66" s="7">
        <f t="shared" si="46"/>
        <v>0</v>
      </c>
    </row>
    <row r="67" spans="1:26" s="26" customFormat="1" outlineLevel="1" collapsed="1" x14ac:dyDescent="0.25">
      <c r="A67" s="27"/>
      <c r="B67" s="13" t="str">
        <f>CONCATENATE("     ","General                                           ")</f>
        <v xml:space="preserve">     General                                           </v>
      </c>
      <c r="C67" s="13"/>
      <c r="D67" s="1">
        <f>SUM(OSRRefD22_10x_0)</f>
        <v>493</v>
      </c>
      <c r="E67" s="1"/>
      <c r="F67" s="5">
        <f t="shared" si="39"/>
        <v>2.8677674744328058E-3</v>
      </c>
      <c r="G67" s="1"/>
      <c r="H67" s="1">
        <f>SUM(OSRRefH22_10x_0)</f>
        <v>22053.200000000001</v>
      </c>
      <c r="I67" s="1"/>
      <c r="J67" s="5">
        <f t="shared" si="40"/>
        <v>1.2948888605496495E-2</v>
      </c>
      <c r="K67" s="1"/>
      <c r="L67" s="1">
        <f t="shared" si="41"/>
        <v>-21560.2</v>
      </c>
      <c r="M67" s="1"/>
      <c r="N67" s="5">
        <f t="shared" si="42"/>
        <v>-0.9776449676237462</v>
      </c>
      <c r="O67" s="13"/>
      <c r="P67" s="1">
        <f>SUM(OSRRefP22_10x_0)</f>
        <v>10640.4</v>
      </c>
      <c r="Q67" s="1"/>
      <c r="R67" s="5">
        <f t="shared" si="43"/>
        <v>1.579948639641859E-2</v>
      </c>
      <c r="S67" s="1"/>
      <c r="T67" s="1">
        <f>SUM(OSRRefT22_10x_0)</f>
        <v>68002.070000000007</v>
      </c>
      <c r="U67" s="1"/>
      <c r="V67" s="5">
        <f t="shared" si="44"/>
        <v>8.5428991574945309E-3</v>
      </c>
      <c r="W67" s="1"/>
      <c r="X67" s="1">
        <f t="shared" si="45"/>
        <v>-57361.670000000006</v>
      </c>
      <c r="Y67" s="1"/>
      <c r="Z67" s="5">
        <f t="shared" si="46"/>
        <v>-0.84352829259462248</v>
      </c>
    </row>
    <row r="68" spans="1:26" s="24" customFormat="1" hidden="1" outlineLevel="2" x14ac:dyDescent="0.25">
      <c r="A68" s="25"/>
      <c r="B68" s="11" t="str">
        <f>CONCATENATE("          ", "6269", " - ", "ENTERTAINMENT")</f>
        <v xml:space="preserve">          6269 - ENTERTAINMENT</v>
      </c>
      <c r="C68" s="11"/>
      <c r="D68" s="6"/>
      <c r="E68" s="2"/>
      <c r="F68" s="7">
        <f t="shared" si="39"/>
        <v>0</v>
      </c>
      <c r="G68" s="2"/>
      <c r="H68" s="6">
        <v>600</v>
      </c>
      <c r="I68" s="2"/>
      <c r="J68" s="7">
        <f t="shared" si="40"/>
        <v>3.5229958297652478E-4</v>
      </c>
      <c r="K68" s="2"/>
      <c r="L68" s="6">
        <f t="shared" si="41"/>
        <v>-600</v>
      </c>
      <c r="M68" s="2"/>
      <c r="N68" s="7">
        <f t="shared" si="42"/>
        <v>-1</v>
      </c>
      <c r="O68" s="11"/>
      <c r="P68" s="6"/>
      <c r="Q68" s="2"/>
      <c r="R68" s="7">
        <f t="shared" si="43"/>
        <v>0</v>
      </c>
      <c r="S68" s="2"/>
      <c r="T68" s="6">
        <v>6100</v>
      </c>
      <c r="U68" s="2"/>
      <c r="V68" s="7">
        <f t="shared" si="44"/>
        <v>7.6632497894132674E-4</v>
      </c>
      <c r="W68" s="2"/>
      <c r="X68" s="6">
        <f t="shared" si="45"/>
        <v>-6100</v>
      </c>
      <c r="Y68" s="2"/>
      <c r="Z68" s="7">
        <f t="shared" si="46"/>
        <v>-1</v>
      </c>
    </row>
    <row r="69" spans="1:26" s="24" customFormat="1" hidden="1" outlineLevel="2" x14ac:dyDescent="0.25">
      <c r="A69" s="25"/>
      <c r="B69" s="11" t="str">
        <f>CONCATENATE("          ", "6279", " - ", "GENERAL EXPENSE")</f>
        <v xml:space="preserve">          6279 - GENERAL EXPENSE</v>
      </c>
      <c r="C69" s="11"/>
      <c r="D69" s="6">
        <v>493</v>
      </c>
      <c r="E69" s="2"/>
      <c r="F69" s="7">
        <f t="shared" si="39"/>
        <v>2.8677674744328058E-3</v>
      </c>
      <c r="G69" s="2"/>
      <c r="H69" s="6">
        <v>21453.200000000001</v>
      </c>
      <c r="I69" s="2"/>
      <c r="J69" s="7">
        <f t="shared" si="40"/>
        <v>1.259658902251997E-2</v>
      </c>
      <c r="K69" s="2"/>
      <c r="L69" s="6">
        <f t="shared" si="41"/>
        <v>-20960.2</v>
      </c>
      <c r="M69" s="2"/>
      <c r="N69" s="7">
        <f t="shared" si="42"/>
        <v>-0.97701974530606162</v>
      </c>
      <c r="O69" s="11"/>
      <c r="P69" s="6">
        <v>10640.4</v>
      </c>
      <c r="Q69" s="2"/>
      <c r="R69" s="7">
        <f t="shared" si="43"/>
        <v>1.579948639641859E-2</v>
      </c>
      <c r="S69" s="2"/>
      <c r="T69" s="6">
        <v>61902.07</v>
      </c>
      <c r="U69" s="2"/>
      <c r="V69" s="7">
        <f t="shared" si="44"/>
        <v>7.7765741785532022E-3</v>
      </c>
      <c r="W69" s="2"/>
      <c r="X69" s="6">
        <f t="shared" si="45"/>
        <v>-51261.67</v>
      </c>
      <c r="Y69" s="2"/>
      <c r="Z69" s="7">
        <f t="shared" si="46"/>
        <v>-0.82810914077671394</v>
      </c>
    </row>
    <row r="70" spans="1:26" s="26" customFormat="1" outlineLevel="1" collapsed="1" x14ac:dyDescent="0.25">
      <c r="A70" s="27"/>
      <c r="B70" s="13" t="str">
        <f>CONCATENATE("     ","Insurance                                         ")</f>
        <v xml:space="preserve">     Insurance                                         </v>
      </c>
      <c r="C70" s="13"/>
      <c r="D70" s="1">
        <f>SUM(OSRRefD22_11x_0)</f>
        <v>4246.03</v>
      </c>
      <c r="E70" s="1"/>
      <c r="F70" s="5">
        <f t="shared" ref="F70:F83" si="47">IF(D$12=0,0,D70/D$12)</f>
        <v>2.469904001920066E-2</v>
      </c>
      <c r="G70" s="1"/>
      <c r="H70" s="1">
        <f>SUM(OSRRefH22_11x_0)</f>
        <v>4246.03</v>
      </c>
      <c r="I70" s="1"/>
      <c r="J70" s="5">
        <f t="shared" ref="J70:J83" si="48">IF(H$12=0,0,H70/H$12)</f>
        <v>2.4931243305096893E-3</v>
      </c>
      <c r="K70" s="1"/>
      <c r="L70" s="1">
        <f t="shared" ref="L70:L83" si="49">+D70-H70</f>
        <v>0</v>
      </c>
      <c r="M70" s="1"/>
      <c r="N70" s="5">
        <f t="shared" ref="N70:N83" si="50">IF(H70=0,0,L70/H70)</f>
        <v>0</v>
      </c>
      <c r="O70" s="13"/>
      <c r="P70" s="1">
        <f>SUM(OSRRefP22_11x_0)</f>
        <v>27342.15</v>
      </c>
      <c r="Q70" s="1"/>
      <c r="R70" s="5">
        <f t="shared" ref="R70:R83" si="51">IF(P$12=0,0,P70/P$12)</f>
        <v>4.059921872991961E-2</v>
      </c>
      <c r="S70" s="1"/>
      <c r="T70" s="1">
        <f>SUM(OSRRefT22_11x_0)</f>
        <v>21230.15</v>
      </c>
      <c r="U70" s="1"/>
      <c r="V70" s="5">
        <f t="shared" ref="V70:V83" si="52">IF(T$12=0,0,T70/T$12)</f>
        <v>2.6670810248641329E-3</v>
      </c>
      <c r="W70" s="1"/>
      <c r="X70" s="1">
        <f t="shared" ref="X70:X83" si="53">+P70-T70</f>
        <v>6112</v>
      </c>
      <c r="Y70" s="1"/>
      <c r="Z70" s="5">
        <f t="shared" ref="Z70:Z83" si="54">IF(T70=0,0,X70/T70)</f>
        <v>0.2878924548342805</v>
      </c>
    </row>
    <row r="71" spans="1:26" s="24" customFormat="1" hidden="1" outlineLevel="2" x14ac:dyDescent="0.25">
      <c r="A71" s="25"/>
      <c r="B71" s="11" t="str">
        <f>CONCATENATE("          ", "6314", " - ", "LIABILITY INSURANCE")</f>
        <v xml:space="preserve">          6314 - LIABILITY INSURANCE</v>
      </c>
      <c r="C71" s="11"/>
      <c r="D71" s="6">
        <v>4246.03</v>
      </c>
      <c r="E71" s="2"/>
      <c r="F71" s="7">
        <f t="shared" si="47"/>
        <v>2.469904001920066E-2</v>
      </c>
      <c r="G71" s="2"/>
      <c r="H71" s="6">
        <v>4246.03</v>
      </c>
      <c r="I71" s="2"/>
      <c r="J71" s="7">
        <f t="shared" si="48"/>
        <v>2.4931243305096893E-3</v>
      </c>
      <c r="K71" s="2"/>
      <c r="L71" s="6">
        <f t="shared" si="49"/>
        <v>0</v>
      </c>
      <c r="M71" s="2"/>
      <c r="N71" s="7">
        <f t="shared" si="50"/>
        <v>0</v>
      </c>
      <c r="O71" s="11"/>
      <c r="P71" s="6">
        <v>27342.15</v>
      </c>
      <c r="Q71" s="2"/>
      <c r="R71" s="7">
        <f t="shared" si="51"/>
        <v>4.059921872991961E-2</v>
      </c>
      <c r="S71" s="2"/>
      <c r="T71" s="6">
        <v>21230.15</v>
      </c>
      <c r="U71" s="2"/>
      <c r="V71" s="7">
        <f t="shared" si="52"/>
        <v>2.6670810248641329E-3</v>
      </c>
      <c r="W71" s="2"/>
      <c r="X71" s="6">
        <f t="shared" si="53"/>
        <v>6112</v>
      </c>
      <c r="Y71" s="2"/>
      <c r="Z71" s="7">
        <f t="shared" si="54"/>
        <v>0.2878924548342805</v>
      </c>
    </row>
    <row r="72" spans="1:26" s="26" customFormat="1" outlineLevel="1" collapsed="1" x14ac:dyDescent="0.25">
      <c r="A72" s="27"/>
      <c r="B72" s="13" t="str">
        <f>CONCATENATE("     ","Interest                                          ")</f>
        <v xml:space="preserve">     Interest                                          </v>
      </c>
      <c r="C72" s="13"/>
      <c r="D72" s="1">
        <f>SUM(OSRRefD22_12x_0)</f>
        <v>7510</v>
      </c>
      <c r="E72" s="1"/>
      <c r="F72" s="5">
        <f t="shared" si="47"/>
        <v>4.3685463961440914E-2</v>
      </c>
      <c r="G72" s="1"/>
      <c r="H72" s="1">
        <f>SUM(OSRRefH22_12x_0)</f>
        <v>7754</v>
      </c>
      <c r="I72" s="1"/>
      <c r="J72" s="5">
        <f t="shared" si="48"/>
        <v>4.5528849439999556E-3</v>
      </c>
      <c r="K72" s="1"/>
      <c r="L72" s="1">
        <f t="shared" si="49"/>
        <v>-244</v>
      </c>
      <c r="M72" s="1"/>
      <c r="N72" s="5">
        <f t="shared" si="50"/>
        <v>-3.1467629610523601E-2</v>
      </c>
      <c r="O72" s="13"/>
      <c r="P72" s="1">
        <f>SUM(OSRRefP22_12x_0)</f>
        <v>37063.15</v>
      </c>
      <c r="Q72" s="1"/>
      <c r="R72" s="5">
        <f t="shared" si="51"/>
        <v>5.5033526393126364E-2</v>
      </c>
      <c r="S72" s="1"/>
      <c r="T72" s="1">
        <f>SUM(OSRRefT22_12x_0)</f>
        <v>38377.049999999996</v>
      </c>
      <c r="U72" s="1"/>
      <c r="V72" s="5">
        <f t="shared" si="52"/>
        <v>4.8211954152590558E-3</v>
      </c>
      <c r="W72" s="1"/>
      <c r="X72" s="1">
        <f t="shared" si="53"/>
        <v>-1313.8999999999942</v>
      </c>
      <c r="Y72" s="1"/>
      <c r="Z72" s="5">
        <f t="shared" si="54"/>
        <v>-3.423660755581772E-2</v>
      </c>
    </row>
    <row r="73" spans="1:26" s="24" customFormat="1" hidden="1" outlineLevel="2" x14ac:dyDescent="0.25">
      <c r="A73" s="25"/>
      <c r="B73" s="11" t="str">
        <f>CONCATENATE("          ", "6401", " - ", "INTEREST EXPENSE")</f>
        <v xml:space="preserve">          6401 - INTEREST EXPENSE</v>
      </c>
      <c r="C73" s="11"/>
      <c r="D73" s="6">
        <v>7510</v>
      </c>
      <c r="E73" s="2"/>
      <c r="F73" s="7">
        <f t="shared" si="47"/>
        <v>4.3685463961440914E-2</v>
      </c>
      <c r="G73" s="2"/>
      <c r="H73" s="6">
        <v>7754</v>
      </c>
      <c r="I73" s="2"/>
      <c r="J73" s="7">
        <f t="shared" si="48"/>
        <v>4.5528849439999556E-3</v>
      </c>
      <c r="K73" s="2"/>
      <c r="L73" s="6">
        <f t="shared" si="49"/>
        <v>-244</v>
      </c>
      <c r="M73" s="2"/>
      <c r="N73" s="7">
        <f t="shared" si="50"/>
        <v>-3.1467629610523601E-2</v>
      </c>
      <c r="O73" s="11"/>
      <c r="P73" s="6">
        <v>37063.15</v>
      </c>
      <c r="Q73" s="2"/>
      <c r="R73" s="7">
        <f t="shared" si="51"/>
        <v>5.5033526393126364E-2</v>
      </c>
      <c r="S73" s="2"/>
      <c r="T73" s="6">
        <v>38377.049999999996</v>
      </c>
      <c r="U73" s="2"/>
      <c r="V73" s="7">
        <f t="shared" si="52"/>
        <v>4.8211954152590558E-3</v>
      </c>
      <c r="W73" s="2"/>
      <c r="X73" s="6">
        <f t="shared" si="53"/>
        <v>-1313.8999999999942</v>
      </c>
      <c r="Y73" s="2"/>
      <c r="Z73" s="7">
        <f t="shared" si="54"/>
        <v>-3.423660755581772E-2</v>
      </c>
    </row>
    <row r="74" spans="1:26" s="26" customFormat="1" outlineLevel="1" collapsed="1" x14ac:dyDescent="0.25">
      <c r="A74" s="27"/>
      <c r="B74" s="13" t="str">
        <f>CONCATENATE("     ","Professional Services                             ")</f>
        <v xml:space="preserve">     Professional Services                             </v>
      </c>
      <c r="C74" s="13"/>
      <c r="D74" s="1">
        <f>SUM(OSRRefD22_13x_0)</f>
        <v>0</v>
      </c>
      <c r="E74" s="1"/>
      <c r="F74" s="5">
        <f t="shared" si="47"/>
        <v>0</v>
      </c>
      <c r="G74" s="1"/>
      <c r="H74" s="1">
        <f>SUM(OSRRefH22_13x_0)</f>
        <v>0</v>
      </c>
      <c r="I74" s="1"/>
      <c r="J74" s="5">
        <f t="shared" si="48"/>
        <v>0</v>
      </c>
      <c r="K74" s="1"/>
      <c r="L74" s="1">
        <f t="shared" si="49"/>
        <v>0</v>
      </c>
      <c r="M74" s="1"/>
      <c r="N74" s="5">
        <f t="shared" si="50"/>
        <v>0</v>
      </c>
      <c r="O74" s="13"/>
      <c r="P74" s="1">
        <f>SUM(OSRRefP22_13x_0)</f>
        <v>0</v>
      </c>
      <c r="Q74" s="1"/>
      <c r="R74" s="5">
        <f t="shared" si="51"/>
        <v>0</v>
      </c>
      <c r="S74" s="1"/>
      <c r="T74" s="1">
        <f>SUM(OSRRefT22_13x_0)</f>
        <v>125</v>
      </c>
      <c r="U74" s="1"/>
      <c r="V74" s="5">
        <f t="shared" si="52"/>
        <v>1.5703380716010796E-5</v>
      </c>
      <c r="W74" s="1"/>
      <c r="X74" s="1">
        <f t="shared" si="53"/>
        <v>-125</v>
      </c>
      <c r="Y74" s="1"/>
      <c r="Z74" s="5">
        <f t="shared" si="54"/>
        <v>-1</v>
      </c>
    </row>
    <row r="75" spans="1:26" s="24" customFormat="1" hidden="1" outlineLevel="2" x14ac:dyDescent="0.25">
      <c r="A75" s="25"/>
      <c r="B75" s="11" t="str">
        <f>CONCATENATE("          ", "6336", " - ", "PROFESSIONAL SERVICES")</f>
        <v xml:space="preserve">          6336 - PROFESSIONAL SERVICES</v>
      </c>
      <c r="C75" s="11"/>
      <c r="D75" s="6"/>
      <c r="E75" s="2"/>
      <c r="F75" s="7">
        <f t="shared" si="47"/>
        <v>0</v>
      </c>
      <c r="G75" s="2"/>
      <c r="H75" s="6"/>
      <c r="I75" s="2"/>
      <c r="J75" s="7">
        <f t="shared" si="48"/>
        <v>0</v>
      </c>
      <c r="K75" s="2"/>
      <c r="L75" s="6">
        <f t="shared" si="49"/>
        <v>0</v>
      </c>
      <c r="M75" s="2"/>
      <c r="N75" s="7">
        <f t="shared" si="50"/>
        <v>0</v>
      </c>
      <c r="O75" s="11"/>
      <c r="P75" s="6"/>
      <c r="Q75" s="2"/>
      <c r="R75" s="7">
        <f t="shared" si="51"/>
        <v>0</v>
      </c>
      <c r="S75" s="2"/>
      <c r="T75" s="6">
        <v>125</v>
      </c>
      <c r="U75" s="2"/>
      <c r="V75" s="7">
        <f t="shared" si="52"/>
        <v>1.5703380716010796E-5</v>
      </c>
      <c r="W75" s="2"/>
      <c r="X75" s="6">
        <f t="shared" si="53"/>
        <v>-125</v>
      </c>
      <c r="Y75" s="2"/>
      <c r="Z75" s="7">
        <f t="shared" si="54"/>
        <v>-1</v>
      </c>
    </row>
    <row r="76" spans="1:26" s="26" customFormat="1" outlineLevel="1" collapsed="1" x14ac:dyDescent="0.25">
      <c r="A76" s="27"/>
      <c r="B76" s="13" t="str">
        <f>CONCATENATE("     ","R/H Commissions                                   ")</f>
        <v xml:space="preserve">     R/H Commissions                                   </v>
      </c>
      <c r="C76" s="13"/>
      <c r="D76" s="1">
        <f>SUM(OSRRefD22_14x_0)</f>
        <v>7982.87</v>
      </c>
      <c r="E76" s="1"/>
      <c r="F76" s="5">
        <f t="shared" si="47"/>
        <v>4.6436135778144851E-2</v>
      </c>
      <c r="G76" s="1"/>
      <c r="H76" s="1">
        <f>SUM(OSRRefH22_14x_0)</f>
        <v>88207.73000000001</v>
      </c>
      <c r="I76" s="1"/>
      <c r="J76" s="5">
        <f t="shared" si="48"/>
        <v>5.1792577490509834E-2</v>
      </c>
      <c r="K76" s="1"/>
      <c r="L76" s="1">
        <f t="shared" si="49"/>
        <v>-80224.860000000015</v>
      </c>
      <c r="M76" s="1"/>
      <c r="N76" s="5">
        <f t="shared" si="50"/>
        <v>-0.90949920148721664</v>
      </c>
      <c r="O76" s="13"/>
      <c r="P76" s="1">
        <f>SUM(OSRRefP22_14x_0)</f>
        <v>36703.07</v>
      </c>
      <c r="Q76" s="1"/>
      <c r="R76" s="5">
        <f t="shared" si="51"/>
        <v>5.4498858611687469E-2</v>
      </c>
      <c r="S76" s="1"/>
      <c r="T76" s="1">
        <f>SUM(OSRRefT22_14x_0)</f>
        <v>406895.16</v>
      </c>
      <c r="U76" s="1"/>
      <c r="V76" s="5">
        <f t="shared" si="52"/>
        <v>5.1117036871857015E-2</v>
      </c>
      <c r="W76" s="1"/>
      <c r="X76" s="1">
        <f t="shared" si="53"/>
        <v>-370192.08999999997</v>
      </c>
      <c r="Y76" s="1"/>
      <c r="Z76" s="5">
        <f t="shared" si="54"/>
        <v>-0.90979723130646228</v>
      </c>
    </row>
    <row r="77" spans="1:26" s="24" customFormat="1" hidden="1" outlineLevel="2" x14ac:dyDescent="0.25">
      <c r="A77" s="25"/>
      <c r="B77" s="11" t="str">
        <f>CONCATENATE("          ", "6387", " - ", "COMMISSION DUE HOUSING")</f>
        <v xml:space="preserve">          6387 - COMMISSION DUE HOUSING</v>
      </c>
      <c r="C77" s="11"/>
      <c r="D77" s="6">
        <v>7982.87</v>
      </c>
      <c r="E77" s="2"/>
      <c r="F77" s="7">
        <f t="shared" si="47"/>
        <v>4.6436135778144851E-2</v>
      </c>
      <c r="G77" s="2"/>
      <c r="H77" s="6">
        <v>88207.73000000001</v>
      </c>
      <c r="I77" s="2"/>
      <c r="J77" s="7">
        <f t="shared" si="48"/>
        <v>5.1792577490509834E-2</v>
      </c>
      <c r="K77" s="2"/>
      <c r="L77" s="6">
        <f t="shared" si="49"/>
        <v>-80224.860000000015</v>
      </c>
      <c r="M77" s="2"/>
      <c r="N77" s="7">
        <f t="shared" si="50"/>
        <v>-0.90949920148721664</v>
      </c>
      <c r="O77" s="11"/>
      <c r="P77" s="6">
        <v>36703.07</v>
      </c>
      <c r="Q77" s="2"/>
      <c r="R77" s="7">
        <f t="shared" si="51"/>
        <v>5.4498858611687469E-2</v>
      </c>
      <c r="S77" s="2"/>
      <c r="T77" s="6">
        <v>406895.16</v>
      </c>
      <c r="U77" s="2"/>
      <c r="V77" s="7">
        <f t="shared" si="52"/>
        <v>5.1117036871857015E-2</v>
      </c>
      <c r="W77" s="2"/>
      <c r="X77" s="6">
        <f t="shared" si="53"/>
        <v>-370192.08999999997</v>
      </c>
      <c r="Y77" s="2"/>
      <c r="Z77" s="7">
        <f t="shared" si="54"/>
        <v>-0.90979723130646228</v>
      </c>
    </row>
    <row r="78" spans="1:26" s="26" customFormat="1" outlineLevel="1" collapsed="1" x14ac:dyDescent="0.25">
      <c r="A78" s="27"/>
      <c r="B78" s="13" t="str">
        <f>CONCATENATE("     ","Rent                                              ")</f>
        <v xml:space="preserve">     Rent                                              </v>
      </c>
      <c r="C78" s="13"/>
      <c r="D78" s="1">
        <f>SUM(OSRRefD22_15x_0)</f>
        <v>0</v>
      </c>
      <c r="E78" s="1"/>
      <c r="F78" s="5">
        <f t="shared" si="47"/>
        <v>0</v>
      </c>
      <c r="G78" s="1"/>
      <c r="H78" s="1">
        <f>SUM(OSRRefH22_15x_0)</f>
        <v>1850</v>
      </c>
      <c r="I78" s="1"/>
      <c r="J78" s="5">
        <f t="shared" si="48"/>
        <v>1.0862570475109515E-3</v>
      </c>
      <c r="K78" s="1"/>
      <c r="L78" s="1">
        <f t="shared" si="49"/>
        <v>-1850</v>
      </c>
      <c r="M78" s="1"/>
      <c r="N78" s="5">
        <f t="shared" si="50"/>
        <v>-1</v>
      </c>
      <c r="O78" s="13"/>
      <c r="P78" s="1">
        <f>SUM(OSRRefP22_15x_0)</f>
        <v>5550</v>
      </c>
      <c r="Q78" s="1"/>
      <c r="R78" s="5">
        <f t="shared" si="51"/>
        <v>8.2409636385965927E-3</v>
      </c>
      <c r="S78" s="1"/>
      <c r="T78" s="1">
        <f>SUM(OSRRefT22_15x_0)</f>
        <v>9250</v>
      </c>
      <c r="U78" s="1"/>
      <c r="V78" s="5">
        <f t="shared" si="52"/>
        <v>1.1620501729847988E-3</v>
      </c>
      <c r="W78" s="1"/>
      <c r="X78" s="1">
        <f t="shared" si="53"/>
        <v>-3700</v>
      </c>
      <c r="Y78" s="1"/>
      <c r="Z78" s="5">
        <f t="shared" si="54"/>
        <v>-0.4</v>
      </c>
    </row>
    <row r="79" spans="1:26" s="24" customFormat="1" hidden="1" outlineLevel="2" x14ac:dyDescent="0.25">
      <c r="A79" s="25"/>
      <c r="B79" s="11" t="str">
        <f>CONCATENATE("          ", "6273", " - ", "RENT")</f>
        <v xml:space="preserve">          6273 - RENT</v>
      </c>
      <c r="C79" s="11"/>
      <c r="D79" s="6"/>
      <c r="E79" s="2"/>
      <c r="F79" s="7">
        <f t="shared" si="47"/>
        <v>0</v>
      </c>
      <c r="G79" s="2"/>
      <c r="H79" s="6">
        <v>1850</v>
      </c>
      <c r="I79" s="2"/>
      <c r="J79" s="7">
        <f t="shared" si="48"/>
        <v>1.0862570475109515E-3</v>
      </c>
      <c r="K79" s="2"/>
      <c r="L79" s="6">
        <f t="shared" si="49"/>
        <v>-1850</v>
      </c>
      <c r="M79" s="2"/>
      <c r="N79" s="7">
        <f t="shared" si="50"/>
        <v>-1</v>
      </c>
      <c r="O79" s="11"/>
      <c r="P79" s="6">
        <v>5550</v>
      </c>
      <c r="Q79" s="2"/>
      <c r="R79" s="7">
        <f t="shared" si="51"/>
        <v>8.2409636385965927E-3</v>
      </c>
      <c r="S79" s="2"/>
      <c r="T79" s="6">
        <v>9250</v>
      </c>
      <c r="U79" s="2"/>
      <c r="V79" s="7">
        <f t="shared" si="52"/>
        <v>1.1620501729847988E-3</v>
      </c>
      <c r="W79" s="2"/>
      <c r="X79" s="6">
        <f t="shared" si="53"/>
        <v>-3700</v>
      </c>
      <c r="Y79" s="2"/>
      <c r="Z79" s="7">
        <f t="shared" si="54"/>
        <v>-0.4</v>
      </c>
    </row>
    <row r="80" spans="1:26" s="26" customFormat="1" outlineLevel="1" collapsed="1" x14ac:dyDescent="0.25">
      <c r="A80" s="27"/>
      <c r="B80" s="13" t="str">
        <f>CONCATENATE("     ","Repair and Maintenance                            ")</f>
        <v xml:space="preserve">     Repair and Maintenance                            </v>
      </c>
      <c r="C80" s="13"/>
      <c r="D80" s="1">
        <f>SUM(OSRRefD22_16x_0)</f>
        <v>4248.8500000000004</v>
      </c>
      <c r="E80" s="1"/>
      <c r="F80" s="5">
        <f t="shared" si="47"/>
        <v>2.4715443881833322E-2</v>
      </c>
      <c r="G80" s="1"/>
      <c r="H80" s="1">
        <f>SUM(OSRRefH22_16x_0)</f>
        <v>29158.249999999996</v>
      </c>
      <c r="I80" s="1"/>
      <c r="J80" s="5">
        <f t="shared" si="48"/>
        <v>1.7120732192208755E-2</v>
      </c>
      <c r="K80" s="1"/>
      <c r="L80" s="1">
        <f t="shared" si="49"/>
        <v>-24909.399999999994</v>
      </c>
      <c r="M80" s="1"/>
      <c r="N80" s="5">
        <f t="shared" si="50"/>
        <v>-0.85428309312115769</v>
      </c>
      <c r="O80" s="13"/>
      <c r="P80" s="1">
        <f>SUM(OSRRefP22_16x_0)</f>
        <v>22583.9</v>
      </c>
      <c r="Q80" s="1"/>
      <c r="R80" s="5">
        <f t="shared" si="51"/>
        <v>3.3533891660847137E-2</v>
      </c>
      <c r="S80" s="1"/>
      <c r="T80" s="1">
        <f>SUM(OSRRefT22_16x_0)</f>
        <v>142114.77000000002</v>
      </c>
      <c r="U80" s="1"/>
      <c r="V80" s="5">
        <f t="shared" si="52"/>
        <v>1.7853458709426479E-2</v>
      </c>
      <c r="W80" s="1"/>
      <c r="X80" s="1">
        <f t="shared" si="53"/>
        <v>-119530.87000000002</v>
      </c>
      <c r="Y80" s="1"/>
      <c r="Z80" s="5">
        <f t="shared" si="54"/>
        <v>-0.84108689054628183</v>
      </c>
    </row>
    <row r="81" spans="1:26" s="24" customFormat="1" hidden="1" outlineLevel="2" x14ac:dyDescent="0.25">
      <c r="A81" s="25"/>
      <c r="B81" s="11" t="str">
        <f>CONCATENATE("          ", "6371", " - ", "COMPUTER SOFTWARE MAINTENANCE")</f>
        <v xml:space="preserve">          6371 - COMPUTER SOFTWARE MAINTENANCE</v>
      </c>
      <c r="C81" s="11"/>
      <c r="D81" s="6"/>
      <c r="E81" s="2"/>
      <c r="F81" s="7">
        <f t="shared" si="47"/>
        <v>0</v>
      </c>
      <c r="G81" s="2"/>
      <c r="H81" s="6">
        <v>16477.5</v>
      </c>
      <c r="I81" s="2"/>
      <c r="J81" s="7">
        <f t="shared" si="48"/>
        <v>9.6750272974928126E-3</v>
      </c>
      <c r="K81" s="2"/>
      <c r="L81" s="6">
        <f t="shared" si="49"/>
        <v>-16477.5</v>
      </c>
      <c r="M81" s="2"/>
      <c r="N81" s="7">
        <f t="shared" si="50"/>
        <v>-1</v>
      </c>
      <c r="O81" s="11"/>
      <c r="P81" s="6"/>
      <c r="Q81" s="2"/>
      <c r="R81" s="7">
        <f t="shared" si="51"/>
        <v>0</v>
      </c>
      <c r="S81" s="2"/>
      <c r="T81" s="6">
        <v>33750.620000000003</v>
      </c>
      <c r="U81" s="2"/>
      <c r="V81" s="7">
        <f t="shared" si="52"/>
        <v>4.2399906820912662E-3</v>
      </c>
      <c r="W81" s="2"/>
      <c r="X81" s="6">
        <f t="shared" si="53"/>
        <v>-33750.620000000003</v>
      </c>
      <c r="Y81" s="2"/>
      <c r="Z81" s="7">
        <f t="shared" si="54"/>
        <v>-1</v>
      </c>
    </row>
    <row r="82" spans="1:26" s="24" customFormat="1" hidden="1" outlineLevel="2" x14ac:dyDescent="0.25">
      <c r="A82" s="25"/>
      <c r="B82" s="11" t="str">
        <f>CONCATENATE("          ", "6373", " - ", "MAINTENANCE CONTRACTS")</f>
        <v xml:space="preserve">          6373 - MAINTENANCE CONTRACTS</v>
      </c>
      <c r="C82" s="11"/>
      <c r="D82" s="6">
        <v>908.53</v>
      </c>
      <c r="E82" s="2"/>
      <c r="F82" s="7">
        <f t="shared" si="47"/>
        <v>5.2848940842726913E-3</v>
      </c>
      <c r="G82" s="2"/>
      <c r="H82" s="6">
        <v>8630.8799999999992</v>
      </c>
      <c r="I82" s="2"/>
      <c r="J82" s="7">
        <f t="shared" si="48"/>
        <v>5.0677590412007137E-3</v>
      </c>
      <c r="K82" s="2"/>
      <c r="L82" s="6">
        <f t="shared" si="49"/>
        <v>-7722.3499999999995</v>
      </c>
      <c r="M82" s="2"/>
      <c r="N82" s="7">
        <f t="shared" si="50"/>
        <v>-0.89473495170828465</v>
      </c>
      <c r="O82" s="11"/>
      <c r="P82" s="6">
        <v>12512.01</v>
      </c>
      <c r="Q82" s="2"/>
      <c r="R82" s="7">
        <f t="shared" si="51"/>
        <v>1.8578562064100353E-2</v>
      </c>
      <c r="S82" s="2"/>
      <c r="T82" s="6">
        <v>41326.92</v>
      </c>
      <c r="U82" s="2"/>
      <c r="V82" s="7">
        <f t="shared" si="52"/>
        <v>5.1917788686409666E-3</v>
      </c>
      <c r="W82" s="2"/>
      <c r="X82" s="6">
        <f t="shared" si="53"/>
        <v>-28814.909999999996</v>
      </c>
      <c r="Y82" s="2"/>
      <c r="Z82" s="7">
        <f t="shared" si="54"/>
        <v>-0.69724310449460059</v>
      </c>
    </row>
    <row r="83" spans="1:26" s="24" customFormat="1" hidden="1" outlineLevel="2" x14ac:dyDescent="0.25">
      <c r="A83" s="25"/>
      <c r="B83" s="11" t="str">
        <f>CONCATENATE("          ", "6375", " - ", "OUTSIDE REPAIRS &amp; MAINTENANCE")</f>
        <v xml:space="preserve">          6375 - OUTSIDE REPAIRS &amp; MAINTENANCE</v>
      </c>
      <c r="C83" s="11"/>
      <c r="D83" s="6">
        <v>3340.32</v>
      </c>
      <c r="E83" s="2"/>
      <c r="F83" s="7">
        <f t="shared" si="47"/>
        <v>1.943054979756063E-2</v>
      </c>
      <c r="G83" s="2"/>
      <c r="H83" s="6">
        <v>4049.87</v>
      </c>
      <c r="I83" s="2"/>
      <c r="J83" s="7">
        <f t="shared" si="48"/>
        <v>2.3779458535152309E-3</v>
      </c>
      <c r="K83" s="2"/>
      <c r="L83" s="6">
        <f t="shared" si="49"/>
        <v>-709.54999999999973</v>
      </c>
      <c r="M83" s="2"/>
      <c r="N83" s="7">
        <f t="shared" si="50"/>
        <v>-0.17520315466916217</v>
      </c>
      <c r="O83" s="11"/>
      <c r="P83" s="6">
        <v>10071.89</v>
      </c>
      <c r="Q83" s="2"/>
      <c r="R83" s="7">
        <f t="shared" si="51"/>
        <v>1.495532959674678E-2</v>
      </c>
      <c r="S83" s="2"/>
      <c r="T83" s="6">
        <v>67037.23</v>
      </c>
      <c r="U83" s="2"/>
      <c r="V83" s="7">
        <f t="shared" si="52"/>
        <v>8.4216891586942413E-3</v>
      </c>
      <c r="W83" s="2"/>
      <c r="X83" s="6">
        <f t="shared" si="53"/>
        <v>-56965.34</v>
      </c>
      <c r="Y83" s="2"/>
      <c r="Z83" s="7">
        <f t="shared" si="54"/>
        <v>-0.84975676948465795</v>
      </c>
    </row>
    <row r="84" spans="1:26" s="26" customFormat="1" outlineLevel="1" collapsed="1" x14ac:dyDescent="0.25">
      <c r="A84" s="27"/>
      <c r="B84" s="13" t="str">
        <f>CONCATENATE("     ","Royalty &amp; Commissions                             ")</f>
        <v xml:space="preserve">     Royalty &amp; Commissions                             </v>
      </c>
      <c r="C84" s="13"/>
      <c r="D84" s="1">
        <f>SUM(OSRRefD22_17x_0)</f>
        <v>0</v>
      </c>
      <c r="E84" s="1"/>
      <c r="F84" s="5">
        <f t="shared" ref="F84:F86" si="55">IF(D$12=0,0,D84/D$12)</f>
        <v>0</v>
      </c>
      <c r="G84" s="1"/>
      <c r="H84" s="1">
        <f>SUM(OSRRefH22_17x_0)</f>
        <v>22370.73</v>
      </c>
      <c r="I84" s="1"/>
      <c r="J84" s="5">
        <f t="shared" ref="J84:J86" si="56">IF(H$12=0,0,H84/H$12)</f>
        <v>1.3135331416467388E-2</v>
      </c>
      <c r="K84" s="1"/>
      <c r="L84" s="1">
        <f t="shared" ref="L84:L86" si="57">+D84-H84</f>
        <v>-22370.73</v>
      </c>
      <c r="M84" s="1"/>
      <c r="N84" s="5">
        <f t="shared" ref="N84:N86" si="58">IF(H84=0,0,L84/H84)</f>
        <v>-1</v>
      </c>
      <c r="O84" s="13"/>
      <c r="P84" s="1">
        <f>SUM(OSRRefP22_17x_0)</f>
        <v>0</v>
      </c>
      <c r="Q84" s="1"/>
      <c r="R84" s="5">
        <f t="shared" ref="R84:R86" si="59">IF(P$12=0,0,P84/P$12)</f>
        <v>0</v>
      </c>
      <c r="S84" s="1"/>
      <c r="T84" s="1">
        <f>SUM(OSRRefT22_17x_0)</f>
        <v>114719.6</v>
      </c>
      <c r="U84" s="1"/>
      <c r="V84" s="5">
        <f t="shared" ref="V84:V86" si="60">IF(T$12=0,0,T84/T$12)</f>
        <v>1.4411884435107776E-2</v>
      </c>
      <c r="W84" s="1"/>
      <c r="X84" s="1">
        <f t="shared" ref="X84:X86" si="61">+P84-T84</f>
        <v>-114719.6</v>
      </c>
      <c r="Y84" s="1"/>
      <c r="Z84" s="5">
        <f t="shared" ref="Z84:Z86" si="62">IF(T84=0,0,X84/T84)</f>
        <v>-1</v>
      </c>
    </row>
    <row r="85" spans="1:26" s="24" customFormat="1" hidden="1" outlineLevel="2" x14ac:dyDescent="0.25">
      <c r="A85" s="25"/>
      <c r="B85" s="11" t="str">
        <f>CONCATENATE("          ", "6254", " - ", "ROYALTY &amp; COMMISSIONS")</f>
        <v xml:space="preserve">          6254 - ROYALTY &amp; COMMISSIONS</v>
      </c>
      <c r="C85" s="11"/>
      <c r="D85" s="6"/>
      <c r="E85" s="2"/>
      <c r="F85" s="7">
        <f t="shared" si="55"/>
        <v>0</v>
      </c>
      <c r="G85" s="2"/>
      <c r="H85" s="6">
        <v>8007.21</v>
      </c>
      <c r="I85" s="2"/>
      <c r="J85" s="7">
        <f t="shared" si="56"/>
        <v>4.7015612396757653E-3</v>
      </c>
      <c r="K85" s="2"/>
      <c r="L85" s="6">
        <f t="shared" si="57"/>
        <v>-8007.21</v>
      </c>
      <c r="M85" s="2"/>
      <c r="N85" s="7">
        <f t="shared" si="58"/>
        <v>-1</v>
      </c>
      <c r="O85" s="11"/>
      <c r="P85" s="6"/>
      <c r="Q85" s="2"/>
      <c r="R85" s="7">
        <f t="shared" si="59"/>
        <v>0</v>
      </c>
      <c r="S85" s="2"/>
      <c r="T85" s="6">
        <v>52986.720000000001</v>
      </c>
      <c r="U85" s="2"/>
      <c r="V85" s="7">
        <f t="shared" si="60"/>
        <v>6.6565650964213081E-3</v>
      </c>
      <c r="W85" s="2"/>
      <c r="X85" s="6">
        <f t="shared" si="61"/>
        <v>-52986.720000000001</v>
      </c>
      <c r="Y85" s="2"/>
      <c r="Z85" s="7">
        <f t="shared" si="62"/>
        <v>-1</v>
      </c>
    </row>
    <row r="86" spans="1:26" s="24" customFormat="1" hidden="1" outlineLevel="2" x14ac:dyDescent="0.25">
      <c r="A86" s="25"/>
      <c r="B86" s="11" t="str">
        <f>CONCATENATE("          ", "6259", " - ", "ROYALTY &amp; COMMISSIONS")</f>
        <v xml:space="preserve">          6259 - ROYALTY &amp; COMMISSIONS</v>
      </c>
      <c r="C86" s="11"/>
      <c r="D86" s="6"/>
      <c r="E86" s="2"/>
      <c r="F86" s="7">
        <f t="shared" si="55"/>
        <v>0</v>
      </c>
      <c r="G86" s="2"/>
      <c r="H86" s="6">
        <v>14363.52</v>
      </c>
      <c r="I86" s="2"/>
      <c r="J86" s="7">
        <f t="shared" si="56"/>
        <v>8.4337701767916232E-3</v>
      </c>
      <c r="K86" s="2"/>
      <c r="L86" s="6">
        <f t="shared" si="57"/>
        <v>-14363.52</v>
      </c>
      <c r="M86" s="2"/>
      <c r="N86" s="7">
        <f t="shared" si="58"/>
        <v>-1</v>
      </c>
      <c r="O86" s="11"/>
      <c r="P86" s="6"/>
      <c r="Q86" s="2"/>
      <c r="R86" s="7">
        <f t="shared" si="59"/>
        <v>0</v>
      </c>
      <c r="S86" s="2"/>
      <c r="T86" s="6">
        <v>61732.88</v>
      </c>
      <c r="U86" s="2"/>
      <c r="V86" s="7">
        <f t="shared" si="60"/>
        <v>7.755319338686467E-3</v>
      </c>
      <c r="W86" s="2"/>
      <c r="X86" s="6">
        <f t="shared" si="61"/>
        <v>-61732.88</v>
      </c>
      <c r="Y86" s="2"/>
      <c r="Z86" s="7">
        <f t="shared" si="62"/>
        <v>-1</v>
      </c>
    </row>
    <row r="87" spans="1:26" s="26" customFormat="1" outlineLevel="1" collapsed="1" x14ac:dyDescent="0.25">
      <c r="A87" s="27"/>
      <c r="B87" s="13" t="str">
        <f>CONCATENATE("     ","Services                                          ")</f>
        <v xml:space="preserve">     Services                                          </v>
      </c>
      <c r="C87" s="13"/>
      <c r="D87" s="1">
        <f>SUM(OSRRefD22_18x_0)</f>
        <v>17799.97</v>
      </c>
      <c r="E87" s="1"/>
      <c r="F87" s="5">
        <f t="shared" ref="F87:F92" si="63">IF(D$12=0,0,D87/D$12)</f>
        <v>0.10354193714377223</v>
      </c>
      <c r="G87" s="1"/>
      <c r="H87" s="1">
        <f>SUM(OSRRefH22_18x_0)</f>
        <v>38464.04</v>
      </c>
      <c r="I87" s="1"/>
      <c r="J87" s="5">
        <f t="shared" ref="J87:J92" si="64">IF(H$12=0,0,H87/H$12)</f>
        <v>2.2584775419320618E-2</v>
      </c>
      <c r="K87" s="1"/>
      <c r="L87" s="1">
        <f t="shared" ref="L87:L92" si="65">+D87-H87</f>
        <v>-20664.07</v>
      </c>
      <c r="M87" s="1"/>
      <c r="N87" s="5">
        <f t="shared" ref="N87:N92" si="66">IF(H87=0,0,L87/H87)</f>
        <v>-0.53723087850366213</v>
      </c>
      <c r="O87" s="13"/>
      <c r="P87" s="1">
        <f>SUM(OSRRefP22_18x_0)</f>
        <v>78445.11</v>
      </c>
      <c r="Q87" s="1"/>
      <c r="R87" s="5">
        <f t="shared" ref="R87:R92" si="67">IF(P$12=0,0,P87/P$12)</f>
        <v>0.11647987371814594</v>
      </c>
      <c r="S87" s="1"/>
      <c r="T87" s="1">
        <f>SUM(OSRRefT22_18x_0)</f>
        <v>198607.78999999998</v>
      </c>
      <c r="U87" s="1"/>
      <c r="V87" s="5">
        <f t="shared" ref="V87:V92" si="68">IF(T$12=0,0,T87/T$12)</f>
        <v>2.4950509916284169E-2</v>
      </c>
      <c r="W87" s="1"/>
      <c r="X87" s="1">
        <f t="shared" ref="X87:X92" si="69">+P87-T87</f>
        <v>-120162.67999999998</v>
      </c>
      <c r="Y87" s="1"/>
      <c r="Z87" s="5">
        <f t="shared" ref="Z87:Z92" si="70">IF(T87=0,0,X87/T87)</f>
        <v>-0.60502500934127501</v>
      </c>
    </row>
    <row r="88" spans="1:26" s="24" customFormat="1" hidden="1" outlineLevel="2" x14ac:dyDescent="0.25">
      <c r="A88" s="25"/>
      <c r="B88" s="11" t="str">
        <f>CONCATENATE("          ", "6282", " - ", "JANITORIAL/EXTERMINATOR EXPENS")</f>
        <v xml:space="preserve">          6282 - JANITORIAL/EXTERMINATOR EXPENS</v>
      </c>
      <c r="C88" s="11"/>
      <c r="D88" s="6">
        <v>130.69999999999999</v>
      </c>
      <c r="E88" s="2"/>
      <c r="F88" s="7">
        <f t="shared" si="63"/>
        <v>7.6027831421575593E-4</v>
      </c>
      <c r="G88" s="2"/>
      <c r="H88" s="6">
        <v>2785.87</v>
      </c>
      <c r="I88" s="2"/>
      <c r="J88" s="7">
        <f t="shared" si="64"/>
        <v>1.6357680653780187E-3</v>
      </c>
      <c r="K88" s="2"/>
      <c r="L88" s="6">
        <f t="shared" si="65"/>
        <v>-2655.17</v>
      </c>
      <c r="M88" s="2"/>
      <c r="N88" s="7">
        <f t="shared" si="66"/>
        <v>-0.95308467372849426</v>
      </c>
      <c r="O88" s="11"/>
      <c r="P88" s="6">
        <v>5641.36</v>
      </c>
      <c r="Q88" s="2"/>
      <c r="R88" s="7">
        <f t="shared" si="67"/>
        <v>8.3766202940960856E-3</v>
      </c>
      <c r="S88" s="2"/>
      <c r="T88" s="6">
        <v>14199.35</v>
      </c>
      <c r="U88" s="2"/>
      <c r="V88" s="7">
        <f t="shared" si="68"/>
        <v>1.783822391759103E-3</v>
      </c>
      <c r="W88" s="2"/>
      <c r="X88" s="6">
        <f t="shared" si="69"/>
        <v>-8557.9900000000016</v>
      </c>
      <c r="Y88" s="2"/>
      <c r="Z88" s="7">
        <f t="shared" si="70"/>
        <v>-0.60270294062756402</v>
      </c>
    </row>
    <row r="89" spans="1:26" s="24" customFormat="1" hidden="1" outlineLevel="2" x14ac:dyDescent="0.25">
      <c r="A89" s="25"/>
      <c r="B89" s="11" t="str">
        <f>CONCATENATE("          ", "6283", " - ", "PLANT SERVICE")</f>
        <v xml:space="preserve">          6283 - PLANT SERVICE</v>
      </c>
      <c r="C89" s="11"/>
      <c r="D89" s="6"/>
      <c r="E89" s="2"/>
      <c r="F89" s="7">
        <f t="shared" si="63"/>
        <v>0</v>
      </c>
      <c r="G89" s="2"/>
      <c r="H89" s="6">
        <v>199.78</v>
      </c>
      <c r="I89" s="2"/>
      <c r="J89" s="7">
        <f t="shared" si="64"/>
        <v>1.1730401781175022E-4</v>
      </c>
      <c r="K89" s="2"/>
      <c r="L89" s="6">
        <f t="shared" si="65"/>
        <v>-199.78</v>
      </c>
      <c r="M89" s="2"/>
      <c r="N89" s="7">
        <f t="shared" si="66"/>
        <v>-1</v>
      </c>
      <c r="O89" s="11"/>
      <c r="P89" s="6"/>
      <c r="Q89" s="2"/>
      <c r="R89" s="7">
        <f t="shared" si="67"/>
        <v>0</v>
      </c>
      <c r="S89" s="2"/>
      <c r="T89" s="6">
        <v>799.12</v>
      </c>
      <c r="U89" s="2"/>
      <c r="V89" s="7">
        <f t="shared" si="68"/>
        <v>1.0039108478222837E-4</v>
      </c>
      <c r="W89" s="2"/>
      <c r="X89" s="6">
        <f t="shared" si="69"/>
        <v>-799.12</v>
      </c>
      <c r="Y89" s="2"/>
      <c r="Z89" s="7">
        <f t="shared" si="70"/>
        <v>-1</v>
      </c>
    </row>
    <row r="90" spans="1:26" s="24" customFormat="1" hidden="1" outlineLevel="2" x14ac:dyDescent="0.25">
      <c r="A90" s="25"/>
      <c r="B90" s="11" t="str">
        <f>CONCATENATE("          ", "6284", " - ", "TRASH REMOVAL EXPENSE")</f>
        <v xml:space="preserve">          6284 - TRASH REMOVAL EXPENSE</v>
      </c>
      <c r="C90" s="11"/>
      <c r="D90" s="6">
        <v>5369</v>
      </c>
      <c r="E90" s="2"/>
      <c r="F90" s="7">
        <f t="shared" si="63"/>
        <v>3.1231325700263154E-2</v>
      </c>
      <c r="G90" s="2"/>
      <c r="H90" s="6">
        <v>4199</v>
      </c>
      <c r="I90" s="2"/>
      <c r="J90" s="7">
        <f t="shared" si="64"/>
        <v>2.4655099148640463E-3</v>
      </c>
      <c r="K90" s="2"/>
      <c r="L90" s="6">
        <f t="shared" si="65"/>
        <v>1170</v>
      </c>
      <c r="M90" s="2"/>
      <c r="N90" s="7">
        <f t="shared" si="66"/>
        <v>0.27863777089783281</v>
      </c>
      <c r="O90" s="11"/>
      <c r="P90" s="6">
        <v>13499</v>
      </c>
      <c r="Q90" s="2"/>
      <c r="R90" s="7">
        <f t="shared" si="67"/>
        <v>2.0044102370705478E-2</v>
      </c>
      <c r="S90" s="2"/>
      <c r="T90" s="6">
        <v>13220</v>
      </c>
      <c r="U90" s="2"/>
      <c r="V90" s="7">
        <f t="shared" si="68"/>
        <v>1.6607895445253016E-3</v>
      </c>
      <c r="W90" s="2"/>
      <c r="X90" s="6">
        <f t="shared" si="69"/>
        <v>279</v>
      </c>
      <c r="Y90" s="2"/>
      <c r="Z90" s="7">
        <f t="shared" si="70"/>
        <v>2.1104387291981847E-2</v>
      </c>
    </row>
    <row r="91" spans="1:26" s="24" customFormat="1" hidden="1" outlineLevel="2" x14ac:dyDescent="0.25">
      <c r="A91" s="25"/>
      <c r="B91" s="11" t="str">
        <f>CONCATENATE("          ", "6285", " - ", "JANITORIAL SERVICES")</f>
        <v xml:space="preserve">          6285 - JANITORIAL SERVICES</v>
      </c>
      <c r="C91" s="11"/>
      <c r="D91" s="6">
        <v>11530.59</v>
      </c>
      <c r="E91" s="2"/>
      <c r="F91" s="7">
        <f t="shared" si="63"/>
        <v>6.7073125685639279E-2</v>
      </c>
      <c r="G91" s="2"/>
      <c r="H91" s="6">
        <v>24757.47</v>
      </c>
      <c r="I91" s="2"/>
      <c r="J91" s="7">
        <f t="shared" si="64"/>
        <v>1.4536743927589708E-2</v>
      </c>
      <c r="K91" s="2"/>
      <c r="L91" s="6">
        <f t="shared" si="65"/>
        <v>-13226.880000000001</v>
      </c>
      <c r="M91" s="2"/>
      <c r="N91" s="7">
        <f t="shared" si="66"/>
        <v>-0.5342581451174131</v>
      </c>
      <c r="O91" s="11"/>
      <c r="P91" s="6">
        <v>50542.2</v>
      </c>
      <c r="Q91" s="2"/>
      <c r="R91" s="7">
        <f t="shared" si="67"/>
        <v>7.5048005840482282E-2</v>
      </c>
      <c r="S91" s="2"/>
      <c r="T91" s="6">
        <v>128974.31</v>
      </c>
      <c r="U91" s="2"/>
      <c r="V91" s="7">
        <f t="shared" si="68"/>
        <v>1.6202661540118384E-2</v>
      </c>
      <c r="W91" s="2"/>
      <c r="X91" s="6">
        <f t="shared" si="69"/>
        <v>-78432.11</v>
      </c>
      <c r="Y91" s="2"/>
      <c r="Z91" s="7">
        <f t="shared" si="70"/>
        <v>-0.60812195855128048</v>
      </c>
    </row>
    <row r="92" spans="1:26" s="24" customFormat="1" hidden="1" outlineLevel="2" x14ac:dyDescent="0.25">
      <c r="A92" s="25"/>
      <c r="B92" s="11" t="str">
        <f>CONCATENATE("          ", "6286", " - ", "LAUNDRY EXPENSE")</f>
        <v xml:space="preserve">          6286 - LAUNDRY EXPENSE</v>
      </c>
      <c r="C92" s="11"/>
      <c r="D92" s="6">
        <v>769.68</v>
      </c>
      <c r="E92" s="2"/>
      <c r="F92" s="7">
        <f t="shared" si="63"/>
        <v>4.4772074436540401E-3</v>
      </c>
      <c r="G92" s="2"/>
      <c r="H92" s="6">
        <v>6521.92</v>
      </c>
      <c r="I92" s="2"/>
      <c r="J92" s="7">
        <f t="shared" si="64"/>
        <v>3.8294494936770944E-3</v>
      </c>
      <c r="K92" s="2"/>
      <c r="L92" s="6">
        <f t="shared" si="65"/>
        <v>-5752.24</v>
      </c>
      <c r="M92" s="2"/>
      <c r="N92" s="7">
        <f t="shared" si="66"/>
        <v>-0.88198567293067065</v>
      </c>
      <c r="O92" s="11"/>
      <c r="P92" s="6">
        <v>8762.5499999999993</v>
      </c>
      <c r="Q92" s="2"/>
      <c r="R92" s="7">
        <f t="shared" si="67"/>
        <v>1.3011145212862084E-2</v>
      </c>
      <c r="S92" s="2"/>
      <c r="T92" s="6">
        <v>41415.009999999995</v>
      </c>
      <c r="U92" s="2"/>
      <c r="V92" s="7">
        <f t="shared" si="68"/>
        <v>5.2028453550991534E-3</v>
      </c>
      <c r="W92" s="2"/>
      <c r="X92" s="6">
        <f t="shared" si="69"/>
        <v>-32652.459999999995</v>
      </c>
      <c r="Y92" s="2"/>
      <c r="Z92" s="7">
        <f t="shared" si="70"/>
        <v>-0.78842091309406903</v>
      </c>
    </row>
    <row r="93" spans="1:26" s="26" customFormat="1" outlineLevel="1" collapsed="1" x14ac:dyDescent="0.25">
      <c r="A93" s="27"/>
      <c r="B93" s="13" t="str">
        <f>CONCATENATE("     ","Subscriptions &amp; Dues                              ")</f>
        <v xml:space="preserve">     Subscriptions &amp; Dues                              </v>
      </c>
      <c r="C93" s="13"/>
      <c r="D93" s="1">
        <f>SUM(OSRRefD22_19x_0)</f>
        <v>795</v>
      </c>
      <c r="E93" s="1"/>
      <c r="F93" s="5">
        <f t="shared" ref="F93:F95" si="71">IF(D$12=0,0,D93/D$12)</f>
        <v>4.6244931889940786E-3</v>
      </c>
      <c r="G93" s="1"/>
      <c r="H93" s="1">
        <f>SUM(OSRRefH22_19x_0)</f>
        <v>454.78</v>
      </c>
      <c r="I93" s="1"/>
      <c r="J93" s="5">
        <f t="shared" ref="J93:J95" si="72">IF(H$12=0,0,H93/H$12)</f>
        <v>2.6703134057677326E-4</v>
      </c>
      <c r="K93" s="1"/>
      <c r="L93" s="1">
        <f t="shared" ref="L93:L95" si="73">+D93-H93</f>
        <v>340.22</v>
      </c>
      <c r="M93" s="1"/>
      <c r="N93" s="5">
        <f t="shared" ref="N93:N95" si="74">IF(H93=0,0,L93/H93)</f>
        <v>0.74809798144157624</v>
      </c>
      <c r="O93" s="13"/>
      <c r="P93" s="1">
        <f>SUM(OSRRefP22_19x_0)</f>
        <v>1066.33</v>
      </c>
      <c r="Q93" s="1"/>
      <c r="R93" s="5">
        <f t="shared" ref="R93:R95" si="75">IF(P$12=0,0,P93/P$12)</f>
        <v>1.5833489651792259E-3</v>
      </c>
      <c r="S93" s="1"/>
      <c r="T93" s="1">
        <f>SUM(OSRRefT22_19x_0)</f>
        <v>2151.1799999999998</v>
      </c>
      <c r="U93" s="1"/>
      <c r="V93" s="5">
        <f t="shared" ref="V93:V95" si="76">IF(T$12=0,0,T93/T$12)</f>
        <v>2.702463882293448E-4</v>
      </c>
      <c r="W93" s="1"/>
      <c r="X93" s="1">
        <f t="shared" ref="X93:X95" si="77">+P93-T93</f>
        <v>-1084.8499999999999</v>
      </c>
      <c r="Y93" s="1"/>
      <c r="Z93" s="5">
        <f t="shared" ref="Z93:Z95" si="78">IF(T93=0,0,X93/T93)</f>
        <v>-0.504304614211735</v>
      </c>
    </row>
    <row r="94" spans="1:26" s="24" customFormat="1" hidden="1" outlineLevel="2" x14ac:dyDescent="0.25">
      <c r="A94" s="25"/>
      <c r="B94" s="11" t="str">
        <f>CONCATENATE("          ", "6258", " - ", "MEMBERSHIP DUES")</f>
        <v xml:space="preserve">          6258 - MEMBERSHIP DUES</v>
      </c>
      <c r="C94" s="11"/>
      <c r="D94" s="6">
        <v>795</v>
      </c>
      <c r="E94" s="2"/>
      <c r="F94" s="7">
        <f t="shared" si="71"/>
        <v>4.6244931889940786E-3</v>
      </c>
      <c r="G94" s="2"/>
      <c r="H94" s="6"/>
      <c r="I94" s="2"/>
      <c r="J94" s="7">
        <f t="shared" si="72"/>
        <v>0</v>
      </c>
      <c r="K94" s="2"/>
      <c r="L94" s="6">
        <f t="shared" si="73"/>
        <v>795</v>
      </c>
      <c r="M94" s="2"/>
      <c r="N94" s="7">
        <f t="shared" si="74"/>
        <v>0</v>
      </c>
      <c r="O94" s="11"/>
      <c r="P94" s="6">
        <v>795</v>
      </c>
      <c r="Q94" s="2"/>
      <c r="R94" s="7">
        <f t="shared" si="75"/>
        <v>1.1804623590422145E-3</v>
      </c>
      <c r="S94" s="2"/>
      <c r="T94" s="6"/>
      <c r="U94" s="2"/>
      <c r="V94" s="7">
        <f t="shared" si="76"/>
        <v>0</v>
      </c>
      <c r="W94" s="2"/>
      <c r="X94" s="6">
        <f t="shared" si="77"/>
        <v>795</v>
      </c>
      <c r="Y94" s="2"/>
      <c r="Z94" s="7">
        <f t="shared" si="78"/>
        <v>0</v>
      </c>
    </row>
    <row r="95" spans="1:26" s="24" customFormat="1" hidden="1" outlineLevel="2" x14ac:dyDescent="0.25">
      <c r="A95" s="25"/>
      <c r="B95" s="11" t="str">
        <f>CONCATENATE("          ", "6275", " - ", "SUBSCRIPTIONS")</f>
        <v xml:space="preserve">          6275 - SUBSCRIPTIONS</v>
      </c>
      <c r="C95" s="11"/>
      <c r="D95" s="6"/>
      <c r="E95" s="2"/>
      <c r="F95" s="7">
        <f t="shared" si="71"/>
        <v>0</v>
      </c>
      <c r="G95" s="2"/>
      <c r="H95" s="6">
        <v>454.78</v>
      </c>
      <c r="I95" s="2"/>
      <c r="J95" s="7">
        <f t="shared" si="72"/>
        <v>2.6703134057677326E-4</v>
      </c>
      <c r="K95" s="2"/>
      <c r="L95" s="6">
        <f t="shared" si="73"/>
        <v>-454.78</v>
      </c>
      <c r="M95" s="2"/>
      <c r="N95" s="7">
        <f t="shared" si="74"/>
        <v>-1</v>
      </c>
      <c r="O95" s="11"/>
      <c r="P95" s="6">
        <v>271.33</v>
      </c>
      <c r="Q95" s="2"/>
      <c r="R95" s="7">
        <f t="shared" si="75"/>
        <v>4.0288660613701144E-4</v>
      </c>
      <c r="S95" s="2"/>
      <c r="T95" s="6">
        <v>2151.1799999999998</v>
      </c>
      <c r="U95" s="2"/>
      <c r="V95" s="7">
        <f t="shared" si="76"/>
        <v>2.702463882293448E-4</v>
      </c>
      <c r="W95" s="2"/>
      <c r="X95" s="6">
        <f t="shared" si="77"/>
        <v>-1879.85</v>
      </c>
      <c r="Y95" s="2"/>
      <c r="Z95" s="7">
        <f t="shared" si="78"/>
        <v>-0.87386922526241417</v>
      </c>
    </row>
    <row r="96" spans="1:26" s="26" customFormat="1" outlineLevel="1" collapsed="1" x14ac:dyDescent="0.25">
      <c r="A96" s="27"/>
      <c r="B96" s="13" t="str">
        <f>CONCATENATE("     ","Supplies                                          ")</f>
        <v xml:space="preserve">     Supplies                                          </v>
      </c>
      <c r="C96" s="13"/>
      <c r="D96" s="1">
        <f>SUM(OSRRefD22_20x_0)</f>
        <v>21462.29</v>
      </c>
      <c r="E96" s="1"/>
      <c r="F96" s="5">
        <f t="shared" ref="F96:F105" si="79">IF(D$12=0,0,D96/D$12)</f>
        <v>0.12484555210718959</v>
      </c>
      <c r="G96" s="1"/>
      <c r="H96" s="1">
        <f>SUM(OSRRefH22_20x_0)</f>
        <v>31866.7</v>
      </c>
      <c r="I96" s="1"/>
      <c r="J96" s="5">
        <f t="shared" ref="J96:J105" si="80">IF(H$12=0,0,H96/H$12)</f>
        <v>1.8711041868063372E-2</v>
      </c>
      <c r="K96" s="1"/>
      <c r="L96" s="1">
        <f t="shared" ref="L96:L105" si="81">+D96-H96</f>
        <v>-10404.41</v>
      </c>
      <c r="M96" s="1"/>
      <c r="N96" s="5">
        <f t="shared" ref="N96:N105" si="82">IF(H96=0,0,L96/H96)</f>
        <v>-0.32649788023234283</v>
      </c>
      <c r="O96" s="13"/>
      <c r="P96" s="1">
        <f>SUM(OSRRefP22_20x_0)</f>
        <v>54432.51999999999</v>
      </c>
      <c r="Q96" s="1"/>
      <c r="R96" s="5">
        <f t="shared" ref="R96:R105" si="83">IF(P$12=0,0,P96/P$12)</f>
        <v>8.0824579833726429E-2</v>
      </c>
      <c r="S96" s="1"/>
      <c r="T96" s="1">
        <f>SUM(OSRRefT22_20x_0)</f>
        <v>228073.06000000003</v>
      </c>
      <c r="U96" s="1"/>
      <c r="V96" s="5">
        <f t="shared" ref="V96:V105" si="84">IF(T$12=0,0,T96/T$12)</f>
        <v>2.8652144737964586E-2</v>
      </c>
      <c r="W96" s="1"/>
      <c r="X96" s="1">
        <f t="shared" ref="X96:X105" si="85">+P96-T96</f>
        <v>-173640.54000000004</v>
      </c>
      <c r="Y96" s="1"/>
      <c r="Z96" s="5">
        <f t="shared" ref="Z96:Z105" si="86">IF(T96=0,0,X96/T96)</f>
        <v>-0.76133735391632851</v>
      </c>
    </row>
    <row r="97" spans="1:26" s="24" customFormat="1" hidden="1" outlineLevel="2" x14ac:dyDescent="0.25">
      <c r="A97" s="25"/>
      <c r="B97" s="11" t="str">
        <f>CONCATENATE("          ", "6234", " - ", "EXPENDABLE SUPPLIES &amp; EQUIPMEN")</f>
        <v xml:space="preserve">          6234 - EXPENDABLE SUPPLIES &amp; EQUIPMEN</v>
      </c>
      <c r="C97" s="11"/>
      <c r="D97" s="6"/>
      <c r="E97" s="2"/>
      <c r="F97" s="7">
        <f t="shared" si="79"/>
        <v>0</v>
      </c>
      <c r="G97" s="2"/>
      <c r="H97" s="6">
        <v>555.83000000000004</v>
      </c>
      <c r="I97" s="2"/>
      <c r="J97" s="7">
        <f t="shared" si="80"/>
        <v>3.2636446200973634E-4</v>
      </c>
      <c r="K97" s="2"/>
      <c r="L97" s="6">
        <f t="shared" si="81"/>
        <v>-555.83000000000004</v>
      </c>
      <c r="M97" s="2"/>
      <c r="N97" s="7">
        <f t="shared" si="82"/>
        <v>-1</v>
      </c>
      <c r="O97" s="11"/>
      <c r="P97" s="6">
        <v>310.91000000000003</v>
      </c>
      <c r="Q97" s="2"/>
      <c r="R97" s="7">
        <f t="shared" si="83"/>
        <v>4.6165729817586792E-4</v>
      </c>
      <c r="S97" s="2"/>
      <c r="T97" s="6">
        <v>12302.72</v>
      </c>
      <c r="U97" s="2"/>
      <c r="V97" s="7">
        <f t="shared" si="84"/>
        <v>1.5455543680198424E-3</v>
      </c>
      <c r="W97" s="2"/>
      <c r="X97" s="6">
        <f t="shared" si="85"/>
        <v>-11991.81</v>
      </c>
      <c r="Y97" s="2"/>
      <c r="Z97" s="7">
        <f t="shared" si="86"/>
        <v>-0.97472835275451286</v>
      </c>
    </row>
    <row r="98" spans="1:26" s="24" customFormat="1" hidden="1" outlineLevel="2" x14ac:dyDescent="0.25">
      <c r="A98" s="25"/>
      <c r="B98" s="11" t="str">
        <f>CONCATENATE("          ", "6235", " - ", "COVID-19 EXPENSES")</f>
        <v xml:space="preserve">          6235 - COVID-19 EXPENSES</v>
      </c>
      <c r="C98" s="11"/>
      <c r="D98" s="6">
        <v>11925.52</v>
      </c>
      <c r="E98" s="2"/>
      <c r="F98" s="7">
        <f t="shared" si="79"/>
        <v>6.9370422660644859E-2</v>
      </c>
      <c r="G98" s="2"/>
      <c r="H98" s="6"/>
      <c r="I98" s="2"/>
      <c r="J98" s="7">
        <f t="shared" si="80"/>
        <v>0</v>
      </c>
      <c r="K98" s="2"/>
      <c r="L98" s="6">
        <f t="shared" si="81"/>
        <v>11925.52</v>
      </c>
      <c r="M98" s="2"/>
      <c r="N98" s="7">
        <f t="shared" si="82"/>
        <v>0</v>
      </c>
      <c r="O98" s="11"/>
      <c r="P98" s="6">
        <v>49894.03</v>
      </c>
      <c r="Q98" s="2"/>
      <c r="R98" s="7">
        <f t="shared" si="83"/>
        <v>7.4085565227576131E-2</v>
      </c>
      <c r="S98" s="2"/>
      <c r="T98" s="6"/>
      <c r="U98" s="2"/>
      <c r="V98" s="7">
        <f t="shared" si="84"/>
        <v>0</v>
      </c>
      <c r="W98" s="2"/>
      <c r="X98" s="6">
        <f t="shared" si="85"/>
        <v>49894.03</v>
      </c>
      <c r="Y98" s="2"/>
      <c r="Z98" s="7">
        <f t="shared" si="86"/>
        <v>0</v>
      </c>
    </row>
    <row r="99" spans="1:26" s="24" customFormat="1" hidden="1" outlineLevel="2" x14ac:dyDescent="0.25">
      <c r="A99" s="25"/>
      <c r="B99" s="11" t="str">
        <f>CONCATENATE("          ", "6237", " - ", "JANITORIAL SUPPLIES")</f>
        <v xml:space="preserve">          6237 - JANITORIAL SUPPLIES</v>
      </c>
      <c r="C99" s="11"/>
      <c r="D99" s="6">
        <v>462.1</v>
      </c>
      <c r="E99" s="2"/>
      <c r="F99" s="7">
        <f t="shared" si="79"/>
        <v>2.6880230221813378E-3</v>
      </c>
      <c r="G99" s="2"/>
      <c r="H99" s="6">
        <v>13258.98</v>
      </c>
      <c r="I99" s="2"/>
      <c r="J99" s="7">
        <f t="shared" si="80"/>
        <v>7.7852218744901376E-3</v>
      </c>
      <c r="K99" s="2"/>
      <c r="L99" s="6">
        <f t="shared" si="81"/>
        <v>-12796.88</v>
      </c>
      <c r="M99" s="2"/>
      <c r="N99" s="7">
        <f t="shared" si="82"/>
        <v>-0.965148148650952</v>
      </c>
      <c r="O99" s="11"/>
      <c r="P99" s="6">
        <v>8622.31</v>
      </c>
      <c r="Q99" s="2"/>
      <c r="R99" s="7">
        <f t="shared" si="83"/>
        <v>1.2802908683010412E-2</v>
      </c>
      <c r="S99" s="2"/>
      <c r="T99" s="6">
        <v>69601.48</v>
      </c>
      <c r="U99" s="2"/>
      <c r="V99" s="7">
        <f t="shared" si="84"/>
        <v>8.7438283107024867E-3</v>
      </c>
      <c r="W99" s="2"/>
      <c r="X99" s="6">
        <f t="shared" si="85"/>
        <v>-60979.17</v>
      </c>
      <c r="Y99" s="2"/>
      <c r="Z99" s="7">
        <f t="shared" si="86"/>
        <v>-0.8761188698861001</v>
      </c>
    </row>
    <row r="100" spans="1:26" s="24" customFormat="1" hidden="1" outlineLevel="2" x14ac:dyDescent="0.25">
      <c r="A100" s="25"/>
      <c r="B100" s="11" t="str">
        <f>CONCATENATE("          ", "6239", " - ", "KITCHEN SUPPLIES")</f>
        <v xml:space="preserve">          6239 - KITCHEN SUPPLIES</v>
      </c>
      <c r="C100" s="11"/>
      <c r="D100" s="6">
        <v>1494.83</v>
      </c>
      <c r="E100" s="2"/>
      <c r="F100" s="7">
        <f t="shared" si="79"/>
        <v>8.695385098998764E-3</v>
      </c>
      <c r="G100" s="2"/>
      <c r="H100" s="6">
        <v>4934.26</v>
      </c>
      <c r="I100" s="2"/>
      <c r="J100" s="7">
        <f t="shared" si="80"/>
        <v>2.8972295671629124E-3</v>
      </c>
      <c r="K100" s="2"/>
      <c r="L100" s="6">
        <f t="shared" si="81"/>
        <v>-3439.4300000000003</v>
      </c>
      <c r="M100" s="2"/>
      <c r="N100" s="7">
        <f t="shared" si="82"/>
        <v>-0.69705082423706899</v>
      </c>
      <c r="O100" s="11"/>
      <c r="P100" s="6">
        <v>5686.34</v>
      </c>
      <c r="Q100" s="2"/>
      <c r="R100" s="7">
        <f t="shared" si="83"/>
        <v>8.4434092210265502E-3</v>
      </c>
      <c r="S100" s="2"/>
      <c r="T100" s="6">
        <v>51806.23</v>
      </c>
      <c r="U100" s="2"/>
      <c r="V100" s="7">
        <f t="shared" si="84"/>
        <v>6.5082636252097601E-3</v>
      </c>
      <c r="W100" s="2"/>
      <c r="X100" s="6">
        <f t="shared" si="85"/>
        <v>-46119.89</v>
      </c>
      <c r="Y100" s="2"/>
      <c r="Z100" s="7">
        <f t="shared" si="86"/>
        <v>-0.89023829759471007</v>
      </c>
    </row>
    <row r="101" spans="1:26" s="24" customFormat="1" hidden="1" outlineLevel="2" x14ac:dyDescent="0.25">
      <c r="A101" s="25"/>
      <c r="B101" s="11" t="str">
        <f>CONCATENATE("          ", "6241", " - ", "OFFICE EXPENSE")</f>
        <v xml:space="preserve">          6241 - OFFICE EXPENSE</v>
      </c>
      <c r="C101" s="11"/>
      <c r="D101" s="6">
        <v>1207.05</v>
      </c>
      <c r="E101" s="2"/>
      <c r="F101" s="7">
        <f t="shared" si="79"/>
        <v>7.021376734308556E-3</v>
      </c>
      <c r="G101" s="2"/>
      <c r="H101" s="6">
        <v>3675.98</v>
      </c>
      <c r="I101" s="2"/>
      <c r="J101" s="7">
        <f t="shared" si="80"/>
        <v>2.1584103683834096E-3</v>
      </c>
      <c r="K101" s="2"/>
      <c r="L101" s="6">
        <f t="shared" si="81"/>
        <v>-2468.9300000000003</v>
      </c>
      <c r="M101" s="2"/>
      <c r="N101" s="7">
        <f t="shared" si="82"/>
        <v>-0.67163858345257599</v>
      </c>
      <c r="O101" s="11"/>
      <c r="P101" s="6">
        <v>-26561.350000000002</v>
      </c>
      <c r="Q101" s="2"/>
      <c r="R101" s="7">
        <f t="shared" si="83"/>
        <v>-3.9439841358925698E-2</v>
      </c>
      <c r="S101" s="2"/>
      <c r="T101" s="6">
        <v>39246.33</v>
      </c>
      <c r="U101" s="2"/>
      <c r="V101" s="7">
        <f t="shared" si="84"/>
        <v>4.9304004935695677E-3</v>
      </c>
      <c r="W101" s="2"/>
      <c r="X101" s="6">
        <f t="shared" si="85"/>
        <v>-65807.680000000008</v>
      </c>
      <c r="Y101" s="2"/>
      <c r="Z101" s="7">
        <f t="shared" si="86"/>
        <v>-1.6767855746002238</v>
      </c>
    </row>
    <row r="102" spans="1:26" s="24" customFormat="1" hidden="1" outlineLevel="2" x14ac:dyDescent="0.25">
      <c r="A102" s="25"/>
      <c r="B102" s="11" t="str">
        <f>CONCATENATE("          ", "6243", " - ", "PAPER SUPPLIES")</f>
        <v xml:space="preserve">          6243 - PAPER SUPPLIES</v>
      </c>
      <c r="C102" s="11"/>
      <c r="D102" s="6">
        <v>5686.88</v>
      </c>
      <c r="E102" s="2"/>
      <c r="F102" s="7">
        <f t="shared" si="79"/>
        <v>3.3080424939153009E-2</v>
      </c>
      <c r="G102" s="2"/>
      <c r="H102" s="6">
        <v>7359.61</v>
      </c>
      <c r="I102" s="2"/>
      <c r="J102" s="7">
        <f t="shared" si="80"/>
        <v>4.3213125564497698E-3</v>
      </c>
      <c r="K102" s="2"/>
      <c r="L102" s="6">
        <f t="shared" si="81"/>
        <v>-1672.7299999999996</v>
      </c>
      <c r="M102" s="2"/>
      <c r="N102" s="7">
        <f t="shared" si="82"/>
        <v>-0.22728514146809406</v>
      </c>
      <c r="O102" s="11"/>
      <c r="P102" s="6">
        <v>11979.69</v>
      </c>
      <c r="Q102" s="2"/>
      <c r="R102" s="7">
        <f t="shared" si="83"/>
        <v>1.7788142286785446E-2</v>
      </c>
      <c r="S102" s="2"/>
      <c r="T102" s="6">
        <v>50085.89</v>
      </c>
      <c r="U102" s="2"/>
      <c r="V102" s="7">
        <f t="shared" si="84"/>
        <v>6.2921423933619035E-3</v>
      </c>
      <c r="W102" s="2"/>
      <c r="X102" s="6">
        <f t="shared" si="85"/>
        <v>-38106.199999999997</v>
      </c>
      <c r="Y102" s="2"/>
      <c r="Z102" s="7">
        <f t="shared" si="86"/>
        <v>-0.76081706843983399</v>
      </c>
    </row>
    <row r="103" spans="1:26" s="24" customFormat="1" hidden="1" outlineLevel="2" x14ac:dyDescent="0.25">
      <c r="A103" s="25"/>
      <c r="B103" s="11" t="str">
        <f>CONCATENATE("          ", "6245", " - ", "PRINTING")</f>
        <v xml:space="preserve">          6245 - PRINTING</v>
      </c>
      <c r="C103" s="11"/>
      <c r="D103" s="6"/>
      <c r="E103" s="2"/>
      <c r="F103" s="7">
        <f t="shared" si="79"/>
        <v>0</v>
      </c>
      <c r="G103" s="2"/>
      <c r="H103" s="6">
        <v>15.99</v>
      </c>
      <c r="I103" s="2"/>
      <c r="J103" s="7">
        <f t="shared" si="80"/>
        <v>9.3887838863243857E-6</v>
      </c>
      <c r="K103" s="2"/>
      <c r="L103" s="6">
        <f t="shared" si="81"/>
        <v>-15.99</v>
      </c>
      <c r="M103" s="2"/>
      <c r="N103" s="7">
        <f t="shared" si="82"/>
        <v>-1</v>
      </c>
      <c r="O103" s="11"/>
      <c r="P103" s="6"/>
      <c r="Q103" s="2"/>
      <c r="R103" s="7">
        <f t="shared" si="83"/>
        <v>0</v>
      </c>
      <c r="S103" s="2"/>
      <c r="T103" s="6">
        <v>1622.34</v>
      </c>
      <c r="U103" s="2"/>
      <c r="V103" s="7">
        <f t="shared" si="84"/>
        <v>2.0380978136650362E-4</v>
      </c>
      <c r="W103" s="2"/>
      <c r="X103" s="6">
        <f t="shared" si="85"/>
        <v>-1622.34</v>
      </c>
      <c r="Y103" s="2"/>
      <c r="Z103" s="7">
        <f t="shared" si="86"/>
        <v>-1</v>
      </c>
    </row>
    <row r="104" spans="1:26" s="24" customFormat="1" hidden="1" outlineLevel="2" x14ac:dyDescent="0.25">
      <c r="A104" s="25"/>
      <c r="B104" s="11" t="str">
        <f>CONCATENATE("          ", "6247", " - ", "STORE SUPPLIES")</f>
        <v xml:space="preserve">          6247 - STORE SUPPLIES</v>
      </c>
      <c r="C104" s="11"/>
      <c r="D104" s="6"/>
      <c r="E104" s="2"/>
      <c r="F104" s="7">
        <f t="shared" si="79"/>
        <v>0</v>
      </c>
      <c r="G104" s="2"/>
      <c r="H104" s="6">
        <v>1245.1400000000001</v>
      </c>
      <c r="I104" s="2"/>
      <c r="J104" s="7">
        <f t="shared" si="80"/>
        <v>7.3110383791231688E-4</v>
      </c>
      <c r="K104" s="2"/>
      <c r="L104" s="6">
        <f t="shared" si="81"/>
        <v>-1245.1400000000001</v>
      </c>
      <c r="M104" s="2"/>
      <c r="N104" s="7">
        <f t="shared" si="82"/>
        <v>-1</v>
      </c>
      <c r="O104" s="11"/>
      <c r="P104" s="6"/>
      <c r="Q104" s="2"/>
      <c r="R104" s="7">
        <f t="shared" si="83"/>
        <v>0</v>
      </c>
      <c r="S104" s="2"/>
      <c r="T104" s="6">
        <v>3559.67</v>
      </c>
      <c r="U104" s="2"/>
      <c r="V104" s="7">
        <f t="shared" si="84"/>
        <v>4.4719082586689715E-4</v>
      </c>
      <c r="W104" s="2"/>
      <c r="X104" s="6">
        <f t="shared" si="85"/>
        <v>-3559.67</v>
      </c>
      <c r="Y104" s="2"/>
      <c r="Z104" s="7">
        <f t="shared" si="86"/>
        <v>-1</v>
      </c>
    </row>
    <row r="105" spans="1:26" s="24" customFormat="1" hidden="1" outlineLevel="2" x14ac:dyDescent="0.25">
      <c r="A105" s="25"/>
      <c r="B105" s="11" t="str">
        <f>CONCATENATE("          ", "6248", " - ", "UNIFORMS")</f>
        <v xml:space="preserve">          6248 - UNIFORMS</v>
      </c>
      <c r="C105" s="11"/>
      <c r="D105" s="6">
        <v>685.91</v>
      </c>
      <c r="E105" s="2"/>
      <c r="F105" s="7">
        <f t="shared" si="79"/>
        <v>3.9899196519030539E-3</v>
      </c>
      <c r="G105" s="2"/>
      <c r="H105" s="6">
        <v>820.91</v>
      </c>
      <c r="I105" s="2"/>
      <c r="J105" s="7">
        <f t="shared" si="80"/>
        <v>4.8201041776876495E-4</v>
      </c>
      <c r="K105" s="2"/>
      <c r="L105" s="6">
        <f t="shared" si="81"/>
        <v>-135</v>
      </c>
      <c r="M105" s="2"/>
      <c r="N105" s="7">
        <f t="shared" si="82"/>
        <v>-0.16445164512553143</v>
      </c>
      <c r="O105" s="11"/>
      <c r="P105" s="6">
        <v>4500.59</v>
      </c>
      <c r="Q105" s="2"/>
      <c r="R105" s="7">
        <f t="shared" si="83"/>
        <v>6.6827384760777368E-3</v>
      </c>
      <c r="S105" s="2"/>
      <c r="T105" s="6">
        <v>-151.6</v>
      </c>
      <c r="U105" s="2"/>
      <c r="V105" s="7">
        <f t="shared" si="84"/>
        <v>-1.9045060132377893E-5</v>
      </c>
      <c r="W105" s="2"/>
      <c r="X105" s="6">
        <f t="shared" si="85"/>
        <v>4652.1900000000005</v>
      </c>
      <c r="Y105" s="2"/>
      <c r="Z105" s="7">
        <f t="shared" si="86"/>
        <v>-30.687269129287603</v>
      </c>
    </row>
    <row r="106" spans="1:26" s="26" customFormat="1" outlineLevel="1" collapsed="1" x14ac:dyDescent="0.25">
      <c r="A106" s="27"/>
      <c r="B106" s="13" t="str">
        <f>CONCATENATE("     ","Telephone/Data Lines                              ")</f>
        <v xml:space="preserve">     Telephone/Data Lines                              </v>
      </c>
      <c r="C106" s="13"/>
      <c r="D106" s="1">
        <f>SUM(OSRRefD22_21x_0)</f>
        <v>1120.0999999999999</v>
      </c>
      <c r="E106" s="1"/>
      <c r="F106" s="5">
        <f t="shared" ref="F106:F113" si="87">IF(D$12=0,0,D106/D$12)</f>
        <v>6.5155909698015931E-3</v>
      </c>
      <c r="G106" s="1"/>
      <c r="H106" s="1">
        <f>SUM(OSRRefH22_21x_0)</f>
        <v>2184.87</v>
      </c>
      <c r="I106" s="1"/>
      <c r="J106" s="5">
        <f t="shared" ref="J106:J113" si="88">IF(H$12=0,0,H106/H$12)</f>
        <v>1.2828813164298663E-3</v>
      </c>
      <c r="K106" s="1"/>
      <c r="L106" s="1">
        <f t="shared" ref="L106:L113" si="89">+D106-H106</f>
        <v>-1064.77</v>
      </c>
      <c r="M106" s="1"/>
      <c r="N106" s="5">
        <f t="shared" ref="N106:N113" si="90">IF(H106=0,0,L106/H106)</f>
        <v>-0.48733791941854665</v>
      </c>
      <c r="O106" s="13"/>
      <c r="P106" s="1">
        <f>SUM(OSRRefP22_21x_0)</f>
        <v>7343.49</v>
      </c>
      <c r="Q106" s="1"/>
      <c r="R106" s="5">
        <f t="shared" ref="R106:R113" si="91">IF(P$12=0,0,P106/P$12)</f>
        <v>1.090404217484643E-2</v>
      </c>
      <c r="S106" s="1"/>
      <c r="T106" s="1">
        <f>SUM(OSRRefT22_21x_0)</f>
        <v>11538.23</v>
      </c>
      <c r="U106" s="1"/>
      <c r="V106" s="5">
        <f t="shared" ref="V106:V113" si="92">IF(T$12=0,0,T106/T$12)</f>
        <v>1.4495137478311778E-3</v>
      </c>
      <c r="W106" s="1"/>
      <c r="X106" s="1">
        <f t="shared" ref="X106:X113" si="93">+P106-T106</f>
        <v>-4194.74</v>
      </c>
      <c r="Y106" s="1"/>
      <c r="Z106" s="5">
        <f t="shared" ref="Z106:Z113" si="94">IF(T106=0,0,X106/T106)</f>
        <v>-0.36355142859866718</v>
      </c>
    </row>
    <row r="107" spans="1:26" s="24" customFormat="1" hidden="1" outlineLevel="2" x14ac:dyDescent="0.25">
      <c r="A107" s="25"/>
      <c r="B107" s="11" t="str">
        <f>CONCATENATE("          ", "6309", " - ", "TELEPHONE")</f>
        <v xml:space="preserve">          6309 - TELEPHONE</v>
      </c>
      <c r="C107" s="11"/>
      <c r="D107" s="6">
        <v>1120.0999999999999</v>
      </c>
      <c r="E107" s="2"/>
      <c r="F107" s="7">
        <f t="shared" si="87"/>
        <v>6.5155909698015931E-3</v>
      </c>
      <c r="G107" s="2"/>
      <c r="H107" s="6">
        <v>2184.87</v>
      </c>
      <c r="I107" s="2"/>
      <c r="J107" s="7">
        <f t="shared" si="88"/>
        <v>1.2828813164298663E-3</v>
      </c>
      <c r="K107" s="2"/>
      <c r="L107" s="6">
        <f t="shared" si="89"/>
        <v>-1064.77</v>
      </c>
      <c r="M107" s="2"/>
      <c r="N107" s="7">
        <f t="shared" si="90"/>
        <v>-0.48733791941854665</v>
      </c>
      <c r="O107" s="11"/>
      <c r="P107" s="6">
        <v>7343.49</v>
      </c>
      <c r="Q107" s="2"/>
      <c r="R107" s="7">
        <f t="shared" si="91"/>
        <v>1.090404217484643E-2</v>
      </c>
      <c r="S107" s="2"/>
      <c r="T107" s="6">
        <v>11538.23</v>
      </c>
      <c r="U107" s="2"/>
      <c r="V107" s="7">
        <f t="shared" si="92"/>
        <v>1.4495137478311778E-3</v>
      </c>
      <c r="W107" s="2"/>
      <c r="X107" s="6">
        <f t="shared" si="93"/>
        <v>-4194.74</v>
      </c>
      <c r="Y107" s="2"/>
      <c r="Z107" s="7">
        <f t="shared" si="94"/>
        <v>-0.36355142859866718</v>
      </c>
    </row>
    <row r="108" spans="1:26" s="26" customFormat="1" outlineLevel="1" collapsed="1" x14ac:dyDescent="0.25">
      <c r="A108" s="27"/>
      <c r="B108" s="13" t="str">
        <f>CONCATENATE("     ","Training                                          ")</f>
        <v xml:space="preserve">     Training                                          </v>
      </c>
      <c r="C108" s="13"/>
      <c r="D108" s="1">
        <f>SUM(OSRRefD22_22x_0)</f>
        <v>400</v>
      </c>
      <c r="E108" s="1"/>
      <c r="F108" s="5">
        <f t="shared" si="87"/>
        <v>2.32678902590897E-3</v>
      </c>
      <c r="G108" s="1"/>
      <c r="H108" s="1">
        <f>SUM(OSRRefH22_22x_0)</f>
        <v>610</v>
      </c>
      <c r="I108" s="1"/>
      <c r="J108" s="5">
        <f t="shared" si="88"/>
        <v>3.5817124269280022E-4</v>
      </c>
      <c r="K108" s="1"/>
      <c r="L108" s="1">
        <f t="shared" si="89"/>
        <v>-210</v>
      </c>
      <c r="M108" s="1"/>
      <c r="N108" s="5">
        <f t="shared" si="90"/>
        <v>-0.34426229508196721</v>
      </c>
      <c r="O108" s="13"/>
      <c r="P108" s="1">
        <f>SUM(OSRRefP22_22x_0)</f>
        <v>1135</v>
      </c>
      <c r="Q108" s="1"/>
      <c r="R108" s="5">
        <f t="shared" si="91"/>
        <v>1.6853141855508347E-3</v>
      </c>
      <c r="S108" s="1"/>
      <c r="T108" s="1">
        <f>SUM(OSRRefT22_22x_0)</f>
        <v>5909.77</v>
      </c>
      <c r="U108" s="1"/>
      <c r="V108" s="5">
        <f t="shared" si="92"/>
        <v>7.4242694603247298E-4</v>
      </c>
      <c r="W108" s="1"/>
      <c r="X108" s="1">
        <f t="shared" si="93"/>
        <v>-4774.7700000000004</v>
      </c>
      <c r="Y108" s="1"/>
      <c r="Z108" s="5">
        <f t="shared" si="94"/>
        <v>-0.80794514845755416</v>
      </c>
    </row>
    <row r="109" spans="1:26" s="24" customFormat="1" hidden="1" outlineLevel="2" x14ac:dyDescent="0.25">
      <c r="A109" s="25"/>
      <c r="B109" s="11" t="str">
        <f>CONCATENATE("          ", "6376", " - ", "TRAINING")</f>
        <v xml:space="preserve">          6376 - TRAINING</v>
      </c>
      <c r="C109" s="11"/>
      <c r="D109" s="6">
        <v>400</v>
      </c>
      <c r="E109" s="2"/>
      <c r="F109" s="7">
        <f t="shared" si="87"/>
        <v>2.32678902590897E-3</v>
      </c>
      <c r="G109" s="2"/>
      <c r="H109" s="6">
        <v>610</v>
      </c>
      <c r="I109" s="2"/>
      <c r="J109" s="7">
        <f t="shared" si="88"/>
        <v>3.5817124269280022E-4</v>
      </c>
      <c r="K109" s="2"/>
      <c r="L109" s="6">
        <f t="shared" si="89"/>
        <v>-210</v>
      </c>
      <c r="M109" s="2"/>
      <c r="N109" s="7">
        <f t="shared" si="90"/>
        <v>-0.34426229508196721</v>
      </c>
      <c r="O109" s="11"/>
      <c r="P109" s="6">
        <v>1135</v>
      </c>
      <c r="Q109" s="2"/>
      <c r="R109" s="7">
        <f t="shared" si="91"/>
        <v>1.6853141855508347E-3</v>
      </c>
      <c r="S109" s="2"/>
      <c r="T109" s="6">
        <v>5909.77</v>
      </c>
      <c r="U109" s="2"/>
      <c r="V109" s="7">
        <f t="shared" si="92"/>
        <v>7.4242694603247298E-4</v>
      </c>
      <c r="W109" s="2"/>
      <c r="X109" s="6">
        <f t="shared" si="93"/>
        <v>-4774.7700000000004</v>
      </c>
      <c r="Y109" s="2"/>
      <c r="Z109" s="7">
        <f t="shared" si="94"/>
        <v>-0.80794514845755416</v>
      </c>
    </row>
    <row r="110" spans="1:26" s="26" customFormat="1" outlineLevel="1" collapsed="1" x14ac:dyDescent="0.25">
      <c r="A110" s="27"/>
      <c r="B110" s="13" t="str">
        <f>CONCATENATE("     ","Travel                                            ")</f>
        <v xml:space="preserve">     Travel                                            </v>
      </c>
      <c r="C110" s="13"/>
      <c r="D110" s="1">
        <f>SUM(OSRRefD22_23x_0)</f>
        <v>0</v>
      </c>
      <c r="E110" s="1"/>
      <c r="F110" s="5">
        <f t="shared" si="87"/>
        <v>0</v>
      </c>
      <c r="G110" s="1"/>
      <c r="H110" s="1">
        <f>SUM(OSRRefH22_23x_0)</f>
        <v>328.62</v>
      </c>
      <c r="I110" s="1"/>
      <c r="J110" s="5">
        <f t="shared" si="88"/>
        <v>1.9295448159624263E-4</v>
      </c>
      <c r="K110" s="1"/>
      <c r="L110" s="1">
        <f t="shared" si="89"/>
        <v>-328.62</v>
      </c>
      <c r="M110" s="1"/>
      <c r="N110" s="5">
        <f t="shared" si="90"/>
        <v>-1</v>
      </c>
      <c r="O110" s="13"/>
      <c r="P110" s="1">
        <f>SUM(OSRRefP22_23x_0)</f>
        <v>332.21</v>
      </c>
      <c r="Q110" s="1"/>
      <c r="R110" s="5">
        <f t="shared" si="91"/>
        <v>4.932847802483196E-4</v>
      </c>
      <c r="S110" s="1"/>
      <c r="T110" s="1">
        <f>SUM(OSRRefT22_23x_0)</f>
        <v>3409.4699999999993</v>
      </c>
      <c r="U110" s="1"/>
      <c r="V110" s="5">
        <f t="shared" si="92"/>
        <v>4.2832164359853851E-4</v>
      </c>
      <c r="W110" s="1"/>
      <c r="X110" s="1">
        <f t="shared" si="93"/>
        <v>-3077.2599999999993</v>
      </c>
      <c r="Y110" s="1"/>
      <c r="Z110" s="5">
        <f t="shared" si="94"/>
        <v>-0.9025625683757299</v>
      </c>
    </row>
    <row r="111" spans="1:26" s="24" customFormat="1" hidden="1" outlineLevel="2" x14ac:dyDescent="0.25">
      <c r="A111" s="25"/>
      <c r="B111" s="11" t="str">
        <f>CONCATENATE("          ", "6292", " - ", "TRAVEL/CONFERENCE")</f>
        <v xml:space="preserve">          6292 - TRAVEL/CONFERENCE</v>
      </c>
      <c r="C111" s="11"/>
      <c r="D111" s="6"/>
      <c r="E111" s="2"/>
      <c r="F111" s="7">
        <f t="shared" si="87"/>
        <v>0</v>
      </c>
      <c r="G111" s="2"/>
      <c r="H111" s="6">
        <v>180.57</v>
      </c>
      <c r="I111" s="2"/>
      <c r="J111" s="7">
        <f t="shared" si="88"/>
        <v>1.0602455949678514E-4</v>
      </c>
      <c r="K111" s="2"/>
      <c r="L111" s="6">
        <f t="shared" si="89"/>
        <v>-180.57</v>
      </c>
      <c r="M111" s="2"/>
      <c r="N111" s="7">
        <f t="shared" si="90"/>
        <v>-1</v>
      </c>
      <c r="O111" s="11"/>
      <c r="P111" s="6"/>
      <c r="Q111" s="2"/>
      <c r="R111" s="7">
        <f t="shared" si="91"/>
        <v>0</v>
      </c>
      <c r="S111" s="2"/>
      <c r="T111" s="6">
        <v>2705.93</v>
      </c>
      <c r="U111" s="2"/>
      <c r="V111" s="7">
        <f t="shared" si="92"/>
        <v>3.399379918470007E-4</v>
      </c>
      <c r="W111" s="2"/>
      <c r="X111" s="6">
        <f t="shared" si="93"/>
        <v>-2705.93</v>
      </c>
      <c r="Y111" s="2"/>
      <c r="Z111" s="7">
        <f t="shared" si="94"/>
        <v>-1</v>
      </c>
    </row>
    <row r="112" spans="1:26" s="24" customFormat="1" hidden="1" outlineLevel="2" x14ac:dyDescent="0.25">
      <c r="A112" s="25"/>
      <c r="B112" s="11" t="str">
        <f>CONCATENATE("          ", "6294", " - ", "TRAVEL OPERATIONAL")</f>
        <v xml:space="preserve">          6294 - TRAVEL OPERATIONAL</v>
      </c>
      <c r="C112" s="11"/>
      <c r="D112" s="6"/>
      <c r="E112" s="2"/>
      <c r="F112" s="7">
        <f t="shared" si="87"/>
        <v>0</v>
      </c>
      <c r="G112" s="2"/>
      <c r="H112" s="6"/>
      <c r="I112" s="2"/>
      <c r="J112" s="7">
        <f t="shared" si="88"/>
        <v>0</v>
      </c>
      <c r="K112" s="2"/>
      <c r="L112" s="6">
        <f t="shared" si="89"/>
        <v>0</v>
      </c>
      <c r="M112" s="2"/>
      <c r="N112" s="7">
        <f t="shared" si="90"/>
        <v>0</v>
      </c>
      <c r="O112" s="11"/>
      <c r="P112" s="6"/>
      <c r="Q112" s="2"/>
      <c r="R112" s="7">
        <f t="shared" si="91"/>
        <v>0</v>
      </c>
      <c r="S112" s="2"/>
      <c r="T112" s="6">
        <v>45.49</v>
      </c>
      <c r="U112" s="2"/>
      <c r="V112" s="7">
        <f t="shared" si="92"/>
        <v>5.7147743101706484E-6</v>
      </c>
      <c r="W112" s="2"/>
      <c r="X112" s="6">
        <f t="shared" si="93"/>
        <v>-45.49</v>
      </c>
      <c r="Y112" s="2"/>
      <c r="Z112" s="7">
        <f t="shared" si="94"/>
        <v>-1</v>
      </c>
    </row>
    <row r="113" spans="1:26" s="24" customFormat="1" hidden="1" outlineLevel="2" x14ac:dyDescent="0.25">
      <c r="A113" s="25"/>
      <c r="B113" s="11" t="str">
        <f>CONCATENATE("          ", "6298", " - ", "VEHICLE MILEAGE")</f>
        <v xml:space="preserve">          6298 - VEHICLE MILEAGE</v>
      </c>
      <c r="C113" s="11"/>
      <c r="D113" s="6"/>
      <c r="E113" s="2"/>
      <c r="F113" s="7">
        <f t="shared" si="87"/>
        <v>0</v>
      </c>
      <c r="G113" s="2"/>
      <c r="H113" s="6">
        <v>148.05000000000001</v>
      </c>
      <c r="I113" s="2"/>
      <c r="J113" s="7">
        <f t="shared" si="88"/>
        <v>8.6929922099457507E-5</v>
      </c>
      <c r="K113" s="2"/>
      <c r="L113" s="6">
        <f t="shared" si="89"/>
        <v>-148.05000000000001</v>
      </c>
      <c r="M113" s="2"/>
      <c r="N113" s="7">
        <f t="shared" si="90"/>
        <v>-1</v>
      </c>
      <c r="O113" s="11"/>
      <c r="P113" s="6">
        <v>332.21</v>
      </c>
      <c r="Q113" s="2"/>
      <c r="R113" s="7">
        <f t="shared" si="91"/>
        <v>4.932847802483196E-4</v>
      </c>
      <c r="S113" s="2"/>
      <c r="T113" s="6">
        <v>658.05</v>
      </c>
      <c r="U113" s="2"/>
      <c r="V113" s="7">
        <f t="shared" si="92"/>
        <v>8.266887744136722E-5</v>
      </c>
      <c r="W113" s="2"/>
      <c r="X113" s="6">
        <f t="shared" si="93"/>
        <v>-325.83999999999997</v>
      </c>
      <c r="Y113" s="2"/>
      <c r="Z113" s="7">
        <f t="shared" si="94"/>
        <v>-0.49515994225362814</v>
      </c>
    </row>
    <row r="114" spans="1:26" s="26" customFormat="1" outlineLevel="1" collapsed="1" x14ac:dyDescent="0.25">
      <c r="A114" s="27"/>
      <c r="B114" s="13" t="str">
        <f>CONCATENATE("     ","Utilities                                         ")</f>
        <v xml:space="preserve">     Utilities                                         </v>
      </c>
      <c r="C114" s="13"/>
      <c r="D114" s="1">
        <f>SUM(OSRRefD22_24x_0)</f>
        <v>3660</v>
      </c>
      <c r="E114" s="1"/>
      <c r="F114" s="5">
        <f t="shared" ref="F114:F115" si="95">IF(D$12=0,0,D114/D$12)</f>
        <v>2.1290119587067079E-2</v>
      </c>
      <c r="G114" s="1"/>
      <c r="H114" s="1">
        <f>SUM(OSRRefH22_24x_0)</f>
        <v>13691</v>
      </c>
      <c r="I114" s="1"/>
      <c r="J114" s="5">
        <f t="shared" ref="J114:J115" si="96">IF(H$12=0,0,H114/H$12)</f>
        <v>8.0388893175526686E-3</v>
      </c>
      <c r="K114" s="1"/>
      <c r="L114" s="1">
        <f t="shared" ref="L114:L115" si="97">+D114-H114</f>
        <v>-10031</v>
      </c>
      <c r="M114" s="1"/>
      <c r="N114" s="5">
        <f t="shared" ref="N114:N115" si="98">IF(H114=0,0,L114/H114)</f>
        <v>-0.73267109780147543</v>
      </c>
      <c r="O114" s="13"/>
      <c r="P114" s="1">
        <f>SUM(OSRRefP22_24x_0)</f>
        <v>-2668</v>
      </c>
      <c r="Q114" s="1"/>
      <c r="R114" s="5">
        <f t="shared" ref="R114:R115" si="99">IF(P$12=0,0,P114/P$12)</f>
        <v>-3.9616019797794073E-3</v>
      </c>
      <c r="S114" s="1"/>
      <c r="T114" s="1">
        <f>SUM(OSRRefT22_24x_0)</f>
        <v>58340</v>
      </c>
      <c r="U114" s="1"/>
      <c r="V114" s="5">
        <f t="shared" ref="V114:V115" si="100">IF(T$12=0,0,T114/T$12)</f>
        <v>7.3290818477765585E-3</v>
      </c>
      <c r="W114" s="1"/>
      <c r="X114" s="1">
        <f t="shared" ref="X114:X115" si="101">+P114-T114</f>
        <v>-61008</v>
      </c>
      <c r="Y114" s="1"/>
      <c r="Z114" s="5">
        <f t="shared" ref="Z114:Z115" si="102">IF(T114=0,0,X114/T114)</f>
        <v>-1.0457319163524168</v>
      </c>
    </row>
    <row r="115" spans="1:26" s="24" customFormat="1" hidden="1" outlineLevel="2" x14ac:dyDescent="0.25">
      <c r="A115" s="25"/>
      <c r="B115" s="11" t="str">
        <f>CONCATENATE("          ", "6274", " - ", "UTILITIES")</f>
        <v xml:space="preserve">          6274 - UTILITIES</v>
      </c>
      <c r="C115" s="11"/>
      <c r="D115" s="6">
        <v>3660</v>
      </c>
      <c r="E115" s="2"/>
      <c r="F115" s="7">
        <f t="shared" si="95"/>
        <v>2.1290119587067079E-2</v>
      </c>
      <c r="G115" s="2"/>
      <c r="H115" s="6">
        <v>13691</v>
      </c>
      <c r="I115" s="2"/>
      <c r="J115" s="7">
        <f t="shared" si="96"/>
        <v>8.0388893175526686E-3</v>
      </c>
      <c r="K115" s="2"/>
      <c r="L115" s="6">
        <f t="shared" si="97"/>
        <v>-10031</v>
      </c>
      <c r="M115" s="2"/>
      <c r="N115" s="7">
        <f t="shared" si="98"/>
        <v>-0.73267109780147543</v>
      </c>
      <c r="O115" s="11"/>
      <c r="P115" s="6">
        <v>-2668</v>
      </c>
      <c r="Q115" s="2"/>
      <c r="R115" s="7">
        <f t="shared" si="99"/>
        <v>-3.9616019797794073E-3</v>
      </c>
      <c r="S115" s="2"/>
      <c r="T115" s="6">
        <v>58340</v>
      </c>
      <c r="U115" s="2"/>
      <c r="V115" s="7">
        <f t="shared" si="100"/>
        <v>7.3290818477765585E-3</v>
      </c>
      <c r="W115" s="2"/>
      <c r="X115" s="6">
        <f t="shared" si="101"/>
        <v>-61008</v>
      </c>
      <c r="Y115" s="2"/>
      <c r="Z115" s="7">
        <f t="shared" si="102"/>
        <v>-1.0457319163524168</v>
      </c>
    </row>
    <row r="116" spans="1:26" s="53" customFormat="1" x14ac:dyDescent="0.25">
      <c r="A116" s="37"/>
      <c r="B116" s="37"/>
      <c r="C116" s="37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7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3" customFormat="1" collapsed="1" x14ac:dyDescent="0.25">
      <c r="A117" s="10"/>
      <c r="B117" s="29" t="s">
        <v>0</v>
      </c>
      <c r="C117" s="10"/>
      <c r="D117" s="4">
        <f>SUM(OSRRefD25x_0)</f>
        <v>173.47</v>
      </c>
      <c r="E117" s="4"/>
      <c r="F117" s="12">
        <f t="shared" ref="F117:F120" si="103">IF(D$12=0,0,D117/D$12)</f>
        <v>1.0090702308110727E-3</v>
      </c>
      <c r="G117" s="4"/>
      <c r="H117" s="4">
        <f>SUM(OSRRefH25x_0)</f>
        <v>66542.63</v>
      </c>
      <c r="I117" s="4"/>
      <c r="J117" s="12">
        <f t="shared" ref="J117:J120" si="104">IF(H$12=0,0,H117/H$12)</f>
        <v>3.9071567998601987E-2</v>
      </c>
      <c r="K117" s="4"/>
      <c r="L117" s="4">
        <f t="shared" ref="L117:L120" si="105">+D117-H117</f>
        <v>-66369.16</v>
      </c>
      <c r="M117" s="4"/>
      <c r="N117" s="12">
        <f t="shared" ref="N117:N120" si="106">IF(H117=0,0,L117/H117)</f>
        <v>-0.99739309973170576</v>
      </c>
      <c r="O117" s="10"/>
      <c r="P117" s="4">
        <f>SUM(OSRRefP25x_0)</f>
        <v>4250.67</v>
      </c>
      <c r="Q117" s="4"/>
      <c r="R117" s="12">
        <f t="shared" ref="R117:R120" si="107">IF(P$12=0,0,P117/P$12)</f>
        <v>6.3116426864276362E-3</v>
      </c>
      <c r="S117" s="4"/>
      <c r="T117" s="4">
        <f>SUM(OSRRefT25x_0)</f>
        <v>493067.26</v>
      </c>
      <c r="U117" s="4"/>
      <c r="V117" s="12">
        <f t="shared" ref="V117:V120" si="108">IF(T$12=0,0,T117/T$12)</f>
        <v>6.1942583219042245E-2</v>
      </c>
      <c r="W117" s="4"/>
      <c r="X117" s="4">
        <f t="shared" ref="X117:X120" si="109">+P117-T117</f>
        <v>-488816.59</v>
      </c>
      <c r="Y117" s="4"/>
      <c r="Z117" s="12">
        <f t="shared" ref="Z117:Z120" si="110">IF(T117=0,0,X117/T117)</f>
        <v>-0.99137912746427337</v>
      </c>
    </row>
    <row r="118" spans="1:26" s="24" customFormat="1" hidden="1" outlineLevel="1" x14ac:dyDescent="0.25">
      <c r="A118" s="44"/>
      <c r="B118" s="11" t="str">
        <f>CONCATENATE("          ", "9150", " - ", "MISC. INCOME")</f>
        <v xml:space="preserve">          9150 - MISC. INCOME</v>
      </c>
      <c r="C118" s="11"/>
      <c r="D118" s="2">
        <f t="shared" ref="D118:D119" si="111">0</f>
        <v>0</v>
      </c>
      <c r="E118" s="2"/>
      <c r="F118" s="19">
        <f t="shared" si="103"/>
        <v>0</v>
      </c>
      <c r="G118" s="2"/>
      <c r="H118" s="2">
        <f>--48346.26</f>
        <v>48346.26</v>
      </c>
      <c r="I118" s="2"/>
      <c r="J118" s="19">
        <f t="shared" si="104"/>
        <v>2.8387278727457738E-2</v>
      </c>
      <c r="K118" s="2"/>
      <c r="L118" s="2">
        <f t="shared" si="105"/>
        <v>-48346.26</v>
      </c>
      <c r="M118" s="2"/>
      <c r="N118" s="19">
        <f t="shared" si="106"/>
        <v>-1</v>
      </c>
      <c r="O118" s="11"/>
      <c r="P118" s="2">
        <f>--923.77</f>
        <v>923.77</v>
      </c>
      <c r="Q118" s="2"/>
      <c r="R118" s="19">
        <f t="shared" si="107"/>
        <v>1.3716675640407881E-3</v>
      </c>
      <c r="S118" s="2"/>
      <c r="T118" s="2">
        <f>--165642.94</f>
        <v>165642.94</v>
      </c>
      <c r="U118" s="2"/>
      <c r="V118" s="19">
        <f t="shared" si="108"/>
        <v>2.0809233197914664E-2</v>
      </c>
      <c r="W118" s="2"/>
      <c r="X118" s="2">
        <f t="shared" si="109"/>
        <v>-164719.17000000001</v>
      </c>
      <c r="Y118" s="2"/>
      <c r="Z118" s="19">
        <f t="shared" si="110"/>
        <v>-0.99442312482500017</v>
      </c>
    </row>
    <row r="119" spans="1:26" s="24" customFormat="1" hidden="1" outlineLevel="1" x14ac:dyDescent="0.25">
      <c r="A119" s="44"/>
      <c r="B119" s="11" t="str">
        <f>CONCATENATE("          ", "9160", " - ", "MISC. INCOME")</f>
        <v xml:space="preserve">          9160 - MISC. INCOME</v>
      </c>
      <c r="C119" s="11"/>
      <c r="D119" s="2">
        <f t="shared" si="111"/>
        <v>0</v>
      </c>
      <c r="E119" s="2"/>
      <c r="F119" s="19">
        <f t="shared" si="103"/>
        <v>0</v>
      </c>
      <c r="G119" s="2"/>
      <c r="H119" s="2">
        <f>--7692.32</f>
        <v>7692.32</v>
      </c>
      <c r="I119" s="2"/>
      <c r="J119" s="19">
        <f t="shared" si="104"/>
        <v>4.5166685468699683E-3</v>
      </c>
      <c r="K119" s="2"/>
      <c r="L119" s="2">
        <f t="shared" si="105"/>
        <v>-7692.32</v>
      </c>
      <c r="M119" s="2"/>
      <c r="N119" s="19">
        <f t="shared" si="106"/>
        <v>-1</v>
      </c>
      <c r="O119" s="11"/>
      <c r="P119" s="2">
        <f>--2328.25</f>
        <v>2328.25</v>
      </c>
      <c r="Q119" s="2"/>
      <c r="R119" s="19">
        <f t="shared" si="107"/>
        <v>3.4571213678491019E-3</v>
      </c>
      <c r="S119" s="2"/>
      <c r="T119" s="2">
        <f>--104050.2</f>
        <v>104050.2</v>
      </c>
      <c r="U119" s="2"/>
      <c r="V119" s="19">
        <f t="shared" si="108"/>
        <v>1.3071519233416531E-2</v>
      </c>
      <c r="W119" s="2"/>
      <c r="X119" s="2">
        <f t="shared" si="109"/>
        <v>-101721.95</v>
      </c>
      <c r="Y119" s="2"/>
      <c r="Z119" s="19">
        <f t="shared" si="110"/>
        <v>-0.97762378159772878</v>
      </c>
    </row>
    <row r="120" spans="1:26" s="24" customFormat="1" hidden="1" outlineLevel="1" x14ac:dyDescent="0.25">
      <c r="A120" s="44"/>
      <c r="B120" s="11" t="str">
        <f>CONCATENATE("          ", "9165", " - ", "OTHER INCOME")</f>
        <v xml:space="preserve">          9165 - OTHER INCOME</v>
      </c>
      <c r="C120" s="11"/>
      <c r="D120" s="2">
        <f>--173.47</f>
        <v>173.47</v>
      </c>
      <c r="E120" s="2"/>
      <c r="F120" s="19">
        <f t="shared" si="103"/>
        <v>1.0090702308110727E-3</v>
      </c>
      <c r="G120" s="2"/>
      <c r="H120" s="2">
        <f>--10504.05</f>
        <v>10504.05</v>
      </c>
      <c r="I120" s="2"/>
      <c r="J120" s="19">
        <f t="shared" si="104"/>
        <v>6.1676207242742755E-3</v>
      </c>
      <c r="K120" s="2"/>
      <c r="L120" s="2">
        <f t="shared" si="105"/>
        <v>-10330.58</v>
      </c>
      <c r="M120" s="2"/>
      <c r="N120" s="19">
        <f t="shared" si="106"/>
        <v>-0.9834854175294292</v>
      </c>
      <c r="O120" s="11"/>
      <c r="P120" s="2">
        <f>--998.65</f>
        <v>998.65</v>
      </c>
      <c r="Q120" s="2"/>
      <c r="R120" s="19">
        <f t="shared" si="107"/>
        <v>1.4828537545377453E-3</v>
      </c>
      <c r="S120" s="2"/>
      <c r="T120" s="2">
        <f>--223374.12</f>
        <v>223374.12</v>
      </c>
      <c r="U120" s="2"/>
      <c r="V120" s="19">
        <f t="shared" si="108"/>
        <v>2.8061830787711049E-2</v>
      </c>
      <c r="W120" s="2"/>
      <c r="X120" s="2">
        <f t="shared" si="109"/>
        <v>-222375.47</v>
      </c>
      <c r="Y120" s="2"/>
      <c r="Z120" s="19">
        <f t="shared" si="110"/>
        <v>-0.99552924931500575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10"/>
      <c r="B122" s="28" t="s">
        <v>3</v>
      </c>
      <c r="C122" s="28"/>
      <c r="D122" s="20">
        <f>+D28-D30+D117</f>
        <v>-225052.63</v>
      </c>
      <c r="E122" s="14"/>
      <c r="F122" s="22">
        <f>IF(D$12=0,0,D122/D$12)</f>
        <v>-1.3091249743398796</v>
      </c>
      <c r="G122" s="14"/>
      <c r="H122" s="20">
        <f>+H28-H30+H117</f>
        <v>346414.31000000006</v>
      </c>
      <c r="I122" s="14"/>
      <c r="J122" s="22">
        <f>IF(H$12=0,0,H122/H$12)</f>
        <v>0.20340269491683435</v>
      </c>
      <c r="K122" s="15"/>
      <c r="L122" s="20">
        <f>+D122-H122</f>
        <v>-571466.94000000006</v>
      </c>
      <c r="M122" s="15"/>
      <c r="N122" s="22">
        <f>IF(H122=0,0,L122/H122)</f>
        <v>-1.6496632024237103</v>
      </c>
      <c r="O122" s="29"/>
      <c r="P122" s="20">
        <f>+P28-P30+P117</f>
        <v>-1267419.9400000002</v>
      </c>
      <c r="Q122" s="14"/>
      <c r="R122" s="22">
        <f>IF(P$12=0,0,P122/P$12)</f>
        <v>-1.8819390343013112</v>
      </c>
      <c r="S122" s="14"/>
      <c r="T122" s="20">
        <f>+T28-T30+T117</f>
        <v>1389214.5300000014</v>
      </c>
      <c r="U122" s="14"/>
      <c r="V122" s="22">
        <f>IF(T$12=0,0,T122/T$12)</f>
        <v>0.17452291728643218</v>
      </c>
      <c r="W122" s="15"/>
      <c r="X122" s="20">
        <f>+P122-T122</f>
        <v>-2656634.4700000016</v>
      </c>
      <c r="Y122" s="15"/>
      <c r="Z122" s="22">
        <f>IF(T122=0,0,X122/T122)</f>
        <v>-1.9123284508116964</v>
      </c>
    </row>
    <row r="123" spans="1:26" x14ac:dyDescent="0.25">
      <c r="A123" s="9"/>
      <c r="B123" s="10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51"/>
      <c r="B124" s="10" t="s">
        <v>13</v>
      </c>
      <c r="C124" s="10"/>
      <c r="D124" s="4">
        <v>-1633.85</v>
      </c>
      <c r="E124" s="4"/>
      <c r="F124" s="12">
        <f>IF(D$12=0,0,D124/D$12)</f>
        <v>-9.5040606249534275E-3</v>
      </c>
      <c r="G124" s="4"/>
      <c r="H124" s="4">
        <v>213074.57</v>
      </c>
      <c r="I124" s="4"/>
      <c r="J124" s="12">
        <f>IF(H$12=0,0,H124/H$12)</f>
        <v>0.12511013692317058</v>
      </c>
      <c r="K124" s="4"/>
      <c r="L124" s="4">
        <f>+D124-H124</f>
        <v>-214708.42</v>
      </c>
      <c r="M124" s="4"/>
      <c r="N124" s="12">
        <f>IF(H124=0,0,L124/H124)</f>
        <v>-1.0076679727665296</v>
      </c>
      <c r="O124" s="10"/>
      <c r="P124" s="4">
        <v>107013.59</v>
      </c>
      <c r="Q124" s="4"/>
      <c r="R124" s="12">
        <f>IF(P$12=0,0,P124/P$12)</f>
        <v>0.15890001874336648</v>
      </c>
      <c r="S124" s="4"/>
      <c r="T124" s="4">
        <v>842917.49</v>
      </c>
      <c r="U124" s="4"/>
      <c r="V124" s="12">
        <f>IF(T$12=0,0,T124/T$12)</f>
        <v>0.10589323406123377</v>
      </c>
      <c r="W124" s="4"/>
      <c r="X124" s="4">
        <f>+P124-T124</f>
        <v>-735903.9</v>
      </c>
      <c r="Y124" s="4"/>
      <c r="Z124" s="12">
        <f>IF(T124=0,0,X124/T124)</f>
        <v>-0.87304381357658156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8" t="s">
        <v>4</v>
      </c>
      <c r="C126" s="28"/>
      <c r="D126" s="31">
        <f>+D122-D124</f>
        <v>-223418.78</v>
      </c>
      <c r="E126" s="14"/>
      <c r="F126" s="34">
        <f>IF(D$12=0,0,D126/D$12)</f>
        <v>-1.2996209137149262</v>
      </c>
      <c r="G126" s="14"/>
      <c r="H126" s="31">
        <f>+H122-H124</f>
        <v>133339.74000000005</v>
      </c>
      <c r="I126" s="14"/>
      <c r="J126" s="34">
        <f>IF(H$12=0,0,H126/H$12)</f>
        <v>7.8292557993663775E-2</v>
      </c>
      <c r="K126" s="15"/>
      <c r="L126" s="31">
        <f>D126-H126</f>
        <v>-356758.52</v>
      </c>
      <c r="M126" s="15"/>
      <c r="N126" s="34">
        <f>IF(H126=0,0,L126/H126)</f>
        <v>-2.6755603393256946</v>
      </c>
      <c r="O126" s="29"/>
      <c r="P126" s="31">
        <f>+P122-P124</f>
        <v>-1374433.5300000003</v>
      </c>
      <c r="Q126" s="14"/>
      <c r="R126" s="34">
        <f>IF(P$12=0,0,P126/P$12)</f>
        <v>-2.0408390530446776</v>
      </c>
      <c r="S126" s="14"/>
      <c r="T126" s="31">
        <f>+T122-T124</f>
        <v>546297.04000000143</v>
      </c>
      <c r="U126" s="14"/>
      <c r="V126" s="34">
        <f>IF(T$12=0,0,T126/T$12)</f>
        <v>6.8629683225198398E-2</v>
      </c>
      <c r="W126" s="15"/>
      <c r="X126" s="31">
        <f>P126-T126</f>
        <v>-1920730.5700000017</v>
      </c>
      <c r="Y126" s="15"/>
      <c r="Z126" s="34">
        <f>IF(T126=0,0,X126/T126)</f>
        <v>-3.5159087993594045</v>
      </c>
    </row>
    <row r="127" spans="1:26" ht="15.75" thickTop="1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8" t="s">
        <v>5</v>
      </c>
      <c r="C129" s="28"/>
      <c r="D129" s="32">
        <f>SUM(D126:D128)</f>
        <v>-223418.78</v>
      </c>
      <c r="E129" s="14"/>
      <c r="F129" s="30">
        <f>IF(D$12=0,0,D129/D$12)</f>
        <v>-1.2996209137149262</v>
      </c>
      <c r="G129" s="14"/>
      <c r="H129" s="32">
        <f>SUM(H126:H128)</f>
        <v>133339.74000000005</v>
      </c>
      <c r="I129" s="14"/>
      <c r="J129" s="30">
        <f>IF(H$12=0,0,H129/H$12)</f>
        <v>7.8292557993663775E-2</v>
      </c>
      <c r="K129" s="15"/>
      <c r="L129" s="32">
        <f>+D129-H129</f>
        <v>-356758.52</v>
      </c>
      <c r="M129" s="15"/>
      <c r="N129" s="30">
        <f>IF(H129=0,0,L129/H129)</f>
        <v>-2.6755603393256946</v>
      </c>
      <c r="O129" s="29"/>
      <c r="P129" s="32">
        <f>SUM(P126:P128)</f>
        <v>-1374433.5300000003</v>
      </c>
      <c r="Q129" s="14"/>
      <c r="R129" s="30">
        <f>IF(P$12=0,0,P129/P$12)</f>
        <v>-2.0408390530446776</v>
      </c>
      <c r="S129" s="14"/>
      <c r="T129" s="32">
        <f>SUM(T126:T128)</f>
        <v>546297.04000000143</v>
      </c>
      <c r="U129" s="14"/>
      <c r="V129" s="30">
        <f>IF(T$12=0,0,T129/T$12)</f>
        <v>6.8629683225198398E-2</v>
      </c>
      <c r="W129" s="15"/>
      <c r="X129" s="32">
        <f>+P129-T129</f>
        <v>-1920730.5700000017</v>
      </c>
      <c r="Y129" s="15"/>
      <c r="Z129" s="30">
        <f>IF(T129=0,0,X129/T129)</f>
        <v>-3.5159087993594045</v>
      </c>
    </row>
    <row r="130" spans="1:26" ht="15.75" thickTop="1" x14ac:dyDescent="0.25">
      <c r="A130" s="9"/>
      <c r="C130" s="9"/>
      <c r="D130" s="17"/>
      <c r="E130" s="17"/>
      <c r="G130" s="17"/>
      <c r="H130" s="17"/>
      <c r="I130" s="17"/>
      <c r="J130" s="43"/>
      <c r="K130" s="17"/>
      <c r="L130" s="17"/>
      <c r="M130" s="17"/>
      <c r="P130" s="17"/>
      <c r="Q130" s="17"/>
      <c r="R130" s="43"/>
      <c r="S130" s="17"/>
      <c r="T130" s="17"/>
      <c r="U130" s="17"/>
      <c r="V130" s="43"/>
      <c r="W130" s="17"/>
      <c r="X130" s="17"/>
    </row>
    <row r="131" spans="1:26" x14ac:dyDescent="0.25">
      <c r="A131" s="9"/>
      <c r="B131" s="54">
        <v>44174.685193171295</v>
      </c>
      <c r="D131" s="17"/>
      <c r="E131" s="17"/>
      <c r="G131" s="17"/>
      <c r="H131" s="17"/>
      <c r="I131" s="17"/>
      <c r="J131" s="43"/>
      <c r="K131" s="17"/>
      <c r="L131" s="17"/>
      <c r="M131" s="17"/>
      <c r="P131" s="17"/>
      <c r="Q131" s="17"/>
      <c r="R131" s="43"/>
      <c r="S131" s="17"/>
      <c r="T131" s="17"/>
      <c r="U131" s="17"/>
      <c r="V131" s="43"/>
      <c r="W131" s="17"/>
      <c r="X131" s="17"/>
    </row>
    <row r="132" spans="1:26" x14ac:dyDescent="0.25">
      <c r="A132" s="9"/>
      <c r="B132" s="56" t="s">
        <v>313</v>
      </c>
      <c r="D132" s="17"/>
      <c r="E132" s="17"/>
      <c r="G132" s="17"/>
      <c r="H132" s="17"/>
      <c r="I132" s="17"/>
      <c r="J132" s="43"/>
      <c r="K132" s="17"/>
      <c r="L132" s="17"/>
      <c r="M132" s="17"/>
      <c r="P132" s="17"/>
      <c r="Q132" s="17"/>
      <c r="R132" s="43"/>
      <c r="S132" s="17"/>
      <c r="T132" s="17"/>
      <c r="U132" s="17"/>
      <c r="V132" s="43"/>
      <c r="W132" s="17"/>
      <c r="X132" s="17"/>
    </row>
    <row r="133" spans="1:26" x14ac:dyDescent="0.25">
      <c r="A133" s="9"/>
      <c r="B133" s="61"/>
      <c r="D133" s="17"/>
      <c r="E133" s="17"/>
      <c r="G133" s="17"/>
      <c r="H133" s="17"/>
      <c r="I133" s="17"/>
      <c r="J133" s="43"/>
      <c r="K133" s="17"/>
      <c r="L133" s="17"/>
      <c r="M133" s="17"/>
      <c r="P133" s="17"/>
      <c r="Q133" s="17"/>
      <c r="R133" s="43"/>
      <c r="S133" s="17"/>
      <c r="T133" s="17"/>
      <c r="U133" s="17"/>
      <c r="V133" s="43"/>
      <c r="W133" s="17"/>
      <c r="X133" s="17"/>
    </row>
    <row r="134" spans="1:26" x14ac:dyDescent="0.25">
      <c r="D134" s="17"/>
      <c r="E134" s="17"/>
      <c r="G134" s="17"/>
      <c r="H134" s="17"/>
      <c r="I134" s="17"/>
      <c r="J134" s="43"/>
      <c r="K134" s="17"/>
      <c r="L134" s="17"/>
      <c r="M134" s="17"/>
      <c r="P134" s="17"/>
      <c r="Q134" s="17"/>
      <c r="R134" s="43"/>
      <c r="S134" s="17"/>
      <c r="T134" s="17"/>
      <c r="U134" s="17"/>
      <c r="V134" s="43"/>
      <c r="W134" s="17"/>
      <c r="X134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3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312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64151.59</v>
      </c>
      <c r="E12" s="4"/>
      <c r="F12" s="12"/>
      <c r="G12" s="4"/>
      <c r="H12" s="4">
        <f>SUM(OSRRefH13x_0)</f>
        <v>860114.22000000009</v>
      </c>
      <c r="I12" s="4"/>
      <c r="J12" s="12"/>
      <c r="K12" s="4"/>
      <c r="L12" s="4">
        <f t="shared" ref="L12:L27" si="0">+D12-H12</f>
        <v>-795962.63000000012</v>
      </c>
      <c r="M12" s="4"/>
      <c r="N12" s="12">
        <f t="shared" ref="N12:N27" si="1">IF(H12=0,0,L12/H12)</f>
        <v>-0.92541503383120449</v>
      </c>
      <c r="O12" s="10"/>
      <c r="P12" s="4">
        <f>SUM(OSRRefP13x_0)</f>
        <v>124630.46000000002</v>
      </c>
      <c r="Q12" s="4"/>
      <c r="R12" s="12"/>
      <c r="S12" s="4"/>
      <c r="T12" s="4">
        <f>SUM(OSRRefT13x_0)</f>
        <v>4089195.04</v>
      </c>
      <c r="U12" s="4"/>
      <c r="V12" s="12"/>
      <c r="W12" s="4"/>
      <c r="X12" s="4">
        <f t="shared" ref="X12:X27" si="2">+P12-T12</f>
        <v>-3964564.58</v>
      </c>
      <c r="Y12" s="4"/>
      <c r="Z12" s="12">
        <f t="shared" ref="Z12:Z27" si="3">IF(T12=0,0,X12/T12)</f>
        <v>-0.96952200646315956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--29698.86</f>
        <v>29698.86</v>
      </c>
      <c r="I13" s="2"/>
      <c r="J13" s="19"/>
      <c r="K13" s="2"/>
      <c r="L13" s="2">
        <f t="shared" si="0"/>
        <v>-29698.86</v>
      </c>
      <c r="M13" s="2"/>
      <c r="N13" s="19">
        <f t="shared" si="1"/>
        <v>-1</v>
      </c>
      <c r="O13" s="11"/>
      <c r="P13" s="2">
        <f>--444.59</f>
        <v>444.59</v>
      </c>
      <c r="Q13" s="2"/>
      <c r="R13" s="19"/>
      <c r="S13" s="2"/>
      <c r="T13" s="2">
        <f>--161513.73</f>
        <v>161513.73000000001</v>
      </c>
      <c r="U13" s="2"/>
      <c r="V13" s="19"/>
      <c r="W13" s="2"/>
      <c r="X13" s="2">
        <f t="shared" si="2"/>
        <v>-161069.14000000001</v>
      </c>
      <c r="Y13" s="2"/>
      <c r="Z13" s="19">
        <f t="shared" si="3"/>
        <v>-0.99724735476049009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 t="shared" si="4"/>
        <v>0</v>
      </c>
      <c r="E14" s="2"/>
      <c r="F14" s="19"/>
      <c r="G14" s="2"/>
      <c r="H14" s="2">
        <f>--237.09</f>
        <v>237.09</v>
      </c>
      <c r="I14" s="2"/>
      <c r="J14" s="19"/>
      <c r="K14" s="2"/>
      <c r="L14" s="2">
        <f t="shared" si="0"/>
        <v>-237.09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--1919.17</f>
        <v>1919.17</v>
      </c>
      <c r="U14" s="2"/>
      <c r="V14" s="19"/>
      <c r="W14" s="2"/>
      <c r="X14" s="2">
        <f t="shared" si="2"/>
        <v>-1919.17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"4051", " - ", "TAXABLE SALES-FOOD")</f>
        <v xml:space="preserve">          4051 - TAXABLE SALES-FOOD</v>
      </c>
      <c r="C15" s="11"/>
      <c r="D15" s="2">
        <f>--4501.27</f>
        <v>4501.2700000000004</v>
      </c>
      <c r="E15" s="2"/>
      <c r="F15" s="19"/>
      <c r="G15" s="2"/>
      <c r="H15" s="2">
        <f>--74968.58</f>
        <v>74968.58</v>
      </c>
      <c r="I15" s="2"/>
      <c r="J15" s="19"/>
      <c r="K15" s="2"/>
      <c r="L15" s="2">
        <f t="shared" si="0"/>
        <v>-70467.31</v>
      </c>
      <c r="M15" s="2"/>
      <c r="N15" s="19">
        <f t="shared" si="1"/>
        <v>-0.93995791303503406</v>
      </c>
      <c r="O15" s="11"/>
      <c r="P15" s="2">
        <f>--17251.21</f>
        <v>17251.21</v>
      </c>
      <c r="Q15" s="2"/>
      <c r="R15" s="19"/>
      <c r="S15" s="2"/>
      <c r="T15" s="2">
        <f>--375004.52</f>
        <v>375004.52</v>
      </c>
      <c r="U15" s="2"/>
      <c r="V15" s="19"/>
      <c r="W15" s="2"/>
      <c r="X15" s="2">
        <f t="shared" si="2"/>
        <v>-357753.31</v>
      </c>
      <c r="Y15" s="2"/>
      <c r="Z15" s="19">
        <f t="shared" si="3"/>
        <v>-0.95399732781887525</v>
      </c>
    </row>
    <row r="16" spans="1:26" s="24" customFormat="1" hidden="1" outlineLevel="1" x14ac:dyDescent="0.25">
      <c r="A16" s="44"/>
      <c r="B16" s="11" t="str">
        <f>CONCATENATE("          ", "4052", " - ", "TAXABLE SALES-FOOD")</f>
        <v xml:space="preserve">          4052 - TAXABLE SALES-FOOD</v>
      </c>
      <c r="C16" s="11"/>
      <c r="D16" s="2">
        <f>--55493.87</f>
        <v>55493.87</v>
      </c>
      <c r="E16" s="2"/>
      <c r="F16" s="19"/>
      <c r="G16" s="2"/>
      <c r="H16" s="2">
        <f>--85023.13</f>
        <v>85023.13</v>
      </c>
      <c r="I16" s="2"/>
      <c r="J16" s="19"/>
      <c r="K16" s="2"/>
      <c r="L16" s="2">
        <f t="shared" si="0"/>
        <v>-29529.260000000002</v>
      </c>
      <c r="M16" s="2"/>
      <c r="N16" s="19">
        <f t="shared" si="1"/>
        <v>-0.34730855003808964</v>
      </c>
      <c r="O16" s="11"/>
      <c r="P16" s="2">
        <f>--85725.16</f>
        <v>85725.16</v>
      </c>
      <c r="Q16" s="2"/>
      <c r="R16" s="19"/>
      <c r="S16" s="2"/>
      <c r="T16" s="2">
        <f>--453845.53</f>
        <v>453845.53</v>
      </c>
      <c r="U16" s="2"/>
      <c r="V16" s="19"/>
      <c r="W16" s="2"/>
      <c r="X16" s="2">
        <f t="shared" si="2"/>
        <v>-368120.37</v>
      </c>
      <c r="Y16" s="2"/>
      <c r="Z16" s="19">
        <f t="shared" si="3"/>
        <v>-0.81111379459879218</v>
      </c>
    </row>
    <row r="17" spans="1:26" s="24" customFormat="1" hidden="1" outlineLevel="1" x14ac:dyDescent="0.25">
      <c r="A17" s="44"/>
      <c r="B17" s="11" t="str">
        <f>CONCATENATE("          ", "4053", " - ", "TAXABLE SALES-FOOD")</f>
        <v xml:space="preserve">          4053 - TAXABLE SALES-FOOD</v>
      </c>
      <c r="C17" s="11"/>
      <c r="D17" s="2">
        <f t="shared" ref="D17:D22" si="5">0</f>
        <v>0</v>
      </c>
      <c r="E17" s="2"/>
      <c r="F17" s="19"/>
      <c r="G17" s="2"/>
      <c r="H17" s="2">
        <f>--10014.68</f>
        <v>10014.68</v>
      </c>
      <c r="I17" s="2"/>
      <c r="J17" s="19"/>
      <c r="K17" s="2"/>
      <c r="L17" s="2">
        <f t="shared" si="0"/>
        <v>-10014.68</v>
      </c>
      <c r="M17" s="2"/>
      <c r="N17" s="19">
        <f t="shared" si="1"/>
        <v>-1</v>
      </c>
      <c r="O17" s="11"/>
      <c r="P17" s="2">
        <f t="shared" ref="P17:P18" si="6">0</f>
        <v>0</v>
      </c>
      <c r="Q17" s="2"/>
      <c r="R17" s="19"/>
      <c r="S17" s="2"/>
      <c r="T17" s="2">
        <f>--70515.29</f>
        <v>70515.289999999994</v>
      </c>
      <c r="U17" s="2"/>
      <c r="V17" s="19"/>
      <c r="W17" s="2"/>
      <c r="X17" s="2">
        <f t="shared" si="2"/>
        <v>-70515.289999999994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"4055", " - ", "TAXABLE SALES-FOOD")</f>
        <v xml:space="preserve">          4055 - TAXABLE SALES-FOOD</v>
      </c>
      <c r="C18" s="11"/>
      <c r="D18" s="2">
        <f t="shared" si="5"/>
        <v>0</v>
      </c>
      <c r="E18" s="2"/>
      <c r="F18" s="19"/>
      <c r="G18" s="2"/>
      <c r="H18" s="2">
        <f>--49116.37</f>
        <v>49116.37</v>
      </c>
      <c r="I18" s="2"/>
      <c r="J18" s="19"/>
      <c r="K18" s="2"/>
      <c r="L18" s="2">
        <f t="shared" si="0"/>
        <v>-49116.37</v>
      </c>
      <c r="M18" s="2"/>
      <c r="N18" s="19">
        <f t="shared" si="1"/>
        <v>-1</v>
      </c>
      <c r="O18" s="11"/>
      <c r="P18" s="2">
        <f t="shared" si="6"/>
        <v>0</v>
      </c>
      <c r="Q18" s="2"/>
      <c r="R18" s="19"/>
      <c r="S18" s="2"/>
      <c r="T18" s="2">
        <f>--235107.97</f>
        <v>235107.97</v>
      </c>
      <c r="U18" s="2"/>
      <c r="V18" s="19"/>
      <c r="W18" s="2"/>
      <c r="X18" s="2">
        <f t="shared" si="2"/>
        <v>-235107.97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"4058", " - ", "TAXABLE SALES-FOOD")</f>
        <v xml:space="preserve">          4058 - TAXABLE SALES-FOOD</v>
      </c>
      <c r="C19" s="11"/>
      <c r="D19" s="2">
        <f t="shared" si="5"/>
        <v>0</v>
      </c>
      <c r="E19" s="2"/>
      <c r="F19" s="19"/>
      <c r="G19" s="2"/>
      <c r="H19" s="2">
        <f>--14656.48</f>
        <v>14656.48</v>
      </c>
      <c r="I19" s="2"/>
      <c r="J19" s="19"/>
      <c r="K19" s="2"/>
      <c r="L19" s="2">
        <f t="shared" si="0"/>
        <v>-14656.48</v>
      </c>
      <c r="M19" s="2"/>
      <c r="N19" s="19">
        <f t="shared" si="1"/>
        <v>-1</v>
      </c>
      <c r="O19" s="11"/>
      <c r="P19" s="2">
        <f>--974.91</f>
        <v>974.91</v>
      </c>
      <c r="Q19" s="2"/>
      <c r="R19" s="19"/>
      <c r="S19" s="2"/>
      <c r="T19" s="2">
        <f>--78802.41</f>
        <v>78802.41</v>
      </c>
      <c r="U19" s="2"/>
      <c r="V19" s="19"/>
      <c r="W19" s="2"/>
      <c r="X19" s="2">
        <f t="shared" si="2"/>
        <v>-77827.5</v>
      </c>
      <c r="Y19" s="2"/>
      <c r="Z19" s="19">
        <f t="shared" si="3"/>
        <v>-0.98762842405454343</v>
      </c>
    </row>
    <row r="20" spans="1:26" s="24" customFormat="1" hidden="1" outlineLevel="1" x14ac:dyDescent="0.25">
      <c r="A20" s="44"/>
      <c r="B20" s="11" t="str">
        <f>CONCATENATE("          ", "4132", " - ", "NON-TAXABLE SALES-JUICE")</f>
        <v xml:space="preserve">          4132 - NON-TAXABLE SALES-JUICE</v>
      </c>
      <c r="C20" s="11"/>
      <c r="D20" s="2">
        <f t="shared" si="5"/>
        <v>0</v>
      </c>
      <c r="E20" s="2"/>
      <c r="F20" s="19"/>
      <c r="G20" s="2"/>
      <c r="H20" s="2">
        <f>--139966.75</f>
        <v>139966.75</v>
      </c>
      <c r="I20" s="2"/>
      <c r="J20" s="19"/>
      <c r="K20" s="2"/>
      <c r="L20" s="2">
        <f t="shared" si="0"/>
        <v>-139966.75</v>
      </c>
      <c r="M20" s="2"/>
      <c r="N20" s="19">
        <f t="shared" si="1"/>
        <v>-1</v>
      </c>
      <c r="O20" s="11"/>
      <c r="P20" s="2">
        <f>--2031.88</f>
        <v>2031.88</v>
      </c>
      <c r="Q20" s="2"/>
      <c r="R20" s="19"/>
      <c r="S20" s="2"/>
      <c r="T20" s="2">
        <f>--655070.4</f>
        <v>655070.4</v>
      </c>
      <c r="U20" s="2"/>
      <c r="V20" s="19"/>
      <c r="W20" s="2"/>
      <c r="X20" s="2">
        <f t="shared" si="2"/>
        <v>-653038.52</v>
      </c>
      <c r="Y20" s="2"/>
      <c r="Z20" s="19">
        <f t="shared" si="3"/>
        <v>-0.99689822651122684</v>
      </c>
    </row>
    <row r="21" spans="1:26" s="24" customFormat="1" hidden="1" outlineLevel="1" x14ac:dyDescent="0.25">
      <c r="A21" s="44"/>
      <c r="B21" s="11" t="str">
        <f>CONCATENATE("          ", "4134", " - ", "NON-TAXABLE SALES-SODA")</f>
        <v xml:space="preserve">          4134 - NON-TAXABLE SALES-SODA</v>
      </c>
      <c r="C21" s="11"/>
      <c r="D21" s="2">
        <f t="shared" si="5"/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ref="P21:P22" si="7">0</f>
        <v>0</v>
      </c>
      <c r="Q21" s="2"/>
      <c r="R21" s="19"/>
      <c r="S21" s="2"/>
      <c r="T21" s="2">
        <f>--0.39</f>
        <v>0.39</v>
      </c>
      <c r="U21" s="2"/>
      <c r="V21" s="19"/>
      <c r="W21" s="2"/>
      <c r="X21" s="2">
        <f t="shared" si="2"/>
        <v>-0.39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"4137", " - ", "NON-TAXABLE SALES-WATER")</f>
        <v xml:space="preserve">          4137 - NON-TAXABLE SALES-WATER</v>
      </c>
      <c r="C22" s="11"/>
      <c r="D22" s="2">
        <f t="shared" si="5"/>
        <v>0</v>
      </c>
      <c r="E22" s="2"/>
      <c r="F22" s="19"/>
      <c r="G22" s="2"/>
      <c r="H22" s="2">
        <f>--175.69</f>
        <v>175.69</v>
      </c>
      <c r="I22" s="2"/>
      <c r="J22" s="19"/>
      <c r="K22" s="2"/>
      <c r="L22" s="2">
        <f t="shared" si="0"/>
        <v>-175.69</v>
      </c>
      <c r="M22" s="2"/>
      <c r="N22" s="19">
        <f t="shared" si="1"/>
        <v>-1</v>
      </c>
      <c r="O22" s="11"/>
      <c r="P22" s="2">
        <f t="shared" si="7"/>
        <v>0</v>
      </c>
      <c r="Q22" s="2"/>
      <c r="R22" s="19"/>
      <c r="S22" s="2"/>
      <c r="T22" s="2">
        <f>--1024.54</f>
        <v>1024.54</v>
      </c>
      <c r="U22" s="2"/>
      <c r="V22" s="19"/>
      <c r="W22" s="2"/>
      <c r="X22" s="2">
        <f t="shared" si="2"/>
        <v>-1024.54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"4151", " - ", "NON-TAXABLE SALES-FOOD")</f>
        <v xml:space="preserve">          4151 - NON-TAXABLE SALES-FOOD</v>
      </c>
      <c r="C23" s="11"/>
      <c r="D23" s="2">
        <f>--4156.45</f>
        <v>4156.45</v>
      </c>
      <c r="E23" s="2"/>
      <c r="F23" s="19"/>
      <c r="G23" s="2"/>
      <c r="H23" s="2">
        <f>--294922.28</f>
        <v>294922.28000000003</v>
      </c>
      <c r="I23" s="2"/>
      <c r="J23" s="19"/>
      <c r="K23" s="2"/>
      <c r="L23" s="2">
        <f t="shared" si="0"/>
        <v>-290765.83</v>
      </c>
      <c r="M23" s="2"/>
      <c r="N23" s="19">
        <f t="shared" si="1"/>
        <v>-0.9859066259761724</v>
      </c>
      <c r="O23" s="11"/>
      <c r="P23" s="2">
        <f>--18092.71</f>
        <v>18092.71</v>
      </c>
      <c r="Q23" s="2"/>
      <c r="R23" s="19"/>
      <c r="S23" s="2"/>
      <c r="T23" s="2">
        <f>--1324870.19</f>
        <v>1324870.19</v>
      </c>
      <c r="U23" s="2"/>
      <c r="V23" s="19"/>
      <c r="W23" s="2"/>
      <c r="X23" s="2">
        <f t="shared" si="2"/>
        <v>-1306777.48</v>
      </c>
      <c r="Y23" s="2"/>
      <c r="Z23" s="19">
        <f t="shared" si="3"/>
        <v>-0.9863437866316549</v>
      </c>
    </row>
    <row r="24" spans="1:26" s="24" customFormat="1" hidden="1" outlineLevel="1" x14ac:dyDescent="0.25">
      <c r="A24" s="44"/>
      <c r="B24" s="11" t="str">
        <f>CONCATENATE("          ", "4152", " - ", "NON-TAXABLE SALES-FOOD")</f>
        <v xml:space="preserve">          4152 - NON-TAXABLE SALES-FOOD</v>
      </c>
      <c r="C24" s="11"/>
      <c r="D24" s="2">
        <f t="shared" ref="D24:D27" si="8">0</f>
        <v>0</v>
      </c>
      <c r="E24" s="2"/>
      <c r="F24" s="19"/>
      <c r="G24" s="2"/>
      <c r="H24" s="2">
        <f>--5402.66</f>
        <v>5402.66</v>
      </c>
      <c r="I24" s="2"/>
      <c r="J24" s="19"/>
      <c r="K24" s="2"/>
      <c r="L24" s="2">
        <f t="shared" si="0"/>
        <v>-5402.66</v>
      </c>
      <c r="M24" s="2"/>
      <c r="N24" s="19">
        <f t="shared" si="1"/>
        <v>-1</v>
      </c>
      <c r="O24" s="11"/>
      <c r="P24" s="2">
        <f>0</f>
        <v>0</v>
      </c>
      <c r="Q24" s="2"/>
      <c r="R24" s="19"/>
      <c r="S24" s="2"/>
      <c r="T24" s="2">
        <f>--30341.45</f>
        <v>30341.45</v>
      </c>
      <c r="U24" s="2"/>
      <c r="V24" s="19"/>
      <c r="W24" s="2"/>
      <c r="X24" s="2">
        <f t="shared" si="2"/>
        <v>-30341.45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"4153", " - ", "NON-TAXABLE SALES-FOOD")</f>
        <v xml:space="preserve">          4153 - NON-TAXABLE SALES-FOOD</v>
      </c>
      <c r="C25" s="11"/>
      <c r="D25" s="2">
        <f t="shared" si="8"/>
        <v>0</v>
      </c>
      <c r="E25" s="2"/>
      <c r="F25" s="19"/>
      <c r="G25" s="2"/>
      <c r="H25" s="2">
        <f>--1546.5</f>
        <v>1546.5</v>
      </c>
      <c r="I25" s="2"/>
      <c r="J25" s="19"/>
      <c r="K25" s="2"/>
      <c r="L25" s="2">
        <f t="shared" si="0"/>
        <v>-1546.5</v>
      </c>
      <c r="M25" s="2"/>
      <c r="N25" s="19">
        <f t="shared" si="1"/>
        <v>-1</v>
      </c>
      <c r="O25" s="11"/>
      <c r="P25" s="2">
        <f>--110</f>
        <v>110</v>
      </c>
      <c r="Q25" s="2"/>
      <c r="R25" s="19"/>
      <c r="S25" s="2"/>
      <c r="T25" s="2">
        <f>--6827</f>
        <v>6827</v>
      </c>
      <c r="U25" s="2"/>
      <c r="V25" s="19"/>
      <c r="W25" s="2"/>
      <c r="X25" s="2">
        <f t="shared" si="2"/>
        <v>-6717</v>
      </c>
      <c r="Y25" s="2"/>
      <c r="Z25" s="19">
        <f t="shared" si="3"/>
        <v>-0.98388750549289583</v>
      </c>
    </row>
    <row r="26" spans="1:26" s="24" customFormat="1" hidden="1" outlineLevel="1" x14ac:dyDescent="0.25">
      <c r="A26" s="44"/>
      <c r="B26" s="11" t="str">
        <f>CONCATENATE("          ", "4155", " - ", "NON-TAXABLE SALES-FOOD")</f>
        <v xml:space="preserve">          4155 - NON-TAXABLE SALES-FOOD</v>
      </c>
      <c r="C26" s="11"/>
      <c r="D26" s="2">
        <f t="shared" si="8"/>
        <v>0</v>
      </c>
      <c r="E26" s="2"/>
      <c r="F26" s="19"/>
      <c r="G26" s="2"/>
      <c r="H26" s="2">
        <f>--89218.16</f>
        <v>89218.16</v>
      </c>
      <c r="I26" s="2"/>
      <c r="J26" s="19"/>
      <c r="K26" s="2"/>
      <c r="L26" s="2">
        <f t="shared" si="0"/>
        <v>-89218.16</v>
      </c>
      <c r="M26" s="2"/>
      <c r="N26" s="19">
        <f t="shared" si="1"/>
        <v>-1</v>
      </c>
      <c r="O26" s="11"/>
      <c r="P26" s="2">
        <f t="shared" ref="P26:P27" si="9">0</f>
        <v>0</v>
      </c>
      <c r="Q26" s="2"/>
      <c r="R26" s="19"/>
      <c r="S26" s="2"/>
      <c r="T26" s="2">
        <f>--421465.19</f>
        <v>421465.19</v>
      </c>
      <c r="U26" s="2"/>
      <c r="V26" s="19"/>
      <c r="W26" s="2"/>
      <c r="X26" s="2">
        <f t="shared" si="2"/>
        <v>-421465.19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"4158", " - ", "NON-TAXABLE SALES-FOOD")</f>
        <v xml:space="preserve">          4158 - NON-TAXABLE SALES-FOOD</v>
      </c>
      <c r="C27" s="11"/>
      <c r="D27" s="2">
        <f t="shared" si="8"/>
        <v>0</v>
      </c>
      <c r="E27" s="2"/>
      <c r="F27" s="19"/>
      <c r="G27" s="2"/>
      <c r="H27" s="2">
        <f>--65166.99</f>
        <v>65166.99</v>
      </c>
      <c r="I27" s="2"/>
      <c r="J27" s="19"/>
      <c r="K27" s="2"/>
      <c r="L27" s="2">
        <f t="shared" si="0"/>
        <v>-65166.99</v>
      </c>
      <c r="M27" s="2"/>
      <c r="N27" s="19">
        <f t="shared" si="1"/>
        <v>-1</v>
      </c>
      <c r="O27" s="11"/>
      <c r="P27" s="2">
        <f t="shared" si="9"/>
        <v>0</v>
      </c>
      <c r="Q27" s="2"/>
      <c r="R27" s="19"/>
      <c r="S27" s="2"/>
      <c r="T27" s="2">
        <f>--272887.26</f>
        <v>272887.26</v>
      </c>
      <c r="U27" s="2"/>
      <c r="V27" s="19"/>
      <c r="W27" s="2"/>
      <c r="X27" s="2">
        <f t="shared" si="2"/>
        <v>-272887.26</v>
      </c>
      <c r="Y27" s="2"/>
      <c r="Z27" s="19">
        <f t="shared" si="3"/>
        <v>-1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collapsed="1" x14ac:dyDescent="0.25">
      <c r="A29" s="10"/>
      <c r="B29" s="29" t="s">
        <v>8</v>
      </c>
      <c r="C29" s="10"/>
      <c r="D29" s="4">
        <f>SUM(OSRRefD16x_0)</f>
        <v>2843.9300000000003</v>
      </c>
      <c r="E29" s="4"/>
      <c r="F29" s="12">
        <f t="shared" ref="F29:F31" si="10">IF(D$12=0,0,D29/D$12)</f>
        <v>4.4331403165533391E-2</v>
      </c>
      <c r="G29" s="4"/>
      <c r="H29" s="4">
        <f>SUM(OSRRefH16x_0)</f>
        <v>334582.78000000003</v>
      </c>
      <c r="I29" s="4"/>
      <c r="J29" s="12">
        <f t="shared" ref="J29:J31" si="11">IF(H$12=0,0,H29/H$12)</f>
        <v>0.38899807981316714</v>
      </c>
      <c r="K29" s="4"/>
      <c r="L29" s="4">
        <f t="shared" ref="L29:L31" si="12">+D29-H29</f>
        <v>-331738.85000000003</v>
      </c>
      <c r="M29" s="4"/>
      <c r="N29" s="12">
        <f t="shared" ref="N29:N31" si="13">IF(H29=0,0,L29/H29)</f>
        <v>-0.99150007062527246</v>
      </c>
      <c r="O29" s="10"/>
      <c r="P29" s="4">
        <f>SUM(OSRRefP16x_0)</f>
        <v>23498.739999999998</v>
      </c>
      <c r="Q29" s="4"/>
      <c r="R29" s="12">
        <f t="shared" ref="R29:R31" si="14">IF(P$12=0,0,P29/P$12)</f>
        <v>0.18854732623148462</v>
      </c>
      <c r="S29" s="4"/>
      <c r="T29" s="4">
        <f>SUM(OSRRefT16x_0)</f>
        <v>1553526.17</v>
      </c>
      <c r="U29" s="4"/>
      <c r="V29" s="12">
        <f t="shared" ref="V29:V31" si="15">IF(T$12=0,0,T29/T$12)</f>
        <v>0.37991002013931818</v>
      </c>
      <c r="W29" s="4"/>
      <c r="X29" s="4">
        <f t="shared" ref="X29:X31" si="16">+P29-T29</f>
        <v>-1530027.43</v>
      </c>
      <c r="Y29" s="4"/>
      <c r="Z29" s="12">
        <f t="shared" ref="Z29:Z31" si="17">IF(T29=0,0,X29/T29)</f>
        <v>-0.98487393360100273</v>
      </c>
    </row>
    <row r="30" spans="1:26" s="24" customFormat="1" hidden="1" outlineLevel="1" x14ac:dyDescent="0.25">
      <c r="A30" s="44"/>
      <c r="B30" s="11" t="str">
        <f>CONCATENATE("          ", "5053", " - ", "PURCHASES @ COST-FOOD")</f>
        <v xml:space="preserve">          5053 - PURCHASES @ COST-FOOD</v>
      </c>
      <c r="C30" s="11"/>
      <c r="D30" s="2">
        <v>1847.93</v>
      </c>
      <c r="E30" s="2"/>
      <c r="F30" s="19">
        <f t="shared" si="10"/>
        <v>2.8805677302776129E-2</v>
      </c>
      <c r="G30" s="2"/>
      <c r="H30" s="2">
        <v>317301.56</v>
      </c>
      <c r="I30" s="2"/>
      <c r="J30" s="19">
        <f t="shared" si="11"/>
        <v>0.36890630642055883</v>
      </c>
      <c r="K30" s="2"/>
      <c r="L30" s="2">
        <f t="shared" si="12"/>
        <v>-315453.63</v>
      </c>
      <c r="M30" s="2"/>
      <c r="N30" s="19">
        <f t="shared" si="13"/>
        <v>-0.99417610805317191</v>
      </c>
      <c r="O30" s="11"/>
      <c r="P30" s="2">
        <v>8621.77</v>
      </c>
      <c r="Q30" s="2"/>
      <c r="R30" s="19">
        <f t="shared" si="14"/>
        <v>6.917867429840184E-2</v>
      </c>
      <c r="S30" s="2"/>
      <c r="T30" s="2">
        <v>1619543.0699999998</v>
      </c>
      <c r="U30" s="2"/>
      <c r="V30" s="19">
        <f t="shared" si="15"/>
        <v>0.39605424885774093</v>
      </c>
      <c r="W30" s="2"/>
      <c r="X30" s="2">
        <f t="shared" si="16"/>
        <v>-1610921.2999999998</v>
      </c>
      <c r="Y30" s="2"/>
      <c r="Z30" s="19">
        <f t="shared" si="17"/>
        <v>-0.99467641820726627</v>
      </c>
    </row>
    <row r="31" spans="1:26" s="24" customFormat="1" hidden="1" outlineLevel="1" x14ac:dyDescent="0.25">
      <c r="A31" s="44"/>
      <c r="B31" s="11" t="str">
        <f>CONCATENATE("          ", "5059", " - ", "PURCHASES @ COST-FOOD")</f>
        <v xml:space="preserve">          5059 - PURCHASES @ COST-FOOD</v>
      </c>
      <c r="C31" s="11"/>
      <c r="D31" s="2">
        <v>996</v>
      </c>
      <c r="E31" s="2"/>
      <c r="F31" s="19">
        <f t="shared" si="10"/>
        <v>1.552572586275726E-2</v>
      </c>
      <c r="G31" s="2"/>
      <c r="H31" s="2">
        <v>17281.22</v>
      </c>
      <c r="I31" s="2"/>
      <c r="J31" s="19">
        <f t="shared" si="11"/>
        <v>2.0091773392608252E-2</v>
      </c>
      <c r="K31" s="2"/>
      <c r="L31" s="2">
        <f t="shared" si="12"/>
        <v>-16285.220000000001</v>
      </c>
      <c r="M31" s="2"/>
      <c r="N31" s="19">
        <f t="shared" si="13"/>
        <v>-0.94236518023611759</v>
      </c>
      <c r="O31" s="11"/>
      <c r="P31" s="2">
        <v>14876.969999999998</v>
      </c>
      <c r="Q31" s="2"/>
      <c r="R31" s="19">
        <f t="shared" si="14"/>
        <v>0.11936865193308277</v>
      </c>
      <c r="S31" s="2"/>
      <c r="T31" s="2">
        <v>-66016.899999999994</v>
      </c>
      <c r="U31" s="2"/>
      <c r="V31" s="19">
        <f t="shared" si="15"/>
        <v>-1.614422871842278E-2</v>
      </c>
      <c r="W31" s="2"/>
      <c r="X31" s="2">
        <f t="shared" si="16"/>
        <v>80893.87</v>
      </c>
      <c r="Y31" s="2"/>
      <c r="Z31" s="19">
        <f t="shared" si="17"/>
        <v>-1.2253509328671901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8" t="s">
        <v>6</v>
      </c>
      <c r="C33" s="28"/>
      <c r="D33" s="20">
        <f>D12-D29</f>
        <v>61307.659999999996</v>
      </c>
      <c r="E33" s="14"/>
      <c r="F33" s="22">
        <f>IF(D$12=0,0,D33/D$12)</f>
        <v>0.95566859683446659</v>
      </c>
      <c r="G33" s="14"/>
      <c r="H33" s="20">
        <f>H12-H29</f>
        <v>525531.44000000006</v>
      </c>
      <c r="I33" s="14"/>
      <c r="J33" s="22">
        <f>IF(H$12=0,0,H33/H$12)</f>
        <v>0.61100192018683286</v>
      </c>
      <c r="K33" s="15"/>
      <c r="L33" s="20">
        <f>+D33-H33</f>
        <v>-464223.78000000009</v>
      </c>
      <c r="M33" s="15"/>
      <c r="N33" s="22">
        <f>IF(H33=0,0,L33/H33)</f>
        <v>-0.88334159417750546</v>
      </c>
      <c r="O33" s="29"/>
      <c r="P33" s="20">
        <f>P12-P29</f>
        <v>101131.72000000003</v>
      </c>
      <c r="Q33" s="14"/>
      <c r="R33" s="22">
        <f>IF(P$12=0,0,P33/P$12)</f>
        <v>0.81145267376851549</v>
      </c>
      <c r="S33" s="14"/>
      <c r="T33" s="20">
        <f>T12-T29</f>
        <v>2535668.87</v>
      </c>
      <c r="U33" s="14"/>
      <c r="V33" s="22">
        <f>IF(T$12=0,0,T33/T$12)</f>
        <v>0.62008997986068182</v>
      </c>
      <c r="W33" s="15"/>
      <c r="X33" s="20">
        <f>+P33-T33</f>
        <v>-2434537.15</v>
      </c>
      <c r="Y33" s="15"/>
      <c r="Z33" s="22">
        <f>IF(T33=0,0,X33/T33)</f>
        <v>-0.96011635383605898</v>
      </c>
    </row>
    <row r="34" spans="1:26" x14ac:dyDescent="0.25">
      <c r="A34" s="9"/>
      <c r="B34" s="10"/>
      <c r="C34" s="9"/>
      <c r="D34" s="1"/>
      <c r="E34" s="1"/>
      <c r="F34" s="5"/>
      <c r="G34" s="1"/>
      <c r="H34" s="1"/>
      <c r="I34" s="1"/>
      <c r="J34" s="5"/>
      <c r="K34" s="1"/>
      <c r="L34" s="1"/>
      <c r="M34" s="1"/>
      <c r="N34" s="5"/>
      <c r="O34" s="37"/>
      <c r="P34" s="1"/>
      <c r="Q34" s="1"/>
      <c r="R34" s="5"/>
      <c r="S34" s="1"/>
      <c r="T34" s="1"/>
      <c r="U34" s="1"/>
      <c r="V34" s="5"/>
      <c r="W34" s="1"/>
      <c r="X34" s="1"/>
      <c r="Y34" s="1"/>
      <c r="Z34" s="5"/>
    </row>
    <row r="35" spans="1:26" s="23" customFormat="1" x14ac:dyDescent="0.25">
      <c r="A35" s="10"/>
      <c r="B35" s="29" t="s">
        <v>9</v>
      </c>
      <c r="C35" s="10"/>
      <c r="D35" s="21">
        <f>SUM(OSRRefD22x_0)</f>
        <v>137621.79</v>
      </c>
      <c r="E35" s="21"/>
      <c r="F35" s="35">
        <f t="shared" ref="F35:F45" si="18">IF(D$12=0,0,D35/D$12)</f>
        <v>2.145259221166615</v>
      </c>
      <c r="G35" s="21"/>
      <c r="H35" s="21">
        <f>SUM(OSRRefH22x_0)</f>
        <v>565074.01000000059</v>
      </c>
      <c r="I35" s="21"/>
      <c r="J35" s="35">
        <f t="shared" ref="J35:J45" si="19">IF(H$12=0,0,H35/H$12)</f>
        <v>0.65697554680586556</v>
      </c>
      <c r="K35" s="4"/>
      <c r="L35" s="21">
        <f t="shared" ref="L35:L45" si="20">+D35-H35</f>
        <v>-427452.22000000055</v>
      </c>
      <c r="M35" s="4"/>
      <c r="N35" s="35">
        <f t="shared" ref="N35:N45" si="21">IF(H35=0,0,L35/H35)</f>
        <v>-0.75645351305398045</v>
      </c>
      <c r="O35" s="10"/>
      <c r="P35" s="21">
        <f>SUM(OSRRefP22x_0)</f>
        <v>710812.7999999997</v>
      </c>
      <c r="Q35" s="21"/>
      <c r="R35" s="35">
        <f t="shared" ref="R35:R45" si="22">IF(P$12=0,0,P35/P$12)</f>
        <v>5.7033633671896871</v>
      </c>
      <c r="S35" s="21"/>
      <c r="T35" s="21">
        <f>SUM(OSRRefT22x_0)</f>
        <v>2932089.3600000013</v>
      </c>
      <c r="U35" s="21"/>
      <c r="V35" s="35">
        <f t="shared" ref="V35:V45" si="23">IF(T$12=0,0,T35/T$12)</f>
        <v>0.7170333846438397</v>
      </c>
      <c r="W35" s="4"/>
      <c r="X35" s="21">
        <f t="shared" ref="X35:X45" si="24">+P35-T35</f>
        <v>-2221276.5600000015</v>
      </c>
      <c r="Y35" s="4"/>
      <c r="Z35" s="35">
        <f t="shared" ref="Z35:Z45" si="25">IF(T35=0,0,X35/T35)</f>
        <v>-0.75757464636071004</v>
      </c>
    </row>
    <row r="36" spans="1:26" s="26" customFormat="1" outlineLevel="1" collapsed="1" x14ac:dyDescent="0.25">
      <c r="A36" s="27"/>
      <c r="B36" s="13" t="str">
        <f>CONCATENATE("     ","*Benefits                                         ")</f>
        <v xml:space="preserve">     *Benefits                                         </v>
      </c>
      <c r="C36" s="13"/>
      <c r="D36" s="1">
        <f>SUM(OSRRefD22_0x_0)</f>
        <v>25779.710000000003</v>
      </c>
      <c r="E36" s="1"/>
      <c r="F36" s="5">
        <f t="shared" si="18"/>
        <v>0.40185613482066468</v>
      </c>
      <c r="G36" s="1"/>
      <c r="H36" s="1">
        <f>SUM(OSRRefH22_0x_0)</f>
        <v>78983.090000000011</v>
      </c>
      <c r="I36" s="1"/>
      <c r="J36" s="5">
        <f t="shared" si="19"/>
        <v>9.182860620534794E-2</v>
      </c>
      <c r="K36" s="1"/>
      <c r="L36" s="1">
        <f t="shared" si="20"/>
        <v>-53203.380000000005</v>
      </c>
      <c r="M36" s="1"/>
      <c r="N36" s="5">
        <f t="shared" si="21"/>
        <v>-0.67360469183973426</v>
      </c>
      <c r="O36" s="13"/>
      <c r="P36" s="1">
        <f>SUM(OSRRefP22_0x_0)</f>
        <v>145239.57999999999</v>
      </c>
      <c r="Q36" s="1"/>
      <c r="R36" s="5">
        <f t="shared" si="22"/>
        <v>1.1653618224629834</v>
      </c>
      <c r="S36" s="1"/>
      <c r="T36" s="1">
        <f>SUM(OSRRefT22_0x_0)</f>
        <v>413555.78</v>
      </c>
      <c r="U36" s="1"/>
      <c r="V36" s="5">
        <f t="shared" si="23"/>
        <v>0.10113378695676008</v>
      </c>
      <c r="W36" s="1"/>
      <c r="X36" s="1">
        <f t="shared" si="24"/>
        <v>-268316.20000000007</v>
      </c>
      <c r="Y36" s="1"/>
      <c r="Z36" s="5">
        <f t="shared" si="25"/>
        <v>-0.648802925689976</v>
      </c>
    </row>
    <row r="37" spans="1:26" s="24" customFormat="1" hidden="1" outlineLevel="2" x14ac:dyDescent="0.25">
      <c r="A37" s="25"/>
      <c r="B37" s="11" t="str">
        <f>CONCATENATE("          ", "6111", " - ", "F.I.C.A.")</f>
        <v xml:space="preserve">          6111 - F.I.C.A.</v>
      </c>
      <c r="C37" s="11"/>
      <c r="D37" s="6">
        <v>2059.0700000000002</v>
      </c>
      <c r="E37" s="2"/>
      <c r="F37" s="7">
        <f t="shared" si="18"/>
        <v>3.2096944128742567E-2</v>
      </c>
      <c r="G37" s="2"/>
      <c r="H37" s="6">
        <v>13176.04</v>
      </c>
      <c r="I37" s="2"/>
      <c r="J37" s="7">
        <f t="shared" si="19"/>
        <v>1.5318942174912536E-2</v>
      </c>
      <c r="K37" s="2"/>
      <c r="L37" s="6">
        <f t="shared" si="20"/>
        <v>-11116.970000000001</v>
      </c>
      <c r="M37" s="2"/>
      <c r="N37" s="7">
        <f t="shared" si="21"/>
        <v>-0.84372618783792397</v>
      </c>
      <c r="O37" s="11"/>
      <c r="P37" s="6">
        <v>17978.580000000002</v>
      </c>
      <c r="Q37" s="2"/>
      <c r="R37" s="7">
        <f t="shared" si="22"/>
        <v>0.14425510424979573</v>
      </c>
      <c r="S37" s="2"/>
      <c r="T37" s="6">
        <v>82019.820000000007</v>
      </c>
      <c r="U37" s="2"/>
      <c r="V37" s="7">
        <f t="shared" si="23"/>
        <v>2.0057693310710854E-2</v>
      </c>
      <c r="W37" s="2"/>
      <c r="X37" s="6">
        <f t="shared" si="24"/>
        <v>-64041.240000000005</v>
      </c>
      <c r="Y37" s="2"/>
      <c r="Z37" s="7">
        <f t="shared" si="25"/>
        <v>-0.78080200614924544</v>
      </c>
    </row>
    <row r="38" spans="1:26" s="24" customFormat="1" hidden="1" outlineLevel="2" x14ac:dyDescent="0.25">
      <c r="A38" s="25"/>
      <c r="B38" s="11" t="str">
        <f>CONCATENATE("          ", "6112", " - ", "COMPENSATION INSURANCE")</f>
        <v xml:space="preserve">          6112 - COMPENSATION INSURANCE</v>
      </c>
      <c r="C38" s="11"/>
      <c r="D38" s="6">
        <v>1316.81</v>
      </c>
      <c r="E38" s="2"/>
      <c r="F38" s="7">
        <f t="shared" si="18"/>
        <v>2.0526537222226294E-2</v>
      </c>
      <c r="G38" s="2"/>
      <c r="H38" s="6">
        <v>10253.219999999999</v>
      </c>
      <c r="I38" s="2"/>
      <c r="J38" s="7">
        <f t="shared" si="19"/>
        <v>1.192076559320226E-2</v>
      </c>
      <c r="K38" s="2"/>
      <c r="L38" s="6">
        <f t="shared" si="20"/>
        <v>-8936.41</v>
      </c>
      <c r="M38" s="2"/>
      <c r="N38" s="7">
        <f t="shared" si="21"/>
        <v>-0.87157107718355797</v>
      </c>
      <c r="O38" s="11"/>
      <c r="P38" s="6">
        <v>4641.07</v>
      </c>
      <c r="Q38" s="2"/>
      <c r="R38" s="7">
        <f t="shared" si="22"/>
        <v>3.723864936388744E-2</v>
      </c>
      <c r="S38" s="2"/>
      <c r="T38" s="6">
        <v>31238.53</v>
      </c>
      <c r="U38" s="2"/>
      <c r="V38" s="7">
        <f t="shared" si="23"/>
        <v>7.6392858972068002E-3</v>
      </c>
      <c r="W38" s="2"/>
      <c r="X38" s="6">
        <f t="shared" si="24"/>
        <v>-26597.46</v>
      </c>
      <c r="Y38" s="2"/>
      <c r="Z38" s="7">
        <f t="shared" si="25"/>
        <v>-0.85143122931840898</v>
      </c>
    </row>
    <row r="39" spans="1:26" s="24" customFormat="1" hidden="1" outlineLevel="2" x14ac:dyDescent="0.25">
      <c r="A39" s="25"/>
      <c r="B39" s="11" t="str">
        <f>CONCATENATE("          ", "6113", " - ", "GROUP INSURANCE")</f>
        <v xml:space="preserve">          6113 - GROUP INSURANCE</v>
      </c>
      <c r="C39" s="11"/>
      <c r="D39" s="6">
        <v>11367.93</v>
      </c>
      <c r="E39" s="2"/>
      <c r="F39" s="7">
        <f t="shared" si="18"/>
        <v>0.17720418153314674</v>
      </c>
      <c r="G39" s="2"/>
      <c r="H39" s="6">
        <v>29592.670000000002</v>
      </c>
      <c r="I39" s="2"/>
      <c r="J39" s="7">
        <f t="shared" si="19"/>
        <v>3.4405511863296483E-2</v>
      </c>
      <c r="K39" s="2"/>
      <c r="L39" s="6">
        <f t="shared" si="20"/>
        <v>-18224.740000000002</v>
      </c>
      <c r="M39" s="2"/>
      <c r="N39" s="7">
        <f t="shared" si="21"/>
        <v>-0.6158531825617628</v>
      </c>
      <c r="O39" s="11"/>
      <c r="P39" s="6">
        <v>67709.19</v>
      </c>
      <c r="Q39" s="2"/>
      <c r="R39" s="7">
        <f t="shared" si="22"/>
        <v>0.54327962843112343</v>
      </c>
      <c r="S39" s="2"/>
      <c r="T39" s="6">
        <v>138134.1</v>
      </c>
      <c r="U39" s="2"/>
      <c r="V39" s="7">
        <f t="shared" si="23"/>
        <v>3.3780266934883105E-2</v>
      </c>
      <c r="W39" s="2"/>
      <c r="X39" s="6">
        <f t="shared" si="24"/>
        <v>-70424.91</v>
      </c>
      <c r="Y39" s="2"/>
      <c r="Z39" s="7">
        <f t="shared" si="25"/>
        <v>-0.50983001300909769</v>
      </c>
    </row>
    <row r="40" spans="1:26" s="24" customFormat="1" hidden="1" outlineLevel="2" x14ac:dyDescent="0.25">
      <c r="A40" s="25"/>
      <c r="B40" s="11" t="str">
        <f>CONCATENATE("          ", "6114", " - ", "STATE UNEMPLOYMENT INSURANCE")</f>
        <v xml:space="preserve">          6114 - STATE UNEMPLOYMENT INSURANCE</v>
      </c>
      <c r="C40" s="11"/>
      <c r="D40" s="6">
        <v>208.58</v>
      </c>
      <c r="E40" s="2"/>
      <c r="F40" s="7">
        <f t="shared" si="18"/>
        <v>3.2513613458372585E-3</v>
      </c>
      <c r="G40" s="2"/>
      <c r="H40" s="6">
        <v>809.34</v>
      </c>
      <c r="I40" s="2"/>
      <c r="J40" s="7">
        <f t="shared" si="19"/>
        <v>9.4096804956904443E-4</v>
      </c>
      <c r="K40" s="2"/>
      <c r="L40" s="6">
        <f t="shared" si="20"/>
        <v>-600.76</v>
      </c>
      <c r="M40" s="2"/>
      <c r="N40" s="7">
        <f t="shared" si="21"/>
        <v>-0.74228383621222227</v>
      </c>
      <c r="O40" s="11"/>
      <c r="P40" s="6">
        <v>640.41999999999996</v>
      </c>
      <c r="Q40" s="2"/>
      <c r="R40" s="7">
        <f t="shared" si="22"/>
        <v>5.1385512016885746E-3</v>
      </c>
      <c r="S40" s="2"/>
      <c r="T40" s="6">
        <v>3591.65</v>
      </c>
      <c r="U40" s="2"/>
      <c r="V40" s="7">
        <f t="shared" si="23"/>
        <v>8.783268992715985E-4</v>
      </c>
      <c r="W40" s="2"/>
      <c r="X40" s="6">
        <f t="shared" si="24"/>
        <v>-2951.23</v>
      </c>
      <c r="Y40" s="2"/>
      <c r="Z40" s="7">
        <f t="shared" si="25"/>
        <v>-0.82169198000918797</v>
      </c>
    </row>
    <row r="41" spans="1:26" s="24" customFormat="1" hidden="1" outlineLevel="2" x14ac:dyDescent="0.25">
      <c r="A41" s="25"/>
      <c r="B41" s="11" t="str">
        <f>CONCATENATE("          ", "6115", " - ", "P.E.R.S.")</f>
        <v xml:space="preserve">          6115 - P.E.R.S.</v>
      </c>
      <c r="C41" s="11"/>
      <c r="D41" s="6">
        <v>5938.65</v>
      </c>
      <c r="E41" s="2"/>
      <c r="F41" s="7">
        <f t="shared" si="18"/>
        <v>9.2572140456690155E-2</v>
      </c>
      <c r="G41" s="2"/>
      <c r="H41" s="6">
        <v>8260.7800000000007</v>
      </c>
      <c r="I41" s="2"/>
      <c r="J41" s="7">
        <f t="shared" si="19"/>
        <v>9.6042825567980959E-3</v>
      </c>
      <c r="K41" s="2"/>
      <c r="L41" s="6">
        <f t="shared" si="20"/>
        <v>-2322.130000000001</v>
      </c>
      <c r="M41" s="2"/>
      <c r="N41" s="7">
        <f t="shared" si="21"/>
        <v>-0.28110299511668402</v>
      </c>
      <c r="O41" s="11"/>
      <c r="P41" s="6">
        <v>23041.42</v>
      </c>
      <c r="Q41" s="2"/>
      <c r="R41" s="7">
        <f t="shared" si="22"/>
        <v>0.18487791828739134</v>
      </c>
      <c r="S41" s="2"/>
      <c r="T41" s="6">
        <v>43833.88</v>
      </c>
      <c r="U41" s="2"/>
      <c r="V41" s="7">
        <f t="shared" si="23"/>
        <v>1.0719439784902017E-2</v>
      </c>
      <c r="W41" s="2"/>
      <c r="X41" s="6">
        <f t="shared" si="24"/>
        <v>-20792.46</v>
      </c>
      <c r="Y41" s="2"/>
      <c r="Z41" s="7">
        <f t="shared" si="25"/>
        <v>-0.47434678381197376</v>
      </c>
    </row>
    <row r="42" spans="1:26" s="24" customFormat="1" hidden="1" outlineLevel="2" x14ac:dyDescent="0.25">
      <c r="A42" s="25"/>
      <c r="B42" s="11" t="str">
        <f>CONCATENATE("          ", "6117", " - ", "RETIREMENT STAFF HOURLY")</f>
        <v xml:space="preserve">          6117 - RETIREMENT STAFF HOURLY</v>
      </c>
      <c r="C42" s="11"/>
      <c r="D42" s="6"/>
      <c r="E42" s="2"/>
      <c r="F42" s="7">
        <f t="shared" si="18"/>
        <v>0</v>
      </c>
      <c r="G42" s="2"/>
      <c r="H42" s="6">
        <v>56</v>
      </c>
      <c r="I42" s="2"/>
      <c r="J42" s="7">
        <f t="shared" si="19"/>
        <v>6.5107631867776809E-5</v>
      </c>
      <c r="K42" s="2"/>
      <c r="L42" s="6">
        <f t="shared" si="20"/>
        <v>-56</v>
      </c>
      <c r="M42" s="2"/>
      <c r="N42" s="7">
        <f t="shared" si="21"/>
        <v>-1</v>
      </c>
      <c r="O42" s="11"/>
      <c r="P42" s="6"/>
      <c r="Q42" s="2"/>
      <c r="R42" s="7">
        <f t="shared" si="22"/>
        <v>0</v>
      </c>
      <c r="S42" s="2"/>
      <c r="T42" s="6">
        <v>308</v>
      </c>
      <c r="U42" s="2"/>
      <c r="V42" s="7">
        <f t="shared" si="23"/>
        <v>7.532044741989122E-5</v>
      </c>
      <c r="W42" s="2"/>
      <c r="X42" s="6">
        <f t="shared" si="24"/>
        <v>-308</v>
      </c>
      <c r="Y42" s="2"/>
      <c r="Z42" s="7">
        <f t="shared" si="25"/>
        <v>-1</v>
      </c>
    </row>
    <row r="43" spans="1:26" s="24" customFormat="1" hidden="1" outlineLevel="2" x14ac:dyDescent="0.25">
      <c r="A43" s="25"/>
      <c r="B43" s="11" t="str">
        <f>CONCATENATE("          ", "6118", " - ", "VACATION")</f>
        <v xml:space="preserve">          6118 - VACATION</v>
      </c>
      <c r="C43" s="11"/>
      <c r="D43" s="6">
        <v>2723.77</v>
      </c>
      <c r="E43" s="2"/>
      <c r="F43" s="7">
        <f t="shared" si="18"/>
        <v>4.2458339691970222E-2</v>
      </c>
      <c r="G43" s="2"/>
      <c r="H43" s="6">
        <v>7994.02</v>
      </c>
      <c r="I43" s="2"/>
      <c r="J43" s="7">
        <f t="shared" si="19"/>
        <v>9.2941377018508076E-3</v>
      </c>
      <c r="K43" s="2"/>
      <c r="L43" s="6">
        <f t="shared" si="20"/>
        <v>-5270.25</v>
      </c>
      <c r="M43" s="2"/>
      <c r="N43" s="7">
        <f t="shared" si="21"/>
        <v>-0.65927405735787492</v>
      </c>
      <c r="O43" s="11"/>
      <c r="P43" s="6">
        <v>17070.919999999998</v>
      </c>
      <c r="Q43" s="2"/>
      <c r="R43" s="7">
        <f t="shared" si="22"/>
        <v>0.136972293931997</v>
      </c>
      <c r="S43" s="2"/>
      <c r="T43" s="6">
        <v>45801.16</v>
      </c>
      <c r="U43" s="2"/>
      <c r="V43" s="7">
        <f t="shared" si="23"/>
        <v>1.120053202451307E-2</v>
      </c>
      <c r="W43" s="2"/>
      <c r="X43" s="6">
        <f t="shared" si="24"/>
        <v>-28730.240000000005</v>
      </c>
      <c r="Y43" s="2"/>
      <c r="Z43" s="7">
        <f t="shared" si="25"/>
        <v>-0.62728192910397906</v>
      </c>
    </row>
    <row r="44" spans="1:26" s="24" customFormat="1" hidden="1" outlineLevel="2" x14ac:dyDescent="0.25">
      <c r="A44" s="25"/>
      <c r="B44" s="11" t="str">
        <f>CONCATENATE("          ", "6119", " - ", "SICK LEAVE")</f>
        <v xml:space="preserve">          6119 - SICK LEAVE</v>
      </c>
      <c r="C44" s="11"/>
      <c r="D44" s="6">
        <v>1592.42</v>
      </c>
      <c r="E44" s="2"/>
      <c r="F44" s="7">
        <f t="shared" si="18"/>
        <v>2.4822767448164577E-2</v>
      </c>
      <c r="G44" s="2"/>
      <c r="H44" s="6">
        <v>5490.24</v>
      </c>
      <c r="I44" s="2"/>
      <c r="J44" s="7">
        <f t="shared" si="19"/>
        <v>6.3831522283168381E-3</v>
      </c>
      <c r="K44" s="2"/>
      <c r="L44" s="6">
        <f t="shared" si="20"/>
        <v>-3897.8199999999997</v>
      </c>
      <c r="M44" s="2"/>
      <c r="N44" s="7">
        <f t="shared" si="21"/>
        <v>-0.70995439179343711</v>
      </c>
      <c r="O44" s="11"/>
      <c r="P44" s="6">
        <v>10438.64</v>
      </c>
      <c r="Q44" s="2"/>
      <c r="R44" s="7">
        <f t="shared" si="22"/>
        <v>8.3756731701062473E-2</v>
      </c>
      <c r="S44" s="2"/>
      <c r="T44" s="6">
        <v>52653.2</v>
      </c>
      <c r="U44" s="2"/>
      <c r="V44" s="7">
        <f t="shared" si="23"/>
        <v>1.2876177214574729E-2</v>
      </c>
      <c r="W44" s="2"/>
      <c r="X44" s="6">
        <f t="shared" si="24"/>
        <v>-42214.559999999998</v>
      </c>
      <c r="Y44" s="2"/>
      <c r="Z44" s="7">
        <f t="shared" si="25"/>
        <v>-0.80174728221646552</v>
      </c>
    </row>
    <row r="45" spans="1:26" s="24" customFormat="1" hidden="1" outlineLevel="2" x14ac:dyDescent="0.25">
      <c r="A45" s="25"/>
      <c r="B45" s="11" t="str">
        <f>CONCATENATE("          ", "6156", " - ", "EMPLOYEE MEALS")</f>
        <v xml:space="preserve">          6156 - EMPLOYEE MEALS</v>
      </c>
      <c r="C45" s="11"/>
      <c r="D45" s="6">
        <v>572.48</v>
      </c>
      <c r="E45" s="2"/>
      <c r="F45" s="7">
        <f t="shared" si="18"/>
        <v>8.9238629938868247E-3</v>
      </c>
      <c r="G45" s="2"/>
      <c r="H45" s="6">
        <v>3350.78</v>
      </c>
      <c r="I45" s="2"/>
      <c r="J45" s="7">
        <f t="shared" si="19"/>
        <v>3.8957384055340926E-3</v>
      </c>
      <c r="K45" s="2"/>
      <c r="L45" s="6">
        <f t="shared" si="20"/>
        <v>-2778.3</v>
      </c>
      <c r="M45" s="2"/>
      <c r="N45" s="7">
        <f t="shared" si="21"/>
        <v>-0.82915022770817537</v>
      </c>
      <c r="O45" s="11"/>
      <c r="P45" s="6">
        <v>3719.34</v>
      </c>
      <c r="Q45" s="2"/>
      <c r="R45" s="7">
        <f t="shared" si="22"/>
        <v>2.9842945296037579E-2</v>
      </c>
      <c r="S45" s="2"/>
      <c r="T45" s="6">
        <v>15975.44</v>
      </c>
      <c r="U45" s="2"/>
      <c r="V45" s="7">
        <f t="shared" si="23"/>
        <v>3.90674444327801E-3</v>
      </c>
      <c r="W45" s="2"/>
      <c r="X45" s="6">
        <f t="shared" si="24"/>
        <v>-12256.1</v>
      </c>
      <c r="Y45" s="2"/>
      <c r="Z45" s="7">
        <f t="shared" si="25"/>
        <v>-0.76718387725158121</v>
      </c>
    </row>
    <row r="46" spans="1:26" s="26" customFormat="1" outlineLevel="1" collapsed="1" x14ac:dyDescent="0.25">
      <c r="A46" s="27"/>
      <c r="B46" s="13" t="str">
        <f>CONCATENATE("     ","*Payroll                                          ")</f>
        <v xml:space="preserve">     *Payroll                                          </v>
      </c>
      <c r="C46" s="13"/>
      <c r="D46" s="1">
        <f>SUM(OSRRefD22_1x_0)</f>
        <v>29696.65</v>
      </c>
      <c r="E46" s="1"/>
      <c r="F46" s="5">
        <f t="shared" ref="F46:F53" si="26">IF(D$12=0,0,D46/D$12)</f>
        <v>0.4629137017492474</v>
      </c>
      <c r="G46" s="1"/>
      <c r="H46" s="1">
        <f>SUM(OSRRefH22_1x_0)</f>
        <v>267013.11</v>
      </c>
      <c r="I46" s="1"/>
      <c r="J46" s="5">
        <f t="shared" ref="J46:J53" si="27">IF(H$12=0,0,H46/H$12)</f>
        <v>0.31043912981696775</v>
      </c>
      <c r="K46" s="1"/>
      <c r="L46" s="1">
        <f t="shared" ref="L46:L53" si="28">+D46-H46</f>
        <v>-237316.46</v>
      </c>
      <c r="M46" s="1"/>
      <c r="N46" s="5">
        <f t="shared" ref="N46:N53" si="29">IF(H46=0,0,L46/H46)</f>
        <v>-0.8887820526864767</v>
      </c>
      <c r="O46" s="13"/>
      <c r="P46" s="1">
        <f>SUM(OSRRefP22_1x_0)</f>
        <v>196433.55</v>
      </c>
      <c r="Q46" s="1"/>
      <c r="R46" s="5">
        <f t="shared" ref="R46:R53" si="30">IF(P$12=0,0,P46/P$12)</f>
        <v>1.5761279385472857</v>
      </c>
      <c r="S46" s="1"/>
      <c r="T46" s="1">
        <f>SUM(OSRRefT22_1x_0)</f>
        <v>1376030.42</v>
      </c>
      <c r="U46" s="1"/>
      <c r="V46" s="5">
        <f t="shared" ref="V46:V53" si="31">IF(T$12=0,0,T46/T$12)</f>
        <v>0.33650398343435334</v>
      </c>
      <c r="W46" s="1"/>
      <c r="X46" s="1">
        <f t="shared" ref="X46:X53" si="32">+P46-T46</f>
        <v>-1179596.8699999999</v>
      </c>
      <c r="Y46" s="1"/>
      <c r="Z46" s="5">
        <f t="shared" ref="Z46:Z53" si="33">IF(T46=0,0,X46/T46)</f>
        <v>-0.85724621553061298</v>
      </c>
    </row>
    <row r="47" spans="1:26" s="24" customFormat="1" hidden="1" outlineLevel="2" x14ac:dyDescent="0.25">
      <c r="A47" s="25"/>
      <c r="B47" s="11" t="str">
        <f>CONCATENATE("          ", "6001", " - ", "ADMINISTRATIVE SALARIES")</f>
        <v xml:space="preserve">          6001 - ADMINISTRATIVE SALARIES</v>
      </c>
      <c r="C47" s="11"/>
      <c r="D47" s="6">
        <v>9962.35</v>
      </c>
      <c r="E47" s="2"/>
      <c r="F47" s="7">
        <f t="shared" si="26"/>
        <v>0.15529389061128493</v>
      </c>
      <c r="G47" s="2"/>
      <c r="H47" s="6">
        <v>16486.030000000002</v>
      </c>
      <c r="I47" s="2"/>
      <c r="J47" s="7">
        <f t="shared" si="27"/>
        <v>1.9167256646448656E-2</v>
      </c>
      <c r="K47" s="2"/>
      <c r="L47" s="6">
        <f t="shared" si="28"/>
        <v>-6523.6800000000021</v>
      </c>
      <c r="M47" s="2"/>
      <c r="N47" s="7">
        <f t="shared" si="29"/>
        <v>-0.39570957956524411</v>
      </c>
      <c r="O47" s="11"/>
      <c r="P47" s="6">
        <v>53824.380000000005</v>
      </c>
      <c r="Q47" s="2"/>
      <c r="R47" s="7">
        <f t="shared" si="30"/>
        <v>0.43187179121380115</v>
      </c>
      <c r="S47" s="2"/>
      <c r="T47" s="6">
        <v>86742.09</v>
      </c>
      <c r="U47" s="2"/>
      <c r="V47" s="7">
        <f t="shared" si="31"/>
        <v>2.1212509834209324E-2</v>
      </c>
      <c r="W47" s="2"/>
      <c r="X47" s="6">
        <f t="shared" si="32"/>
        <v>-32917.709999999992</v>
      </c>
      <c r="Y47" s="2"/>
      <c r="Z47" s="7">
        <f t="shared" si="33"/>
        <v>-0.37948947275768885</v>
      </c>
    </row>
    <row r="48" spans="1:26" s="24" customFormat="1" hidden="1" outlineLevel="2" x14ac:dyDescent="0.25">
      <c r="A48" s="25"/>
      <c r="B48" s="11" t="str">
        <f>CONCATENATE("          ", "6002", " - ", "STAFF SALARIES")</f>
        <v xml:space="preserve">          6002 - STAFF SALARIES</v>
      </c>
      <c r="C48" s="11"/>
      <c r="D48" s="6">
        <v>16607.05</v>
      </c>
      <c r="E48" s="2"/>
      <c r="F48" s="7">
        <f t="shared" si="26"/>
        <v>0.25887199366375796</v>
      </c>
      <c r="G48" s="2"/>
      <c r="H48" s="6">
        <v>75475.849999999991</v>
      </c>
      <c r="I48" s="2"/>
      <c r="J48" s="7">
        <f t="shared" si="27"/>
        <v>8.7750961726920387E-2</v>
      </c>
      <c r="K48" s="2"/>
      <c r="L48" s="6">
        <f t="shared" si="28"/>
        <v>-58868.799999999988</v>
      </c>
      <c r="M48" s="2"/>
      <c r="N48" s="7">
        <f t="shared" si="29"/>
        <v>-0.77996869197233276</v>
      </c>
      <c r="O48" s="11"/>
      <c r="P48" s="6">
        <v>119806.32</v>
      </c>
      <c r="Q48" s="2"/>
      <c r="R48" s="7">
        <f t="shared" si="30"/>
        <v>0.9612924480901377</v>
      </c>
      <c r="S48" s="2"/>
      <c r="T48" s="6">
        <v>387032.91000000003</v>
      </c>
      <c r="U48" s="2"/>
      <c r="V48" s="7">
        <f t="shared" si="31"/>
        <v>9.4647701127995115E-2</v>
      </c>
      <c r="W48" s="2"/>
      <c r="X48" s="6">
        <f t="shared" si="32"/>
        <v>-267226.59000000003</v>
      </c>
      <c r="Y48" s="2"/>
      <c r="Z48" s="7">
        <f t="shared" si="33"/>
        <v>-0.69044926954661301</v>
      </c>
    </row>
    <row r="49" spans="1:26" s="24" customFormat="1" hidden="1" outlineLevel="2" x14ac:dyDescent="0.25">
      <c r="A49" s="25"/>
      <c r="B49" s="11" t="str">
        <f>CONCATENATE("          ", "6004", " - ", "STAFF HOURLY")</f>
        <v xml:space="preserve">          6004 - STAFF HOURLY</v>
      </c>
      <c r="C49" s="11"/>
      <c r="D49" s="6">
        <v>2751.03</v>
      </c>
      <c r="E49" s="2"/>
      <c r="F49" s="7">
        <f t="shared" si="26"/>
        <v>4.2883270703033244E-2</v>
      </c>
      <c r="G49" s="2"/>
      <c r="H49" s="6">
        <v>20555.48</v>
      </c>
      <c r="I49" s="2"/>
      <c r="J49" s="7">
        <f t="shared" si="27"/>
        <v>2.3898546869740158E-2</v>
      </c>
      <c r="K49" s="2"/>
      <c r="L49" s="6">
        <f t="shared" si="28"/>
        <v>-17804.45</v>
      </c>
      <c r="M49" s="2"/>
      <c r="N49" s="7">
        <f t="shared" si="29"/>
        <v>-0.86616561617631893</v>
      </c>
      <c r="O49" s="11"/>
      <c r="P49" s="6">
        <v>18098.329999999998</v>
      </c>
      <c r="Q49" s="2"/>
      <c r="R49" s="7">
        <f t="shared" si="30"/>
        <v>0.14521594480193684</v>
      </c>
      <c r="S49" s="2"/>
      <c r="T49" s="6">
        <v>103645.39</v>
      </c>
      <c r="U49" s="2"/>
      <c r="V49" s="7">
        <f t="shared" si="31"/>
        <v>2.5346159570808831E-2</v>
      </c>
      <c r="W49" s="2"/>
      <c r="X49" s="6">
        <f t="shared" si="32"/>
        <v>-85547.06</v>
      </c>
      <c r="Y49" s="2"/>
      <c r="Z49" s="7">
        <f t="shared" si="33"/>
        <v>-0.82538219982577132</v>
      </c>
    </row>
    <row r="50" spans="1:26" s="24" customFormat="1" hidden="1" outlineLevel="2" x14ac:dyDescent="0.25">
      <c r="A50" s="25"/>
      <c r="B50" s="11" t="str">
        <f>CONCATENATE("          ", "6005", " - ", "TEMPORARY WAGES-HOURLY")</f>
        <v xml:space="preserve">          6005 - TEMPORARY WAGES-HOURLY</v>
      </c>
      <c r="C50" s="11"/>
      <c r="D50" s="6">
        <v>376.22</v>
      </c>
      <c r="E50" s="2"/>
      <c r="F50" s="7">
        <f t="shared" si="26"/>
        <v>5.8645467711712215E-3</v>
      </c>
      <c r="G50" s="2"/>
      <c r="H50" s="6">
        <v>51530.409999999996</v>
      </c>
      <c r="I50" s="2"/>
      <c r="J50" s="7">
        <f t="shared" si="27"/>
        <v>5.9911124362064368E-2</v>
      </c>
      <c r="K50" s="2"/>
      <c r="L50" s="6">
        <f t="shared" si="28"/>
        <v>-51154.189999999995</v>
      </c>
      <c r="M50" s="2"/>
      <c r="N50" s="7">
        <f t="shared" si="29"/>
        <v>-0.99269906837535349</v>
      </c>
      <c r="O50" s="11"/>
      <c r="P50" s="6">
        <v>4634.8100000000004</v>
      </c>
      <c r="Q50" s="2"/>
      <c r="R50" s="7">
        <f t="shared" si="30"/>
        <v>3.718842087239347E-2</v>
      </c>
      <c r="S50" s="2"/>
      <c r="T50" s="6">
        <v>269178.27999999997</v>
      </c>
      <c r="U50" s="2"/>
      <c r="V50" s="7">
        <f t="shared" si="31"/>
        <v>6.5826715861418042E-2</v>
      </c>
      <c r="W50" s="2"/>
      <c r="X50" s="6">
        <f t="shared" si="32"/>
        <v>-264543.46999999997</v>
      </c>
      <c r="Y50" s="2"/>
      <c r="Z50" s="7">
        <f t="shared" si="33"/>
        <v>-0.98278163453604062</v>
      </c>
    </row>
    <row r="51" spans="1:26" s="24" customFormat="1" hidden="1" outlineLevel="2" x14ac:dyDescent="0.25">
      <c r="A51" s="25"/>
      <c r="B51" s="11" t="str">
        <f>CONCATENATE("          ", "6006", " - ", "TEMPORARY PART TIME")</f>
        <v xml:space="preserve">          6006 - TEMPORARY PART TIME</v>
      </c>
      <c r="C51" s="11"/>
      <c r="D51" s="6"/>
      <c r="E51" s="2"/>
      <c r="F51" s="7">
        <f t="shared" si="26"/>
        <v>0</v>
      </c>
      <c r="G51" s="2"/>
      <c r="H51" s="6">
        <v>2403.23</v>
      </c>
      <c r="I51" s="2"/>
      <c r="J51" s="7">
        <f t="shared" si="27"/>
        <v>2.7940823952428083E-3</v>
      </c>
      <c r="K51" s="2"/>
      <c r="L51" s="6">
        <f t="shared" si="28"/>
        <v>-2403.23</v>
      </c>
      <c r="M51" s="2"/>
      <c r="N51" s="7">
        <f t="shared" si="29"/>
        <v>-1</v>
      </c>
      <c r="O51" s="11"/>
      <c r="P51" s="6"/>
      <c r="Q51" s="2"/>
      <c r="R51" s="7">
        <f t="shared" si="30"/>
        <v>0</v>
      </c>
      <c r="S51" s="2"/>
      <c r="T51" s="6">
        <v>18555.2</v>
      </c>
      <c r="U51" s="2"/>
      <c r="V51" s="7">
        <f t="shared" si="31"/>
        <v>4.5376167726154729E-3</v>
      </c>
      <c r="W51" s="2"/>
      <c r="X51" s="6">
        <f t="shared" si="32"/>
        <v>-18555.2</v>
      </c>
      <c r="Y51" s="2"/>
      <c r="Z51" s="7">
        <f t="shared" si="33"/>
        <v>-1</v>
      </c>
    </row>
    <row r="52" spans="1:26" s="24" customFormat="1" hidden="1" outlineLevel="2" x14ac:dyDescent="0.25">
      <c r="A52" s="25"/>
      <c r="B52" s="11" t="str">
        <f>CONCATENATE("          ", "6007", " - ", "STUDENT HOURLY")</f>
        <v xml:space="preserve">          6007 - STUDENT HOURLY</v>
      </c>
      <c r="C52" s="11"/>
      <c r="D52" s="6"/>
      <c r="E52" s="2"/>
      <c r="F52" s="7">
        <f t="shared" si="26"/>
        <v>0</v>
      </c>
      <c r="G52" s="2"/>
      <c r="H52" s="6">
        <v>95881.82</v>
      </c>
      <c r="I52" s="2"/>
      <c r="J52" s="7">
        <f t="shared" si="27"/>
        <v>0.11147568284593644</v>
      </c>
      <c r="K52" s="2"/>
      <c r="L52" s="6">
        <f t="shared" si="28"/>
        <v>-95881.82</v>
      </c>
      <c r="M52" s="2"/>
      <c r="N52" s="7">
        <f t="shared" si="29"/>
        <v>-1</v>
      </c>
      <c r="O52" s="11"/>
      <c r="P52" s="6">
        <v>69.709999999999994</v>
      </c>
      <c r="Q52" s="2"/>
      <c r="R52" s="7">
        <f t="shared" si="30"/>
        <v>5.5933356901675545E-4</v>
      </c>
      <c r="S52" s="2"/>
      <c r="T52" s="6">
        <v>485001.50000000006</v>
      </c>
      <c r="U52" s="2"/>
      <c r="V52" s="7">
        <f t="shared" si="31"/>
        <v>0.11860561681596876</v>
      </c>
      <c r="W52" s="2"/>
      <c r="X52" s="6">
        <f t="shared" si="32"/>
        <v>-484931.79000000004</v>
      </c>
      <c r="Y52" s="2"/>
      <c r="Z52" s="7">
        <f t="shared" si="33"/>
        <v>-0.99985626848576747</v>
      </c>
    </row>
    <row r="53" spans="1:26" s="24" customFormat="1" hidden="1" outlineLevel="2" x14ac:dyDescent="0.25">
      <c r="A53" s="25"/>
      <c r="B53" s="11" t="str">
        <f>CONCATENATE("          ", "6008", " - ", "STUDENT HOURLY-FICA EXEMPT")</f>
        <v xml:space="preserve">          6008 - STUDENT HOURLY-FICA EXEMPT</v>
      </c>
      <c r="C53" s="11"/>
      <c r="D53" s="6"/>
      <c r="E53" s="2"/>
      <c r="F53" s="7">
        <f t="shared" si="26"/>
        <v>0</v>
      </c>
      <c r="G53" s="2"/>
      <c r="H53" s="6">
        <v>4680.29</v>
      </c>
      <c r="I53" s="2"/>
      <c r="J53" s="7">
        <f t="shared" si="27"/>
        <v>5.4414749706149486E-3</v>
      </c>
      <c r="K53" s="2"/>
      <c r="L53" s="6">
        <f t="shared" si="28"/>
        <v>-4680.29</v>
      </c>
      <c r="M53" s="2"/>
      <c r="N53" s="7">
        <f t="shared" si="29"/>
        <v>-1</v>
      </c>
      <c r="O53" s="11"/>
      <c r="P53" s="6"/>
      <c r="Q53" s="2"/>
      <c r="R53" s="7">
        <f t="shared" si="30"/>
        <v>0</v>
      </c>
      <c r="S53" s="2"/>
      <c r="T53" s="6">
        <v>25875.05</v>
      </c>
      <c r="U53" s="2"/>
      <c r="V53" s="7">
        <f t="shared" si="31"/>
        <v>6.3276634513378454E-3</v>
      </c>
      <c r="W53" s="2"/>
      <c r="X53" s="6">
        <f t="shared" si="32"/>
        <v>-25875.05</v>
      </c>
      <c r="Y53" s="2"/>
      <c r="Z53" s="7">
        <f t="shared" si="33"/>
        <v>-1</v>
      </c>
    </row>
    <row r="54" spans="1:26" s="26" customFormat="1" outlineLevel="1" collapsed="1" x14ac:dyDescent="0.25">
      <c r="A54" s="27"/>
      <c r="B54" s="13" t="str">
        <f>CONCATENATE("     ","Advertising/Promo                                 ")</f>
        <v xml:space="preserve">     Advertising/Promo                                 </v>
      </c>
      <c r="C54" s="13"/>
      <c r="D54" s="1">
        <f>SUM(OSRRefD22_2x_0)</f>
        <v>15.9</v>
      </c>
      <c r="E54" s="1"/>
      <c r="F54" s="5">
        <f t="shared" ref="F54:F63" si="34">IF(D$12=0,0,D54/D$12)</f>
        <v>2.4785044298979966E-4</v>
      </c>
      <c r="G54" s="1"/>
      <c r="H54" s="1">
        <f>SUM(OSRRefH22_2x_0)</f>
        <v>5029.05</v>
      </c>
      <c r="I54" s="1"/>
      <c r="J54" s="5">
        <f t="shared" ref="J54:J63" si="35">IF(H$12=0,0,H54/H$12)</f>
        <v>5.846956000797196E-3</v>
      </c>
      <c r="K54" s="1"/>
      <c r="L54" s="1">
        <f t="shared" ref="L54:L63" si="36">+D54-H54</f>
        <v>-5013.1500000000005</v>
      </c>
      <c r="M54" s="1"/>
      <c r="N54" s="5">
        <f t="shared" ref="N54:N63" si="37">IF(H54=0,0,L54/H54)</f>
        <v>-0.99683836907567047</v>
      </c>
      <c r="O54" s="13"/>
      <c r="P54" s="1">
        <f>SUM(OSRRefP22_2x_0)</f>
        <v>126.53</v>
      </c>
      <c r="Q54" s="1"/>
      <c r="R54" s="5">
        <f t="shared" ref="R54:R63" si="38">IF(P$12=0,0,P54/P$12)</f>
        <v>1.015241378391767E-3</v>
      </c>
      <c r="S54" s="1"/>
      <c r="T54" s="1">
        <f>SUM(OSRRefT22_2x_0)</f>
        <v>18751.099999999999</v>
      </c>
      <c r="U54" s="1"/>
      <c r="V54" s="5">
        <f t="shared" ref="V54:V63" si="39">IF(T$12=0,0,T54/T$12)</f>
        <v>4.5855235117374096E-3</v>
      </c>
      <c r="W54" s="1"/>
      <c r="X54" s="1">
        <f t="shared" ref="X54:X63" si="40">+P54-T54</f>
        <v>-18624.57</v>
      </c>
      <c r="Y54" s="1"/>
      <c r="Z54" s="5">
        <f t="shared" ref="Z54:Z63" si="41">IF(T54=0,0,X54/T54)</f>
        <v>-0.99325212920841988</v>
      </c>
    </row>
    <row r="55" spans="1:26" s="24" customFormat="1" hidden="1" outlineLevel="2" x14ac:dyDescent="0.25">
      <c r="A55" s="25"/>
      <c r="B55" s="11" t="str">
        <f>CONCATENATE("          ", "6362", " - ", "ADVERTISING EXPENSE")</f>
        <v xml:space="preserve">          6362 - ADVERTISING EXPENSE</v>
      </c>
      <c r="C55" s="11"/>
      <c r="D55" s="6">
        <v>15.9</v>
      </c>
      <c r="E55" s="2"/>
      <c r="F55" s="7">
        <f t="shared" si="34"/>
        <v>2.4785044298979966E-4</v>
      </c>
      <c r="G55" s="2"/>
      <c r="H55" s="6">
        <v>5029.05</v>
      </c>
      <c r="I55" s="2"/>
      <c r="J55" s="7">
        <f t="shared" si="35"/>
        <v>5.846956000797196E-3</v>
      </c>
      <c r="K55" s="2"/>
      <c r="L55" s="6">
        <f t="shared" si="36"/>
        <v>-5013.1500000000005</v>
      </c>
      <c r="M55" s="2"/>
      <c r="N55" s="7">
        <f t="shared" si="37"/>
        <v>-0.99683836907567047</v>
      </c>
      <c r="O55" s="11"/>
      <c r="P55" s="6">
        <v>126.53</v>
      </c>
      <c r="Q55" s="2"/>
      <c r="R55" s="7">
        <f t="shared" si="38"/>
        <v>1.015241378391767E-3</v>
      </c>
      <c r="S55" s="2"/>
      <c r="T55" s="6">
        <v>18751.099999999999</v>
      </c>
      <c r="U55" s="2"/>
      <c r="V55" s="7">
        <f t="shared" si="39"/>
        <v>4.5855235117374096E-3</v>
      </c>
      <c r="W55" s="2"/>
      <c r="X55" s="6">
        <f t="shared" si="40"/>
        <v>-18624.57</v>
      </c>
      <c r="Y55" s="2"/>
      <c r="Z55" s="7">
        <f t="shared" si="41"/>
        <v>-0.99325212920841988</v>
      </c>
    </row>
    <row r="56" spans="1:26" s="26" customFormat="1" outlineLevel="1" collapsed="1" x14ac:dyDescent="0.25">
      <c r="A56" s="27"/>
      <c r="B56" s="13" t="str">
        <f>CONCATENATE("     ","Bad Debts/Over/Short                              ")</f>
        <v xml:space="preserve">     Bad Debts/Over/Short                              </v>
      </c>
      <c r="C56" s="13"/>
      <c r="D56" s="1">
        <f>SUM(OSRRefD22_3x_0)</f>
        <v>-1331.23</v>
      </c>
      <c r="E56" s="1"/>
      <c r="F56" s="5">
        <f t="shared" si="34"/>
        <v>-2.0751317309516414E-2</v>
      </c>
      <c r="G56" s="1"/>
      <c r="H56" s="1">
        <f>SUM(OSRRefH22_3x_0)</f>
        <v>-55.42</v>
      </c>
      <c r="I56" s="1"/>
      <c r="J56" s="5">
        <f t="shared" si="35"/>
        <v>-6.4433302823431977E-5</v>
      </c>
      <c r="K56" s="1"/>
      <c r="L56" s="1">
        <f t="shared" si="36"/>
        <v>-1275.81</v>
      </c>
      <c r="M56" s="1"/>
      <c r="N56" s="5">
        <f t="shared" si="37"/>
        <v>23.02075063154096</v>
      </c>
      <c r="O56" s="13"/>
      <c r="P56" s="1">
        <f>SUM(OSRRefP22_3x_0)</f>
        <v>10.36</v>
      </c>
      <c r="Q56" s="1"/>
      <c r="R56" s="5">
        <f t="shared" si="38"/>
        <v>8.3125746306320279E-5</v>
      </c>
      <c r="S56" s="1"/>
      <c r="T56" s="1">
        <f>SUM(OSRRefT22_3x_0)</f>
        <v>-276.32</v>
      </c>
      <c r="U56" s="1"/>
      <c r="V56" s="5">
        <f t="shared" si="39"/>
        <v>-6.7573201399559558E-5</v>
      </c>
      <c r="W56" s="1"/>
      <c r="X56" s="1">
        <f t="shared" si="40"/>
        <v>286.68</v>
      </c>
      <c r="Y56" s="1"/>
      <c r="Z56" s="5">
        <f t="shared" si="41"/>
        <v>-1.0374927620150551</v>
      </c>
    </row>
    <row r="57" spans="1:26" s="24" customFormat="1" hidden="1" outlineLevel="2" x14ac:dyDescent="0.25">
      <c r="A57" s="25"/>
      <c r="B57" s="11" t="str">
        <f>CONCATENATE("          ", "6272", " - ", "CASH (OVER/SHORT)")</f>
        <v xml:space="preserve">          6272 - CASH (OVER/SHORT)</v>
      </c>
      <c r="C57" s="11"/>
      <c r="D57" s="6">
        <v>-1331.23</v>
      </c>
      <c r="E57" s="2"/>
      <c r="F57" s="7">
        <f t="shared" si="34"/>
        <v>-2.0751317309516414E-2</v>
      </c>
      <c r="G57" s="2"/>
      <c r="H57" s="6">
        <v>-55.42</v>
      </c>
      <c r="I57" s="2"/>
      <c r="J57" s="7">
        <f t="shared" si="35"/>
        <v>-6.4433302823431977E-5</v>
      </c>
      <c r="K57" s="2"/>
      <c r="L57" s="6">
        <f t="shared" si="36"/>
        <v>-1275.81</v>
      </c>
      <c r="M57" s="2"/>
      <c r="N57" s="7">
        <f t="shared" si="37"/>
        <v>23.02075063154096</v>
      </c>
      <c r="O57" s="11"/>
      <c r="P57" s="6">
        <v>10.36</v>
      </c>
      <c r="Q57" s="2"/>
      <c r="R57" s="7">
        <f t="shared" si="38"/>
        <v>8.3125746306320279E-5</v>
      </c>
      <c r="S57" s="2"/>
      <c r="T57" s="6">
        <v>-276.32</v>
      </c>
      <c r="U57" s="2"/>
      <c r="V57" s="7">
        <f t="shared" si="39"/>
        <v>-6.7573201399559558E-5</v>
      </c>
      <c r="W57" s="2"/>
      <c r="X57" s="6">
        <f t="shared" si="40"/>
        <v>286.68</v>
      </c>
      <c r="Y57" s="2"/>
      <c r="Z57" s="7">
        <f t="shared" si="41"/>
        <v>-1.0374927620150551</v>
      </c>
    </row>
    <row r="58" spans="1:26" s="26" customFormat="1" outlineLevel="1" collapsed="1" x14ac:dyDescent="0.25">
      <c r="A58" s="27"/>
      <c r="B58" s="13" t="str">
        <f>CONCATENATE("     ","Bank/card Fees                                    ")</f>
        <v xml:space="preserve">     Bank/card Fees                                    </v>
      </c>
      <c r="C58" s="13"/>
      <c r="D58" s="1">
        <f>SUM(OSRRefD22_4x_0)</f>
        <v>952.48</v>
      </c>
      <c r="E58" s="1"/>
      <c r="F58" s="5">
        <f t="shared" si="34"/>
        <v>1.484733270056128E-2</v>
      </c>
      <c r="G58" s="1"/>
      <c r="H58" s="1">
        <f>SUM(OSRRefH22_4x_0)</f>
        <v>27354.48</v>
      </c>
      <c r="I58" s="1"/>
      <c r="J58" s="5">
        <f t="shared" si="35"/>
        <v>3.1803310960258277E-2</v>
      </c>
      <c r="K58" s="1"/>
      <c r="L58" s="1">
        <f t="shared" si="36"/>
        <v>-26402</v>
      </c>
      <c r="M58" s="1"/>
      <c r="N58" s="5">
        <f t="shared" si="37"/>
        <v>-0.96518010943728416</v>
      </c>
      <c r="O58" s="13"/>
      <c r="P58" s="1">
        <f>SUM(OSRRefP22_4x_0)</f>
        <v>3254.53</v>
      </c>
      <c r="Q58" s="1"/>
      <c r="R58" s="5">
        <f t="shared" si="38"/>
        <v>2.6113439684006621E-2</v>
      </c>
      <c r="S58" s="1"/>
      <c r="T58" s="1">
        <f>SUM(OSRRefT22_4x_0)</f>
        <v>128020.3</v>
      </c>
      <c r="U58" s="1"/>
      <c r="V58" s="5">
        <f t="shared" si="39"/>
        <v>3.130696842476851E-2</v>
      </c>
      <c r="W58" s="1"/>
      <c r="X58" s="1">
        <f t="shared" si="40"/>
        <v>-124765.77</v>
      </c>
      <c r="Y58" s="1"/>
      <c r="Z58" s="5">
        <f t="shared" si="41"/>
        <v>-0.97457801614275241</v>
      </c>
    </row>
    <row r="59" spans="1:26" s="24" customFormat="1" hidden="1" outlineLevel="2" x14ac:dyDescent="0.25">
      <c r="A59" s="25"/>
      <c r="B59" s="11" t="str">
        <f>CONCATENATE("          ", "6381", " - ", "BANK/CREDIT CARD FEES")</f>
        <v xml:space="preserve">          6381 - BANK/CREDIT CARD FEES</v>
      </c>
      <c r="C59" s="11"/>
      <c r="D59" s="6">
        <v>952.48</v>
      </c>
      <c r="E59" s="2"/>
      <c r="F59" s="7">
        <f t="shared" si="34"/>
        <v>1.484733270056128E-2</v>
      </c>
      <c r="G59" s="2"/>
      <c r="H59" s="6">
        <v>27354.48</v>
      </c>
      <c r="I59" s="2"/>
      <c r="J59" s="7">
        <f t="shared" si="35"/>
        <v>3.1803310960258277E-2</v>
      </c>
      <c r="K59" s="2"/>
      <c r="L59" s="6">
        <f t="shared" si="36"/>
        <v>-26402</v>
      </c>
      <c r="M59" s="2"/>
      <c r="N59" s="7">
        <f t="shared" si="37"/>
        <v>-0.96518010943728416</v>
      </c>
      <c r="O59" s="11"/>
      <c r="P59" s="6">
        <v>3254.53</v>
      </c>
      <c r="Q59" s="2"/>
      <c r="R59" s="7">
        <f t="shared" si="38"/>
        <v>2.6113439684006621E-2</v>
      </c>
      <c r="S59" s="2"/>
      <c r="T59" s="6">
        <v>128020.3</v>
      </c>
      <c r="U59" s="2"/>
      <c r="V59" s="7">
        <f t="shared" si="39"/>
        <v>3.130696842476851E-2</v>
      </c>
      <c r="W59" s="2"/>
      <c r="X59" s="6">
        <f t="shared" si="40"/>
        <v>-124765.77</v>
      </c>
      <c r="Y59" s="2"/>
      <c r="Z59" s="7">
        <f t="shared" si="41"/>
        <v>-0.97457801614275241</v>
      </c>
    </row>
    <row r="60" spans="1:26" s="26" customFormat="1" outlineLevel="1" collapsed="1" x14ac:dyDescent="0.25">
      <c r="A60" s="27"/>
      <c r="B60" s="13" t="str">
        <f>CONCATENATE("     ","Depreciation                                      ")</f>
        <v xml:space="preserve">     Depreciation                                      </v>
      </c>
      <c r="C60" s="13"/>
      <c r="D60" s="1">
        <f>SUM(OSRRefD22_5x_0)</f>
        <v>45872.85</v>
      </c>
      <c r="E60" s="1"/>
      <c r="F60" s="5">
        <f t="shared" si="34"/>
        <v>0.71506957193110887</v>
      </c>
      <c r="G60" s="1"/>
      <c r="H60" s="1">
        <f>SUM(OSRRefH22_5x_0)</f>
        <v>47974.53</v>
      </c>
      <c r="I60" s="1"/>
      <c r="J60" s="5">
        <f t="shared" si="35"/>
        <v>5.5776929254814547E-2</v>
      </c>
      <c r="K60" s="1"/>
      <c r="L60" s="1">
        <f t="shared" si="36"/>
        <v>-2101.6800000000003</v>
      </c>
      <c r="M60" s="1"/>
      <c r="N60" s="5">
        <f t="shared" si="37"/>
        <v>-4.3808245750401313E-2</v>
      </c>
      <c r="O60" s="13"/>
      <c r="P60" s="1">
        <f>SUM(OSRRefP22_5x_0)</f>
        <v>232369.05</v>
      </c>
      <c r="Q60" s="1"/>
      <c r="R60" s="5">
        <f t="shared" si="38"/>
        <v>1.8644643532568197</v>
      </c>
      <c r="S60" s="1"/>
      <c r="T60" s="1">
        <f>SUM(OSRRefT22_5x_0)</f>
        <v>239872.65000000002</v>
      </c>
      <c r="U60" s="1"/>
      <c r="V60" s="5">
        <f t="shared" si="39"/>
        <v>5.8660114681152509E-2</v>
      </c>
      <c r="W60" s="1"/>
      <c r="X60" s="1">
        <f t="shared" si="40"/>
        <v>-7503.6000000000349</v>
      </c>
      <c r="Y60" s="1"/>
      <c r="Z60" s="5">
        <f t="shared" si="41"/>
        <v>-3.1281598798362523E-2</v>
      </c>
    </row>
    <row r="61" spans="1:26" s="24" customFormat="1" hidden="1" outlineLevel="2" x14ac:dyDescent="0.25">
      <c r="A61" s="25"/>
      <c r="B61" s="11" t="str">
        <f>CONCATENATE("          ", "6321", " - ", "BUILDING DEPRECIATION")</f>
        <v xml:space="preserve">          6321 - BUILDING DEPRECIATION</v>
      </c>
      <c r="C61" s="11"/>
      <c r="D61" s="6">
        <v>28664</v>
      </c>
      <c r="E61" s="2"/>
      <c r="F61" s="7">
        <f t="shared" si="34"/>
        <v>0.44681667282135956</v>
      </c>
      <c r="G61" s="2"/>
      <c r="H61" s="6">
        <v>29123.47</v>
      </c>
      <c r="I61" s="2"/>
      <c r="J61" s="7">
        <f t="shared" si="35"/>
        <v>3.3860002919147175E-2</v>
      </c>
      <c r="K61" s="2"/>
      <c r="L61" s="6">
        <f t="shared" si="36"/>
        <v>-459.47000000000116</v>
      </c>
      <c r="M61" s="2"/>
      <c r="N61" s="7">
        <f t="shared" si="37"/>
        <v>-1.5776622771943079E-2</v>
      </c>
      <c r="O61" s="11"/>
      <c r="P61" s="6">
        <v>144104.19</v>
      </c>
      <c r="Q61" s="2"/>
      <c r="R61" s="7">
        <f t="shared" si="38"/>
        <v>1.1562517702333761</v>
      </c>
      <c r="S61" s="2"/>
      <c r="T61" s="6">
        <v>145617.35</v>
      </c>
      <c r="U61" s="2"/>
      <c r="V61" s="7">
        <f t="shared" si="39"/>
        <v>3.5610272578243174E-2</v>
      </c>
      <c r="W61" s="2"/>
      <c r="X61" s="6">
        <f t="shared" si="40"/>
        <v>-1513.1600000000035</v>
      </c>
      <c r="Y61" s="2"/>
      <c r="Z61" s="7">
        <f t="shared" si="41"/>
        <v>-1.0391344163315728E-2</v>
      </c>
    </row>
    <row r="62" spans="1:26" s="24" customFormat="1" hidden="1" outlineLevel="2" x14ac:dyDescent="0.25">
      <c r="A62" s="25"/>
      <c r="B62" s="11" t="str">
        <f>CONCATENATE("          ", "6322", " - ", "EQUIPMENT DEPRECIATION EXPENSE")</f>
        <v xml:space="preserve">          6322 - EQUIPMENT DEPRECIATION EXPENSE</v>
      </c>
      <c r="C62" s="11"/>
      <c r="D62" s="6">
        <v>17208.849999999999</v>
      </c>
      <c r="E62" s="2"/>
      <c r="F62" s="7">
        <f t="shared" si="34"/>
        <v>0.26825289910974925</v>
      </c>
      <c r="G62" s="2"/>
      <c r="H62" s="6">
        <v>18426.809999999998</v>
      </c>
      <c r="I62" s="2"/>
      <c r="J62" s="7">
        <f t="shared" si="35"/>
        <v>2.1423677892454789E-2</v>
      </c>
      <c r="K62" s="2"/>
      <c r="L62" s="6">
        <f t="shared" si="36"/>
        <v>-1217.9599999999991</v>
      </c>
      <c r="M62" s="2"/>
      <c r="N62" s="7">
        <f t="shared" si="37"/>
        <v>-6.6097170372951111E-2</v>
      </c>
      <c r="O62" s="11"/>
      <c r="P62" s="6">
        <v>88264.86</v>
      </c>
      <c r="Q62" s="2"/>
      <c r="R62" s="7">
        <f t="shared" si="38"/>
        <v>0.7082125830234437</v>
      </c>
      <c r="S62" s="2"/>
      <c r="T62" s="6">
        <v>92134.05</v>
      </c>
      <c r="U62" s="2"/>
      <c r="V62" s="7">
        <f t="shared" si="39"/>
        <v>2.2531096975995549E-2</v>
      </c>
      <c r="W62" s="2"/>
      <c r="X62" s="6">
        <f t="shared" si="40"/>
        <v>-3869.1900000000023</v>
      </c>
      <c r="Y62" s="2"/>
      <c r="Z62" s="7">
        <f t="shared" si="41"/>
        <v>-4.1995223264363196E-2</v>
      </c>
    </row>
    <row r="63" spans="1:26" s="24" customFormat="1" hidden="1" outlineLevel="2" x14ac:dyDescent="0.25">
      <c r="A63" s="25"/>
      <c r="B63" s="11" t="str">
        <f>CONCATENATE("          ", "6326", " - ", "VEHICLES DEPRECIATION EXPENSE")</f>
        <v xml:space="preserve">          6326 - VEHICLES DEPRECIATION EXPENSE</v>
      </c>
      <c r="C63" s="11"/>
      <c r="D63" s="6"/>
      <c r="E63" s="2"/>
      <c r="F63" s="7">
        <f t="shared" si="34"/>
        <v>0</v>
      </c>
      <c r="G63" s="2"/>
      <c r="H63" s="6">
        <v>424.25</v>
      </c>
      <c r="I63" s="2"/>
      <c r="J63" s="7">
        <f t="shared" si="35"/>
        <v>4.9324844321257694E-4</v>
      </c>
      <c r="K63" s="2"/>
      <c r="L63" s="6">
        <f t="shared" si="36"/>
        <v>-424.25</v>
      </c>
      <c r="M63" s="2"/>
      <c r="N63" s="7">
        <f t="shared" si="37"/>
        <v>-1</v>
      </c>
      <c r="O63" s="11"/>
      <c r="P63" s="6"/>
      <c r="Q63" s="2"/>
      <c r="R63" s="7">
        <f t="shared" si="38"/>
        <v>0</v>
      </c>
      <c r="S63" s="2"/>
      <c r="T63" s="6">
        <v>2121.25</v>
      </c>
      <c r="U63" s="2"/>
      <c r="V63" s="7">
        <f t="shared" si="39"/>
        <v>5.1874512691378008E-4</v>
      </c>
      <c r="W63" s="2"/>
      <c r="X63" s="6">
        <f t="shared" si="40"/>
        <v>-2121.25</v>
      </c>
      <c r="Y63" s="2"/>
      <c r="Z63" s="7">
        <f t="shared" si="41"/>
        <v>-1</v>
      </c>
    </row>
    <row r="64" spans="1:26" s="26" customFormat="1" outlineLevel="1" collapsed="1" x14ac:dyDescent="0.25">
      <c r="A64" s="27"/>
      <c r="B64" s="13" t="str">
        <f>CONCATENATE("     ","Discounts and Markdowns                           ")</f>
        <v xml:space="preserve">     Discounts and Markdowns                           </v>
      </c>
      <c r="C64" s="13"/>
      <c r="D64" s="1">
        <f>SUM(OSRRefD22_6x_0)</f>
        <v>0</v>
      </c>
      <c r="E64" s="1"/>
      <c r="F64" s="5">
        <f t="shared" ref="F64:F74" si="42">IF(D$12=0,0,D64/D$12)</f>
        <v>0</v>
      </c>
      <c r="G64" s="1"/>
      <c r="H64" s="1">
        <f>SUM(OSRRefH22_6x_0)</f>
        <v>10.59</v>
      </c>
      <c r="I64" s="1"/>
      <c r="J64" s="5">
        <f t="shared" ref="J64:J74" si="43">IF(H$12=0,0,H64/H$12)</f>
        <v>1.2312318240709936E-5</v>
      </c>
      <c r="K64" s="1"/>
      <c r="L64" s="1">
        <f t="shared" ref="L64:L74" si="44">+D64-H64</f>
        <v>-10.59</v>
      </c>
      <c r="M64" s="1"/>
      <c r="N64" s="5">
        <f t="shared" ref="N64:N74" si="45">IF(H64=0,0,L64/H64)</f>
        <v>-1</v>
      </c>
      <c r="O64" s="13"/>
      <c r="P64" s="1">
        <f>SUM(OSRRefP22_6x_0)</f>
        <v>0</v>
      </c>
      <c r="Q64" s="1"/>
      <c r="R64" s="5">
        <f t="shared" ref="R64:R74" si="46">IF(P$12=0,0,P64/P$12)</f>
        <v>0</v>
      </c>
      <c r="S64" s="1"/>
      <c r="T64" s="1">
        <f>SUM(OSRRefT22_6x_0)</f>
        <v>59.75</v>
      </c>
      <c r="U64" s="1"/>
      <c r="V64" s="5">
        <f t="shared" ref="V64:V74" si="47">IF(T$12=0,0,T64/T$12)</f>
        <v>1.4611677705644483E-5</v>
      </c>
      <c r="W64" s="1"/>
      <c r="X64" s="1">
        <f t="shared" ref="X64:X74" si="48">+P64-T64</f>
        <v>-59.75</v>
      </c>
      <c r="Y64" s="1"/>
      <c r="Z64" s="5">
        <f t="shared" ref="Z64:Z74" si="49">IF(T64=0,0,X64/T64)</f>
        <v>-1</v>
      </c>
    </row>
    <row r="65" spans="1:26" s="24" customFormat="1" hidden="1" outlineLevel="2" x14ac:dyDescent="0.25">
      <c r="A65" s="25"/>
      <c r="B65" s="11" t="str">
        <f>CONCATENATE("          ", "6382", " - ", "DISCOUNTS/MARK DOWNS")</f>
        <v xml:space="preserve">          6382 - DISCOUNTS/MARK DOWNS</v>
      </c>
      <c r="C65" s="11"/>
      <c r="D65" s="6"/>
      <c r="E65" s="2"/>
      <c r="F65" s="7">
        <f t="shared" si="42"/>
        <v>0</v>
      </c>
      <c r="G65" s="2"/>
      <c r="H65" s="6">
        <v>10.59</v>
      </c>
      <c r="I65" s="2"/>
      <c r="J65" s="7">
        <f t="shared" si="43"/>
        <v>1.2312318240709936E-5</v>
      </c>
      <c r="K65" s="2"/>
      <c r="L65" s="6">
        <f t="shared" si="44"/>
        <v>-10.59</v>
      </c>
      <c r="M65" s="2"/>
      <c r="N65" s="7">
        <f t="shared" si="45"/>
        <v>-1</v>
      </c>
      <c r="O65" s="11"/>
      <c r="P65" s="6"/>
      <c r="Q65" s="2"/>
      <c r="R65" s="7">
        <f t="shared" si="46"/>
        <v>0</v>
      </c>
      <c r="S65" s="2"/>
      <c r="T65" s="6">
        <v>59.75</v>
      </c>
      <c r="U65" s="2"/>
      <c r="V65" s="7">
        <f t="shared" si="47"/>
        <v>1.4611677705644483E-5</v>
      </c>
      <c r="W65" s="2"/>
      <c r="X65" s="6">
        <f t="shared" si="48"/>
        <v>-59.75</v>
      </c>
      <c r="Y65" s="2"/>
      <c r="Z65" s="7">
        <f t="shared" si="49"/>
        <v>-1</v>
      </c>
    </row>
    <row r="66" spans="1:26" s="26" customFormat="1" outlineLevel="1" collapsed="1" x14ac:dyDescent="0.25">
      <c r="A66" s="27"/>
      <c r="B66" s="13" t="str">
        <f>CONCATENATE("     ","Donations                                         ")</f>
        <v xml:space="preserve">     Donations                                         </v>
      </c>
      <c r="C66" s="13"/>
      <c r="D66" s="1">
        <f>SUM(OSRRefD22_7x_0)</f>
        <v>0</v>
      </c>
      <c r="E66" s="1"/>
      <c r="F66" s="5">
        <f t="shared" si="42"/>
        <v>0</v>
      </c>
      <c r="G66" s="1"/>
      <c r="H66" s="1">
        <f>SUM(OSRRefH22_7x_0)</f>
        <v>0</v>
      </c>
      <c r="I66" s="1"/>
      <c r="J66" s="5">
        <f t="shared" si="43"/>
        <v>0</v>
      </c>
      <c r="K66" s="1"/>
      <c r="L66" s="1">
        <f t="shared" si="44"/>
        <v>0</v>
      </c>
      <c r="M66" s="1"/>
      <c r="N66" s="5">
        <f t="shared" si="45"/>
        <v>0</v>
      </c>
      <c r="O66" s="13"/>
      <c r="P66" s="1">
        <f>SUM(OSRRefP22_7x_0)</f>
        <v>0</v>
      </c>
      <c r="Q66" s="1"/>
      <c r="R66" s="5">
        <f t="shared" si="46"/>
        <v>0</v>
      </c>
      <c r="S66" s="1"/>
      <c r="T66" s="1">
        <f>SUM(OSRRefT22_7x_0)</f>
        <v>163.68</v>
      </c>
      <c r="U66" s="1"/>
      <c r="V66" s="5">
        <f t="shared" si="47"/>
        <v>4.0027437771713622E-5</v>
      </c>
      <c r="W66" s="1"/>
      <c r="X66" s="1">
        <f t="shared" si="48"/>
        <v>-163.68</v>
      </c>
      <c r="Y66" s="1"/>
      <c r="Z66" s="5">
        <f t="shared" si="49"/>
        <v>-1</v>
      </c>
    </row>
    <row r="67" spans="1:26" s="24" customFormat="1" hidden="1" outlineLevel="2" x14ac:dyDescent="0.25">
      <c r="A67" s="25"/>
      <c r="B67" s="11" t="str">
        <f>CONCATENATE("          ", "6399", " - ", "DONATION-ON CAMPUS")</f>
        <v xml:space="preserve">          6399 - DONATION-ON CAMPUS</v>
      </c>
      <c r="C67" s="11"/>
      <c r="D67" s="6"/>
      <c r="E67" s="2"/>
      <c r="F67" s="7">
        <f t="shared" si="42"/>
        <v>0</v>
      </c>
      <c r="G67" s="2"/>
      <c r="H67" s="6"/>
      <c r="I67" s="2"/>
      <c r="J67" s="7">
        <f t="shared" si="43"/>
        <v>0</v>
      </c>
      <c r="K67" s="2"/>
      <c r="L67" s="6">
        <f t="shared" si="44"/>
        <v>0</v>
      </c>
      <c r="M67" s="2"/>
      <c r="N67" s="7">
        <f t="shared" si="45"/>
        <v>0</v>
      </c>
      <c r="O67" s="11"/>
      <c r="P67" s="6"/>
      <c r="Q67" s="2"/>
      <c r="R67" s="7">
        <f t="shared" si="46"/>
        <v>0</v>
      </c>
      <c r="S67" s="2"/>
      <c r="T67" s="6">
        <v>163.68</v>
      </c>
      <c r="U67" s="2"/>
      <c r="V67" s="7">
        <f t="shared" si="47"/>
        <v>4.0027437771713622E-5</v>
      </c>
      <c r="W67" s="2"/>
      <c r="X67" s="6">
        <f t="shared" si="48"/>
        <v>-163.68</v>
      </c>
      <c r="Y67" s="2"/>
      <c r="Z67" s="7">
        <f t="shared" si="49"/>
        <v>-1</v>
      </c>
    </row>
    <row r="68" spans="1:26" s="26" customFormat="1" outlineLevel="1" collapsed="1" x14ac:dyDescent="0.25">
      <c r="A68" s="27"/>
      <c r="B68" s="13" t="str">
        <f>CONCATENATE("     ","Employees' Appreciation                           ")</f>
        <v xml:space="preserve">     Employees' Appreciation                           </v>
      </c>
      <c r="C68" s="13"/>
      <c r="D68" s="1">
        <f>SUM(OSRRefD22_8x_0)</f>
        <v>0</v>
      </c>
      <c r="E68" s="1"/>
      <c r="F68" s="5">
        <f t="shared" si="42"/>
        <v>0</v>
      </c>
      <c r="G68" s="1"/>
      <c r="H68" s="1">
        <f>SUM(OSRRefH22_8x_0)</f>
        <v>528.53</v>
      </c>
      <c r="I68" s="1"/>
      <c r="J68" s="5">
        <f t="shared" si="43"/>
        <v>6.1448815484064416E-4</v>
      </c>
      <c r="K68" s="1"/>
      <c r="L68" s="1">
        <f t="shared" si="44"/>
        <v>-528.53</v>
      </c>
      <c r="M68" s="1"/>
      <c r="N68" s="5">
        <f t="shared" si="45"/>
        <v>-1</v>
      </c>
      <c r="O68" s="13"/>
      <c r="P68" s="1">
        <f>SUM(OSRRefP22_8x_0)</f>
        <v>0</v>
      </c>
      <c r="Q68" s="1"/>
      <c r="R68" s="5">
        <f t="shared" si="46"/>
        <v>0</v>
      </c>
      <c r="S68" s="1"/>
      <c r="T68" s="1">
        <f>SUM(OSRRefT22_8x_0)</f>
        <v>1014.65</v>
      </c>
      <c r="U68" s="1"/>
      <c r="V68" s="5">
        <f t="shared" si="47"/>
        <v>2.4812951939802804E-4</v>
      </c>
      <c r="W68" s="1"/>
      <c r="X68" s="1">
        <f t="shared" si="48"/>
        <v>-1014.65</v>
      </c>
      <c r="Y68" s="1"/>
      <c r="Z68" s="5">
        <f t="shared" si="49"/>
        <v>-1</v>
      </c>
    </row>
    <row r="69" spans="1:26" s="24" customFormat="1" hidden="1" outlineLevel="2" x14ac:dyDescent="0.25">
      <c r="A69" s="25"/>
      <c r="B69" s="11" t="str">
        <f>CONCATENATE("          ", "6277", " - ", "EMPLOYEE APPRECIATION")</f>
        <v xml:space="preserve">          6277 - EMPLOYEE APPRECIATION</v>
      </c>
      <c r="C69" s="11"/>
      <c r="D69" s="6"/>
      <c r="E69" s="2"/>
      <c r="F69" s="7">
        <f t="shared" si="42"/>
        <v>0</v>
      </c>
      <c r="G69" s="2"/>
      <c r="H69" s="6">
        <v>528.53</v>
      </c>
      <c r="I69" s="2"/>
      <c r="J69" s="7">
        <f t="shared" si="43"/>
        <v>6.1448815484064416E-4</v>
      </c>
      <c r="K69" s="2"/>
      <c r="L69" s="6">
        <f t="shared" si="44"/>
        <v>-528.53</v>
      </c>
      <c r="M69" s="2"/>
      <c r="N69" s="7">
        <f t="shared" si="45"/>
        <v>-1</v>
      </c>
      <c r="O69" s="11"/>
      <c r="P69" s="6"/>
      <c r="Q69" s="2"/>
      <c r="R69" s="7">
        <f t="shared" si="46"/>
        <v>0</v>
      </c>
      <c r="S69" s="2"/>
      <c r="T69" s="6">
        <v>1014.65</v>
      </c>
      <c r="U69" s="2"/>
      <c r="V69" s="7">
        <f t="shared" si="47"/>
        <v>2.4812951939802804E-4</v>
      </c>
      <c r="W69" s="2"/>
      <c r="X69" s="6">
        <f t="shared" si="48"/>
        <v>-1014.65</v>
      </c>
      <c r="Y69" s="2"/>
      <c r="Z69" s="7">
        <f t="shared" si="49"/>
        <v>-1</v>
      </c>
    </row>
    <row r="70" spans="1:26" s="26" customFormat="1" outlineLevel="1" collapsed="1" x14ac:dyDescent="0.25">
      <c r="A70" s="27"/>
      <c r="B70" s="13" t="str">
        <f>CONCATENATE("     ","Equipment Rental                                  ")</f>
        <v xml:space="preserve">     Equipment Rental                                  </v>
      </c>
      <c r="C70" s="13"/>
      <c r="D70" s="1">
        <f>SUM(OSRRefD22_9x_0)</f>
        <v>775.02</v>
      </c>
      <c r="E70" s="1"/>
      <c r="F70" s="5">
        <f t="shared" si="42"/>
        <v>1.2081072347544309E-2</v>
      </c>
      <c r="G70" s="1"/>
      <c r="H70" s="1">
        <f>SUM(OSRRefH22_9x_0)</f>
        <v>2060.33</v>
      </c>
      <c r="I70" s="1"/>
      <c r="J70" s="5">
        <f t="shared" si="43"/>
        <v>2.3954144136810107E-3</v>
      </c>
      <c r="K70" s="1"/>
      <c r="L70" s="1">
        <f t="shared" si="44"/>
        <v>-1285.31</v>
      </c>
      <c r="M70" s="1"/>
      <c r="N70" s="5">
        <f t="shared" si="45"/>
        <v>-0.62383695815718843</v>
      </c>
      <c r="O70" s="13"/>
      <c r="P70" s="1">
        <f>SUM(OSRRefP22_9x_0)</f>
        <v>4075.69</v>
      </c>
      <c r="Q70" s="1"/>
      <c r="R70" s="5">
        <f t="shared" si="46"/>
        <v>3.270219816247167E-2</v>
      </c>
      <c r="S70" s="1"/>
      <c r="T70" s="1">
        <f>SUM(OSRRefT22_9x_0)</f>
        <v>12747.43</v>
      </c>
      <c r="U70" s="1"/>
      <c r="V70" s="5">
        <f t="shared" si="47"/>
        <v>3.1173445813433248E-3</v>
      </c>
      <c r="W70" s="1"/>
      <c r="X70" s="1">
        <f t="shared" si="48"/>
        <v>-8671.74</v>
      </c>
      <c r="Y70" s="1"/>
      <c r="Z70" s="5">
        <f t="shared" si="49"/>
        <v>-0.68027359240254703</v>
      </c>
    </row>
    <row r="71" spans="1:26" s="24" customFormat="1" hidden="1" outlineLevel="2" x14ac:dyDescent="0.25">
      <c r="A71" s="25"/>
      <c r="B71" s="11" t="str">
        <f>CONCATENATE("          ", "6351", " - ", "EQUIPMENT RENTAL")</f>
        <v xml:space="preserve">          6351 - EQUIPMENT RENTAL</v>
      </c>
      <c r="C71" s="11"/>
      <c r="D71" s="6">
        <v>775.02</v>
      </c>
      <c r="E71" s="2"/>
      <c r="F71" s="7">
        <f t="shared" si="42"/>
        <v>1.2081072347544309E-2</v>
      </c>
      <c r="G71" s="2"/>
      <c r="H71" s="6">
        <v>2060.33</v>
      </c>
      <c r="I71" s="2"/>
      <c r="J71" s="7">
        <f t="shared" si="43"/>
        <v>2.3954144136810107E-3</v>
      </c>
      <c r="K71" s="2"/>
      <c r="L71" s="6">
        <f t="shared" si="44"/>
        <v>-1285.31</v>
      </c>
      <c r="M71" s="2"/>
      <c r="N71" s="7">
        <f t="shared" si="45"/>
        <v>-0.62383695815718843</v>
      </c>
      <c r="O71" s="11"/>
      <c r="P71" s="6">
        <v>4075.69</v>
      </c>
      <c r="Q71" s="2"/>
      <c r="R71" s="7">
        <f t="shared" si="46"/>
        <v>3.270219816247167E-2</v>
      </c>
      <c r="S71" s="2"/>
      <c r="T71" s="6">
        <v>12747.43</v>
      </c>
      <c r="U71" s="2"/>
      <c r="V71" s="7">
        <f t="shared" si="47"/>
        <v>3.1173445813433248E-3</v>
      </c>
      <c r="W71" s="2"/>
      <c r="X71" s="6">
        <f t="shared" si="48"/>
        <v>-8671.74</v>
      </c>
      <c r="Y71" s="2"/>
      <c r="Z71" s="7">
        <f t="shared" si="49"/>
        <v>-0.68027359240254703</v>
      </c>
    </row>
    <row r="72" spans="1:26" s="26" customFormat="1" outlineLevel="1" collapsed="1" x14ac:dyDescent="0.25">
      <c r="A72" s="27"/>
      <c r="B72" s="13" t="str">
        <f>CONCATENATE("     ","Freight out/Postage                               ")</f>
        <v xml:space="preserve">     Freight out/Postage                               </v>
      </c>
      <c r="C72" s="13"/>
      <c r="D72" s="1">
        <f>SUM(OSRRefD22_10x_0)</f>
        <v>9.9</v>
      </c>
      <c r="E72" s="1"/>
      <c r="F72" s="5">
        <f t="shared" si="42"/>
        <v>1.5432197393704507E-4</v>
      </c>
      <c r="G72" s="1"/>
      <c r="H72" s="1">
        <f>SUM(OSRRefH22_10x_0)</f>
        <v>17.329999999999998</v>
      </c>
      <c r="I72" s="1"/>
      <c r="J72" s="5">
        <f t="shared" si="43"/>
        <v>2.0148486790510215E-5</v>
      </c>
      <c r="K72" s="1"/>
      <c r="L72" s="1">
        <f t="shared" si="44"/>
        <v>-7.4299999999999979</v>
      </c>
      <c r="M72" s="1"/>
      <c r="N72" s="5">
        <f t="shared" si="45"/>
        <v>-0.42873629544143099</v>
      </c>
      <c r="O72" s="13"/>
      <c r="P72" s="1">
        <f>SUM(OSRRefP22_10x_0)</f>
        <v>99.92</v>
      </c>
      <c r="Q72" s="1"/>
      <c r="R72" s="5">
        <f t="shared" si="46"/>
        <v>8.0173017093895012E-4</v>
      </c>
      <c r="S72" s="1"/>
      <c r="T72" s="1">
        <f>SUM(OSRRefT22_10x_0)</f>
        <v>188.61</v>
      </c>
      <c r="U72" s="1"/>
      <c r="V72" s="5">
        <f t="shared" si="47"/>
        <v>4.6123992168395082E-5</v>
      </c>
      <c r="W72" s="1"/>
      <c r="X72" s="1">
        <f t="shared" si="48"/>
        <v>-88.690000000000012</v>
      </c>
      <c r="Y72" s="1"/>
      <c r="Z72" s="5">
        <f t="shared" si="49"/>
        <v>-0.47022957425375117</v>
      </c>
    </row>
    <row r="73" spans="1:26" s="24" customFormat="1" hidden="1" outlineLevel="2" x14ac:dyDescent="0.25">
      <c r="A73" s="25"/>
      <c r="B73" s="11" t="str">
        <f>CONCATENATE("          ", "6305", " - ", "FREIGHT OUT")</f>
        <v xml:space="preserve">          6305 - FREIGHT OUT</v>
      </c>
      <c r="C73" s="11"/>
      <c r="D73" s="6">
        <v>9.9</v>
      </c>
      <c r="E73" s="2"/>
      <c r="F73" s="7">
        <f t="shared" si="42"/>
        <v>1.5432197393704507E-4</v>
      </c>
      <c r="G73" s="2"/>
      <c r="H73" s="6">
        <v>17.329999999999998</v>
      </c>
      <c r="I73" s="2"/>
      <c r="J73" s="7">
        <f t="shared" si="43"/>
        <v>2.0148486790510215E-5</v>
      </c>
      <c r="K73" s="2"/>
      <c r="L73" s="6">
        <f t="shared" si="44"/>
        <v>-7.4299999999999979</v>
      </c>
      <c r="M73" s="2"/>
      <c r="N73" s="7">
        <f t="shared" si="45"/>
        <v>-0.42873629544143099</v>
      </c>
      <c r="O73" s="11"/>
      <c r="P73" s="6">
        <v>105.33</v>
      </c>
      <c r="Q73" s="2"/>
      <c r="R73" s="7">
        <f t="shared" si="46"/>
        <v>8.4513849984987606E-4</v>
      </c>
      <c r="S73" s="2"/>
      <c r="T73" s="6">
        <v>188.61</v>
      </c>
      <c r="U73" s="2"/>
      <c r="V73" s="7">
        <f t="shared" si="47"/>
        <v>4.6123992168395082E-5</v>
      </c>
      <c r="W73" s="2"/>
      <c r="X73" s="6">
        <f t="shared" si="48"/>
        <v>-83.280000000000015</v>
      </c>
      <c r="Y73" s="2"/>
      <c r="Z73" s="7">
        <f t="shared" si="49"/>
        <v>-0.44154604739939562</v>
      </c>
    </row>
    <row r="74" spans="1:26" s="24" customFormat="1" hidden="1" outlineLevel="2" x14ac:dyDescent="0.25">
      <c r="A74" s="25"/>
      <c r="B74" s="11" t="str">
        <f>CONCATENATE("          ", "6307", " - ", "POSTAGE")</f>
        <v xml:space="preserve">          6307 - POSTAGE</v>
      </c>
      <c r="C74" s="11"/>
      <c r="D74" s="6"/>
      <c r="E74" s="2"/>
      <c r="F74" s="7">
        <f t="shared" si="42"/>
        <v>0</v>
      </c>
      <c r="G74" s="2"/>
      <c r="H74" s="6"/>
      <c r="I74" s="2"/>
      <c r="J74" s="7">
        <f t="shared" si="43"/>
        <v>0</v>
      </c>
      <c r="K74" s="2"/>
      <c r="L74" s="6">
        <f t="shared" si="44"/>
        <v>0</v>
      </c>
      <c r="M74" s="2"/>
      <c r="N74" s="7">
        <f t="shared" si="45"/>
        <v>0</v>
      </c>
      <c r="O74" s="11"/>
      <c r="P74" s="6">
        <v>-5.41</v>
      </c>
      <c r="Q74" s="2"/>
      <c r="R74" s="7">
        <f t="shared" si="46"/>
        <v>-4.3408328910925943E-5</v>
      </c>
      <c r="S74" s="2"/>
      <c r="T74" s="6"/>
      <c r="U74" s="2"/>
      <c r="V74" s="7">
        <f t="shared" si="47"/>
        <v>0</v>
      </c>
      <c r="W74" s="2"/>
      <c r="X74" s="6">
        <f t="shared" si="48"/>
        <v>-5.41</v>
      </c>
      <c r="Y74" s="2"/>
      <c r="Z74" s="7">
        <f t="shared" si="49"/>
        <v>0</v>
      </c>
    </row>
    <row r="75" spans="1:26" s="26" customFormat="1" outlineLevel="1" collapsed="1" x14ac:dyDescent="0.25">
      <c r="A75" s="27"/>
      <c r="B75" s="13" t="str">
        <f>CONCATENATE("     ","General                                           ")</f>
        <v xml:space="preserve">     General                                           </v>
      </c>
      <c r="C75" s="13"/>
      <c r="D75" s="1">
        <f>SUM(OSRRefD22_11x_0)</f>
        <v>870</v>
      </c>
      <c r="E75" s="1"/>
      <c r="F75" s="5">
        <f t="shared" ref="F75:F77" si="50">IF(D$12=0,0,D75/D$12)</f>
        <v>1.3561628012649414E-2</v>
      </c>
      <c r="G75" s="1"/>
      <c r="H75" s="1">
        <f>SUM(OSRRefH22_11x_0)</f>
        <v>22508.030000000002</v>
      </c>
      <c r="I75" s="1"/>
      <c r="J75" s="5">
        <f t="shared" ref="J75:J77" si="51">IF(H$12=0,0,H75/H$12)</f>
        <v>2.6168652344801369E-2</v>
      </c>
      <c r="K75" s="1"/>
      <c r="L75" s="1">
        <f t="shared" ref="L75:L77" si="52">+D75-H75</f>
        <v>-21638.030000000002</v>
      </c>
      <c r="M75" s="1"/>
      <c r="N75" s="5">
        <f t="shared" ref="N75:N77" si="53">IF(H75=0,0,L75/H75)</f>
        <v>-0.96134712811383316</v>
      </c>
      <c r="O75" s="13"/>
      <c r="P75" s="1">
        <f>SUM(OSRRefP22_11x_0)</f>
        <v>6145.55</v>
      </c>
      <c r="Q75" s="1"/>
      <c r="R75" s="5">
        <f t="shared" ref="R75:R77" si="54">IF(P$12=0,0,P75/P$12)</f>
        <v>4.9310176661467822E-2</v>
      </c>
      <c r="S75" s="1"/>
      <c r="T75" s="1">
        <f>SUM(OSRRefT22_11x_0)</f>
        <v>67040.38</v>
      </c>
      <c r="U75" s="1"/>
      <c r="V75" s="5">
        <f t="shared" ref="V75:V77" si="55">IF(T$12=0,0,T75/T$12)</f>
        <v>1.6394517587011454E-2</v>
      </c>
      <c r="W75" s="1"/>
      <c r="X75" s="1">
        <f t="shared" ref="X75:X77" si="56">+P75-T75</f>
        <v>-60894.83</v>
      </c>
      <c r="Y75" s="1"/>
      <c r="Z75" s="5">
        <f t="shared" ref="Z75:Z77" si="57">IF(T75=0,0,X75/T75)</f>
        <v>-0.90833062103764917</v>
      </c>
    </row>
    <row r="76" spans="1:26" s="24" customFormat="1" hidden="1" outlineLevel="2" x14ac:dyDescent="0.25">
      <c r="A76" s="25"/>
      <c r="B76" s="11" t="str">
        <f>CONCATENATE("          ", "6269", " - ", "ENTERTAINMENT")</f>
        <v xml:space="preserve">          6269 - ENTERTAINMENT</v>
      </c>
      <c r="C76" s="11"/>
      <c r="D76" s="6"/>
      <c r="E76" s="2"/>
      <c r="F76" s="7">
        <f t="shared" si="50"/>
        <v>0</v>
      </c>
      <c r="G76" s="2"/>
      <c r="H76" s="6">
        <v>600</v>
      </c>
      <c r="I76" s="2"/>
      <c r="J76" s="7">
        <f t="shared" si="51"/>
        <v>6.9758177001189438E-4</v>
      </c>
      <c r="K76" s="2"/>
      <c r="L76" s="6">
        <f t="shared" si="52"/>
        <v>-600</v>
      </c>
      <c r="M76" s="2"/>
      <c r="N76" s="7">
        <f t="shared" si="53"/>
        <v>-1</v>
      </c>
      <c r="O76" s="11"/>
      <c r="P76" s="6"/>
      <c r="Q76" s="2"/>
      <c r="R76" s="7">
        <f t="shared" si="54"/>
        <v>0</v>
      </c>
      <c r="S76" s="2"/>
      <c r="T76" s="6">
        <v>6100</v>
      </c>
      <c r="U76" s="2"/>
      <c r="V76" s="7">
        <f t="shared" si="55"/>
        <v>1.4917361339653781E-3</v>
      </c>
      <c r="W76" s="2"/>
      <c r="X76" s="6">
        <f t="shared" si="56"/>
        <v>-6100</v>
      </c>
      <c r="Y76" s="2"/>
      <c r="Z76" s="7">
        <f t="shared" si="57"/>
        <v>-1</v>
      </c>
    </row>
    <row r="77" spans="1:26" s="24" customFormat="1" hidden="1" outlineLevel="2" x14ac:dyDescent="0.25">
      <c r="A77" s="25"/>
      <c r="B77" s="11" t="str">
        <f>CONCATENATE("          ", "6279", " - ", "GENERAL EXPENSE")</f>
        <v xml:space="preserve">          6279 - GENERAL EXPENSE</v>
      </c>
      <c r="C77" s="11"/>
      <c r="D77" s="6">
        <v>870</v>
      </c>
      <c r="E77" s="2"/>
      <c r="F77" s="7">
        <f t="shared" si="50"/>
        <v>1.3561628012649414E-2</v>
      </c>
      <c r="G77" s="2"/>
      <c r="H77" s="6">
        <v>21908.030000000002</v>
      </c>
      <c r="I77" s="2"/>
      <c r="J77" s="7">
        <f t="shared" si="51"/>
        <v>2.5471070574789475E-2</v>
      </c>
      <c r="K77" s="2"/>
      <c r="L77" s="6">
        <f t="shared" si="52"/>
        <v>-21038.030000000002</v>
      </c>
      <c r="M77" s="2"/>
      <c r="N77" s="7">
        <f t="shared" si="53"/>
        <v>-0.96028853347379939</v>
      </c>
      <c r="O77" s="11"/>
      <c r="P77" s="6">
        <v>6145.55</v>
      </c>
      <c r="Q77" s="2"/>
      <c r="R77" s="7">
        <f t="shared" si="54"/>
        <v>4.9310176661467822E-2</v>
      </c>
      <c r="S77" s="2"/>
      <c r="T77" s="6">
        <v>60940.380000000005</v>
      </c>
      <c r="U77" s="2"/>
      <c r="V77" s="7">
        <f t="shared" si="55"/>
        <v>1.4902781453046075E-2</v>
      </c>
      <c r="W77" s="2"/>
      <c r="X77" s="6">
        <f t="shared" si="56"/>
        <v>-54794.83</v>
      </c>
      <c r="Y77" s="2"/>
      <c r="Z77" s="7">
        <f t="shared" si="57"/>
        <v>-0.89915471482127285</v>
      </c>
    </row>
    <row r="78" spans="1:26" s="26" customFormat="1" outlineLevel="1" collapsed="1" x14ac:dyDescent="0.25">
      <c r="A78" s="27"/>
      <c r="B78" s="13" t="str">
        <f>CONCATENATE("     ","Insurance                                         ")</f>
        <v xml:space="preserve">     Insurance                                         </v>
      </c>
      <c r="C78" s="13"/>
      <c r="D78" s="1">
        <f>SUM(OSRRefD22_12x_0)</f>
        <v>4483.67</v>
      </c>
      <c r="E78" s="1"/>
      <c r="F78" s="5">
        <f t="shared" ref="F78:F89" si="58">IF(D$12=0,0,D78/D$12)</f>
        <v>6.9891798472960689E-2</v>
      </c>
      <c r="G78" s="1"/>
      <c r="H78" s="1">
        <f>SUM(OSRRefH22_12x_0)</f>
        <v>4483.67</v>
      </c>
      <c r="I78" s="1"/>
      <c r="J78" s="5">
        <f t="shared" ref="J78:J89" si="59">IF(H$12=0,0,H78/H$12)</f>
        <v>5.2128774245820513E-3</v>
      </c>
      <c r="K78" s="1"/>
      <c r="L78" s="1">
        <f t="shared" ref="L78:L89" si="60">+D78-H78</f>
        <v>0</v>
      </c>
      <c r="M78" s="1"/>
      <c r="N78" s="5">
        <f t="shared" ref="N78:N89" si="61">IF(H78=0,0,L78/H78)</f>
        <v>0</v>
      </c>
      <c r="O78" s="13"/>
      <c r="P78" s="1">
        <f>SUM(OSRRefP22_12x_0)</f>
        <v>28530.350000000002</v>
      </c>
      <c r="Q78" s="1"/>
      <c r="R78" s="5">
        <f t="shared" ref="R78:R89" si="62">IF(P$12=0,0,P78/P$12)</f>
        <v>0.22891955947205841</v>
      </c>
      <c r="S78" s="1"/>
      <c r="T78" s="1">
        <f>SUM(OSRRefT22_12x_0)</f>
        <v>22418.350000000002</v>
      </c>
      <c r="U78" s="1"/>
      <c r="V78" s="5">
        <f t="shared" ref="V78:V89" si="63">IF(T$12=0,0,T78/T$12)</f>
        <v>5.4823381571938914E-3</v>
      </c>
      <c r="W78" s="1"/>
      <c r="X78" s="1">
        <f t="shared" ref="X78:X89" si="64">+P78-T78</f>
        <v>6112</v>
      </c>
      <c r="Y78" s="1"/>
      <c r="Z78" s="5">
        <f t="shared" ref="Z78:Z89" si="65">IF(T78=0,0,X78/T78)</f>
        <v>0.27263380222005629</v>
      </c>
    </row>
    <row r="79" spans="1:26" s="24" customFormat="1" hidden="1" outlineLevel="2" x14ac:dyDescent="0.25">
      <c r="A79" s="25"/>
      <c r="B79" s="11" t="str">
        <f>CONCATENATE("          ", "6314", " - ", "LIABILITY INSURANCE")</f>
        <v xml:space="preserve">          6314 - LIABILITY INSURANCE</v>
      </c>
      <c r="C79" s="11"/>
      <c r="D79" s="6">
        <v>4483.67</v>
      </c>
      <c r="E79" s="2"/>
      <c r="F79" s="7">
        <f t="shared" si="58"/>
        <v>6.9891798472960689E-2</v>
      </c>
      <c r="G79" s="2"/>
      <c r="H79" s="6">
        <v>4483.67</v>
      </c>
      <c r="I79" s="2"/>
      <c r="J79" s="7">
        <f t="shared" si="59"/>
        <v>5.2128774245820513E-3</v>
      </c>
      <c r="K79" s="2"/>
      <c r="L79" s="6">
        <f t="shared" si="60"/>
        <v>0</v>
      </c>
      <c r="M79" s="2"/>
      <c r="N79" s="7">
        <f t="shared" si="61"/>
        <v>0</v>
      </c>
      <c r="O79" s="11"/>
      <c r="P79" s="6">
        <v>28530.350000000002</v>
      </c>
      <c r="Q79" s="2"/>
      <c r="R79" s="7">
        <f t="shared" si="62"/>
        <v>0.22891955947205841</v>
      </c>
      <c r="S79" s="2"/>
      <c r="T79" s="6">
        <v>22418.350000000002</v>
      </c>
      <c r="U79" s="2"/>
      <c r="V79" s="7">
        <f t="shared" si="63"/>
        <v>5.4823381571938914E-3</v>
      </c>
      <c r="W79" s="2"/>
      <c r="X79" s="6">
        <f t="shared" si="64"/>
        <v>6112</v>
      </c>
      <c r="Y79" s="2"/>
      <c r="Z79" s="7">
        <f t="shared" si="65"/>
        <v>0.27263380222005629</v>
      </c>
    </row>
    <row r="80" spans="1:26" s="26" customFormat="1" outlineLevel="1" collapsed="1" x14ac:dyDescent="0.25">
      <c r="A80" s="27"/>
      <c r="B80" s="13" t="str">
        <f>CONCATENATE("     ","Interest                                          ")</f>
        <v xml:space="preserve">     Interest                                          </v>
      </c>
      <c r="C80" s="13"/>
      <c r="D80" s="1">
        <f>SUM(OSRRefD22_13x_0)</f>
        <v>11554</v>
      </c>
      <c r="E80" s="1"/>
      <c r="F80" s="5">
        <f t="shared" si="58"/>
        <v>0.1801046552392544</v>
      </c>
      <c r="G80" s="1"/>
      <c r="H80" s="1">
        <f>SUM(OSRRefH22_13x_0)</f>
        <v>11929</v>
      </c>
      <c r="I80" s="1"/>
      <c r="J80" s="5">
        <f t="shared" si="59"/>
        <v>1.3869088224119813E-2</v>
      </c>
      <c r="K80" s="1"/>
      <c r="L80" s="1">
        <f t="shared" si="60"/>
        <v>-375</v>
      </c>
      <c r="M80" s="1"/>
      <c r="N80" s="5">
        <f t="shared" si="61"/>
        <v>-3.1435996311509763E-2</v>
      </c>
      <c r="O80" s="13"/>
      <c r="P80" s="1">
        <f>SUM(OSRRefP22_13x_0)</f>
        <v>57021</v>
      </c>
      <c r="Q80" s="1"/>
      <c r="R80" s="5">
        <f t="shared" si="62"/>
        <v>0.45752057723288503</v>
      </c>
      <c r="S80" s="1"/>
      <c r="T80" s="1">
        <f>SUM(OSRRefT22_13x_0)</f>
        <v>59046</v>
      </c>
      <c r="U80" s="1"/>
      <c r="V80" s="5">
        <f t="shared" si="63"/>
        <v>1.4439516682970445E-2</v>
      </c>
      <c r="W80" s="1"/>
      <c r="X80" s="1">
        <f t="shared" si="64"/>
        <v>-2025</v>
      </c>
      <c r="Y80" s="1"/>
      <c r="Z80" s="5">
        <f t="shared" si="65"/>
        <v>-3.4295295193577886E-2</v>
      </c>
    </row>
    <row r="81" spans="1:26" s="24" customFormat="1" hidden="1" outlineLevel="2" x14ac:dyDescent="0.25">
      <c r="A81" s="25"/>
      <c r="B81" s="11" t="str">
        <f>CONCATENATE("          ", "6401", " - ", "INTEREST EXPENSE")</f>
        <v xml:space="preserve">          6401 - INTEREST EXPENSE</v>
      </c>
      <c r="C81" s="11"/>
      <c r="D81" s="6">
        <v>11554</v>
      </c>
      <c r="E81" s="2"/>
      <c r="F81" s="7">
        <f t="shared" si="58"/>
        <v>0.1801046552392544</v>
      </c>
      <c r="G81" s="2"/>
      <c r="H81" s="6">
        <v>11929</v>
      </c>
      <c r="I81" s="2"/>
      <c r="J81" s="7">
        <f t="shared" si="59"/>
        <v>1.3869088224119813E-2</v>
      </c>
      <c r="K81" s="2"/>
      <c r="L81" s="6">
        <f t="shared" si="60"/>
        <v>-375</v>
      </c>
      <c r="M81" s="2"/>
      <c r="N81" s="7">
        <f t="shared" si="61"/>
        <v>-3.1435996311509763E-2</v>
      </c>
      <c r="O81" s="11"/>
      <c r="P81" s="6">
        <v>57021</v>
      </c>
      <c r="Q81" s="2"/>
      <c r="R81" s="7">
        <f t="shared" si="62"/>
        <v>0.45752057723288503</v>
      </c>
      <c r="S81" s="2"/>
      <c r="T81" s="6">
        <v>59046</v>
      </c>
      <c r="U81" s="2"/>
      <c r="V81" s="7">
        <f t="shared" si="63"/>
        <v>1.4439516682970445E-2</v>
      </c>
      <c r="W81" s="2"/>
      <c r="X81" s="6">
        <f t="shared" si="64"/>
        <v>-2025</v>
      </c>
      <c r="Y81" s="2"/>
      <c r="Z81" s="7">
        <f t="shared" si="65"/>
        <v>-3.4295295193577886E-2</v>
      </c>
    </row>
    <row r="82" spans="1:26" s="26" customFormat="1" outlineLevel="1" collapsed="1" x14ac:dyDescent="0.25">
      <c r="A82" s="27"/>
      <c r="B82" s="13" t="str">
        <f>CONCATENATE("     ","Professional Services                             ")</f>
        <v xml:space="preserve">     Professional Services                             </v>
      </c>
      <c r="C82" s="13"/>
      <c r="D82" s="1">
        <f>SUM(OSRRefD22_14x_0)</f>
        <v>0</v>
      </c>
      <c r="E82" s="1"/>
      <c r="F82" s="5">
        <f t="shared" si="58"/>
        <v>0</v>
      </c>
      <c r="G82" s="1"/>
      <c r="H82" s="1">
        <f>SUM(OSRRefH22_14x_0)</f>
        <v>0</v>
      </c>
      <c r="I82" s="1"/>
      <c r="J82" s="5">
        <f t="shared" si="59"/>
        <v>0</v>
      </c>
      <c r="K82" s="1"/>
      <c r="L82" s="1">
        <f t="shared" si="60"/>
        <v>0</v>
      </c>
      <c r="M82" s="1"/>
      <c r="N82" s="5">
        <f t="shared" si="61"/>
        <v>0</v>
      </c>
      <c r="O82" s="13"/>
      <c r="P82" s="1">
        <f>SUM(OSRRefP22_14x_0)</f>
        <v>0</v>
      </c>
      <c r="Q82" s="1"/>
      <c r="R82" s="5">
        <f t="shared" si="62"/>
        <v>0</v>
      </c>
      <c r="S82" s="1"/>
      <c r="T82" s="1">
        <f>SUM(OSRRefT22_14x_0)</f>
        <v>125</v>
      </c>
      <c r="U82" s="1"/>
      <c r="V82" s="5">
        <f t="shared" si="63"/>
        <v>3.0568363400929882E-5</v>
      </c>
      <c r="W82" s="1"/>
      <c r="X82" s="1">
        <f t="shared" si="64"/>
        <v>-125</v>
      </c>
      <c r="Y82" s="1"/>
      <c r="Z82" s="5">
        <f t="shared" si="65"/>
        <v>-1</v>
      </c>
    </row>
    <row r="83" spans="1:26" s="24" customFormat="1" hidden="1" outlineLevel="2" x14ac:dyDescent="0.25">
      <c r="A83" s="25"/>
      <c r="B83" s="11" t="str">
        <f>CONCATENATE("          ", "6336", " - ", "PROFESSIONAL SERVICES")</f>
        <v xml:space="preserve">          6336 - PROFESSIONAL SERVICES</v>
      </c>
      <c r="C83" s="11"/>
      <c r="D83" s="6"/>
      <c r="E83" s="2"/>
      <c r="F83" s="7">
        <f t="shared" si="58"/>
        <v>0</v>
      </c>
      <c r="G83" s="2"/>
      <c r="H83" s="6"/>
      <c r="I83" s="2"/>
      <c r="J83" s="7">
        <f t="shared" si="59"/>
        <v>0</v>
      </c>
      <c r="K83" s="2"/>
      <c r="L83" s="6">
        <f t="shared" si="60"/>
        <v>0</v>
      </c>
      <c r="M83" s="2"/>
      <c r="N83" s="7">
        <f t="shared" si="61"/>
        <v>0</v>
      </c>
      <c r="O83" s="11"/>
      <c r="P83" s="6"/>
      <c r="Q83" s="2"/>
      <c r="R83" s="7">
        <f t="shared" si="62"/>
        <v>0</v>
      </c>
      <c r="S83" s="2"/>
      <c r="T83" s="6">
        <v>125</v>
      </c>
      <c r="U83" s="2"/>
      <c r="V83" s="7">
        <f t="shared" si="63"/>
        <v>3.0568363400929882E-5</v>
      </c>
      <c r="W83" s="2"/>
      <c r="X83" s="6">
        <f t="shared" si="64"/>
        <v>-125</v>
      </c>
      <c r="Y83" s="2"/>
      <c r="Z83" s="7">
        <f t="shared" si="65"/>
        <v>-1</v>
      </c>
    </row>
    <row r="84" spans="1:26" s="26" customFormat="1" outlineLevel="1" collapsed="1" x14ac:dyDescent="0.25">
      <c r="A84" s="27"/>
      <c r="B84" s="13" t="str">
        <f>CONCATENATE("     ","Rent                                              ")</f>
        <v xml:space="preserve">     Rent                                              </v>
      </c>
      <c r="C84" s="13"/>
      <c r="D84" s="1">
        <f>SUM(OSRRefD22_15x_0)</f>
        <v>0</v>
      </c>
      <c r="E84" s="1"/>
      <c r="F84" s="5">
        <f t="shared" si="58"/>
        <v>0</v>
      </c>
      <c r="G84" s="1"/>
      <c r="H84" s="1">
        <f>SUM(OSRRefH22_15x_0)</f>
        <v>3000</v>
      </c>
      <c r="I84" s="1"/>
      <c r="J84" s="5">
        <f t="shared" si="59"/>
        <v>3.4879088500594721E-3</v>
      </c>
      <c r="K84" s="1"/>
      <c r="L84" s="1">
        <f t="shared" si="60"/>
        <v>-3000</v>
      </c>
      <c r="M84" s="1"/>
      <c r="N84" s="5">
        <f t="shared" si="61"/>
        <v>-1</v>
      </c>
      <c r="O84" s="13"/>
      <c r="P84" s="1">
        <f>SUM(OSRRefP22_15x_0)</f>
        <v>5550</v>
      </c>
      <c r="Q84" s="1"/>
      <c r="R84" s="5">
        <f t="shared" si="62"/>
        <v>4.4531649806957299E-2</v>
      </c>
      <c r="S84" s="1"/>
      <c r="T84" s="1">
        <f>SUM(OSRRefT22_15x_0)</f>
        <v>15000</v>
      </c>
      <c r="U84" s="1"/>
      <c r="V84" s="5">
        <f t="shared" si="63"/>
        <v>3.6682036081115855E-3</v>
      </c>
      <c r="W84" s="1"/>
      <c r="X84" s="1">
        <f t="shared" si="64"/>
        <v>-9450</v>
      </c>
      <c r="Y84" s="1"/>
      <c r="Z84" s="5">
        <f t="shared" si="65"/>
        <v>-0.63</v>
      </c>
    </row>
    <row r="85" spans="1:26" s="24" customFormat="1" hidden="1" outlineLevel="2" x14ac:dyDescent="0.25">
      <c r="A85" s="25"/>
      <c r="B85" s="11" t="str">
        <f>CONCATENATE("          ", "6273", " - ", "RENT")</f>
        <v xml:space="preserve">          6273 - RENT</v>
      </c>
      <c r="C85" s="11"/>
      <c r="D85" s="6"/>
      <c r="E85" s="2"/>
      <c r="F85" s="7">
        <f t="shared" si="58"/>
        <v>0</v>
      </c>
      <c r="G85" s="2"/>
      <c r="H85" s="6">
        <v>3000</v>
      </c>
      <c r="I85" s="2"/>
      <c r="J85" s="7">
        <f t="shared" si="59"/>
        <v>3.4879088500594721E-3</v>
      </c>
      <c r="K85" s="2"/>
      <c r="L85" s="6">
        <f t="shared" si="60"/>
        <v>-3000</v>
      </c>
      <c r="M85" s="2"/>
      <c r="N85" s="7">
        <f t="shared" si="61"/>
        <v>-1</v>
      </c>
      <c r="O85" s="11"/>
      <c r="P85" s="6">
        <v>5550</v>
      </c>
      <c r="Q85" s="2"/>
      <c r="R85" s="7">
        <f t="shared" si="62"/>
        <v>4.4531649806957299E-2</v>
      </c>
      <c r="S85" s="2"/>
      <c r="T85" s="6">
        <v>15000</v>
      </c>
      <c r="U85" s="2"/>
      <c r="V85" s="7">
        <f t="shared" si="63"/>
        <v>3.6682036081115855E-3</v>
      </c>
      <c r="W85" s="2"/>
      <c r="X85" s="6">
        <f t="shared" si="64"/>
        <v>-9450</v>
      </c>
      <c r="Y85" s="2"/>
      <c r="Z85" s="7">
        <f t="shared" si="65"/>
        <v>-0.63</v>
      </c>
    </row>
    <row r="86" spans="1:26" s="26" customFormat="1" outlineLevel="1" collapsed="1" x14ac:dyDescent="0.25">
      <c r="A86" s="27"/>
      <c r="B86" s="13" t="str">
        <f>CONCATENATE("     ","Repair and Maintenance                            ")</f>
        <v xml:space="preserve">     Repair and Maintenance                            </v>
      </c>
      <c r="C86" s="13"/>
      <c r="D86" s="1">
        <f>SUM(OSRRefD22_16x_0)</f>
        <v>4046.8</v>
      </c>
      <c r="E86" s="1"/>
      <c r="F86" s="5">
        <f t="shared" si="58"/>
        <v>6.3081834760447875E-2</v>
      </c>
      <c r="G86" s="1"/>
      <c r="H86" s="1">
        <f>SUM(OSRRefH22_16x_0)</f>
        <v>13979.29</v>
      </c>
      <c r="I86" s="1"/>
      <c r="J86" s="5">
        <f t="shared" si="59"/>
        <v>1.6252829769515961E-2</v>
      </c>
      <c r="K86" s="1"/>
      <c r="L86" s="1">
        <f t="shared" si="60"/>
        <v>-9932.4900000000016</v>
      </c>
      <c r="M86" s="1"/>
      <c r="N86" s="5">
        <f t="shared" si="61"/>
        <v>-0.71051462556395928</v>
      </c>
      <c r="O86" s="13"/>
      <c r="P86" s="1">
        <f>SUM(OSRRefP22_16x_0)</f>
        <v>20162.66</v>
      </c>
      <c r="Q86" s="1"/>
      <c r="R86" s="5">
        <f t="shared" si="62"/>
        <v>0.16177955212553974</v>
      </c>
      <c r="S86" s="1"/>
      <c r="T86" s="1">
        <f>SUM(OSRRefT22_16x_0)</f>
        <v>129885.25</v>
      </c>
      <c r="U86" s="1"/>
      <c r="V86" s="5">
        <f t="shared" si="63"/>
        <v>3.1763036179365024E-2</v>
      </c>
      <c r="W86" s="1"/>
      <c r="X86" s="1">
        <f t="shared" si="64"/>
        <v>-109722.59</v>
      </c>
      <c r="Y86" s="1"/>
      <c r="Z86" s="5">
        <f t="shared" si="65"/>
        <v>-0.84476559116604844</v>
      </c>
    </row>
    <row r="87" spans="1:26" s="24" customFormat="1" hidden="1" outlineLevel="2" x14ac:dyDescent="0.25">
      <c r="A87" s="25"/>
      <c r="B87" s="11" t="str">
        <f>CONCATENATE("          ", "6371", " - ", "COMPUTER SOFTWARE MAINTENANCE")</f>
        <v xml:space="preserve">          6371 - COMPUTER SOFTWARE MAINTENANCE</v>
      </c>
      <c r="C87" s="11"/>
      <c r="D87" s="6"/>
      <c r="E87" s="2"/>
      <c r="F87" s="7">
        <f t="shared" si="58"/>
        <v>0</v>
      </c>
      <c r="G87" s="2"/>
      <c r="H87" s="6"/>
      <c r="I87" s="2"/>
      <c r="J87" s="7">
        <f t="shared" si="59"/>
        <v>0</v>
      </c>
      <c r="K87" s="2"/>
      <c r="L87" s="6">
        <f t="shared" si="60"/>
        <v>0</v>
      </c>
      <c r="M87" s="2"/>
      <c r="N87" s="7">
        <f t="shared" si="61"/>
        <v>0</v>
      </c>
      <c r="O87" s="11"/>
      <c r="P87" s="6"/>
      <c r="Q87" s="2"/>
      <c r="R87" s="7">
        <f t="shared" si="62"/>
        <v>0</v>
      </c>
      <c r="S87" s="2"/>
      <c r="T87" s="6">
        <v>12244.62</v>
      </c>
      <c r="U87" s="2"/>
      <c r="V87" s="7">
        <f t="shared" si="63"/>
        <v>2.9943839509303525E-3</v>
      </c>
      <c r="W87" s="2"/>
      <c r="X87" s="6">
        <f t="shared" si="64"/>
        <v>-12244.62</v>
      </c>
      <c r="Y87" s="2"/>
      <c r="Z87" s="7">
        <f t="shared" si="65"/>
        <v>-1</v>
      </c>
    </row>
    <row r="88" spans="1:26" s="24" customFormat="1" hidden="1" outlineLevel="2" x14ac:dyDescent="0.25">
      <c r="A88" s="25"/>
      <c r="B88" s="11" t="str">
        <f>CONCATENATE("          ", "6373", " - ", "MAINTENANCE CONTRACTS")</f>
        <v xml:space="preserve">          6373 - MAINTENANCE CONTRACTS</v>
      </c>
      <c r="C88" s="11"/>
      <c r="D88" s="6">
        <v>900.01</v>
      </c>
      <c r="E88" s="2"/>
      <c r="F88" s="7">
        <f t="shared" si="58"/>
        <v>1.4029426238694942E-2</v>
      </c>
      <c r="G88" s="2"/>
      <c r="H88" s="6">
        <v>8621.15</v>
      </c>
      <c r="I88" s="2"/>
      <c r="J88" s="7">
        <f t="shared" si="59"/>
        <v>1.0023261794230073E-2</v>
      </c>
      <c r="K88" s="2"/>
      <c r="L88" s="6">
        <f t="shared" si="60"/>
        <v>-7721.1399999999994</v>
      </c>
      <c r="M88" s="2"/>
      <c r="N88" s="7">
        <f t="shared" si="61"/>
        <v>-0.89560441472425367</v>
      </c>
      <c r="O88" s="11"/>
      <c r="P88" s="6">
        <v>10432.34</v>
      </c>
      <c r="Q88" s="2"/>
      <c r="R88" s="7">
        <f t="shared" si="62"/>
        <v>8.3706182260741058E-2</v>
      </c>
      <c r="S88" s="2"/>
      <c r="T88" s="6">
        <v>41351.85</v>
      </c>
      <c r="U88" s="2"/>
      <c r="V88" s="7">
        <f t="shared" si="63"/>
        <v>1.0112467024805939E-2</v>
      </c>
      <c r="W88" s="2"/>
      <c r="X88" s="6">
        <f t="shared" si="64"/>
        <v>-30919.51</v>
      </c>
      <c r="Y88" s="2"/>
      <c r="Z88" s="7">
        <f t="shared" si="65"/>
        <v>-0.74771769582255687</v>
      </c>
    </row>
    <row r="89" spans="1:26" s="24" customFormat="1" hidden="1" outlineLevel="2" x14ac:dyDescent="0.25">
      <c r="A89" s="25"/>
      <c r="B89" s="11" t="str">
        <f>CONCATENATE("          ", "6375", " - ", "OUTSIDE REPAIRS &amp; MAINTENANCE")</f>
        <v xml:space="preserve">          6375 - OUTSIDE REPAIRS &amp; MAINTENANCE</v>
      </c>
      <c r="C89" s="11"/>
      <c r="D89" s="6">
        <v>3146.79</v>
      </c>
      <c r="E89" s="2"/>
      <c r="F89" s="7">
        <f t="shared" si="58"/>
        <v>4.9052408521752931E-2</v>
      </c>
      <c r="G89" s="2"/>
      <c r="H89" s="6">
        <v>5358.14</v>
      </c>
      <c r="I89" s="2"/>
      <c r="J89" s="7">
        <f t="shared" si="59"/>
        <v>6.2295679752858869E-3</v>
      </c>
      <c r="K89" s="2"/>
      <c r="L89" s="6">
        <f t="shared" si="60"/>
        <v>-2211.3500000000004</v>
      </c>
      <c r="M89" s="2"/>
      <c r="N89" s="7">
        <f t="shared" si="61"/>
        <v>-0.41270851452183038</v>
      </c>
      <c r="O89" s="11"/>
      <c r="P89" s="6">
        <v>9730.32</v>
      </c>
      <c r="Q89" s="2"/>
      <c r="R89" s="7">
        <f t="shared" si="62"/>
        <v>7.8073369864798681E-2</v>
      </c>
      <c r="S89" s="2"/>
      <c r="T89" s="6">
        <v>76288.78</v>
      </c>
      <c r="U89" s="2"/>
      <c r="V89" s="7">
        <f t="shared" si="63"/>
        <v>1.8656185203628731E-2</v>
      </c>
      <c r="W89" s="2"/>
      <c r="X89" s="6">
        <f t="shared" si="64"/>
        <v>-66558.459999999992</v>
      </c>
      <c r="Y89" s="2"/>
      <c r="Z89" s="7">
        <f t="shared" si="65"/>
        <v>-0.87245411448446275</v>
      </c>
    </row>
    <row r="90" spans="1:26" s="26" customFormat="1" outlineLevel="1" collapsed="1" x14ac:dyDescent="0.25">
      <c r="A90" s="27"/>
      <c r="B90" s="13" t="str">
        <f>CONCATENATE("     ","Royalty &amp; Commissions                             ")</f>
        <v xml:space="preserve">     Royalty &amp; Commissions                             </v>
      </c>
      <c r="C90" s="13"/>
      <c r="D90" s="1">
        <f>SUM(OSRRefD22_17x_0)</f>
        <v>0</v>
      </c>
      <c r="E90" s="1"/>
      <c r="F90" s="5">
        <f t="shared" ref="F90:F92" si="66">IF(D$12=0,0,D90/D$12)</f>
        <v>0</v>
      </c>
      <c r="G90" s="1"/>
      <c r="H90" s="1">
        <f>SUM(OSRRefH22_17x_0)</f>
        <v>22370.73</v>
      </c>
      <c r="I90" s="1"/>
      <c r="J90" s="5">
        <f t="shared" ref="J90:J92" si="67">IF(H$12=0,0,H90/H$12)</f>
        <v>2.6009022383096977E-2</v>
      </c>
      <c r="K90" s="1"/>
      <c r="L90" s="1">
        <f t="shared" ref="L90:L92" si="68">+D90-H90</f>
        <v>-22370.73</v>
      </c>
      <c r="M90" s="1"/>
      <c r="N90" s="5">
        <f t="shared" ref="N90:N92" si="69">IF(H90=0,0,L90/H90)</f>
        <v>-1</v>
      </c>
      <c r="O90" s="13"/>
      <c r="P90" s="1">
        <f>SUM(OSRRefP22_17x_0)</f>
        <v>185.7</v>
      </c>
      <c r="Q90" s="1"/>
      <c r="R90" s="5">
        <f t="shared" ref="R90:R92" si="70">IF(P$12=0,0,P90/P$12)</f>
        <v>1.4900049313787333E-3</v>
      </c>
      <c r="S90" s="1"/>
      <c r="T90" s="1">
        <f>SUM(OSRRefT22_17x_0)</f>
        <v>120393.04999999999</v>
      </c>
      <c r="U90" s="1"/>
      <c r="V90" s="5">
        <f t="shared" ref="V90:V92" si="71">IF(T$12=0,0,T90/T$12)</f>
        <v>2.9441748026770565E-2</v>
      </c>
      <c r="W90" s="1"/>
      <c r="X90" s="1">
        <f t="shared" ref="X90:X92" si="72">+P90-T90</f>
        <v>-120207.34999999999</v>
      </c>
      <c r="Y90" s="1"/>
      <c r="Z90" s="5">
        <f t="shared" ref="Z90:Z92" si="73">IF(T90=0,0,X90/T90)</f>
        <v>-0.99845755215936471</v>
      </c>
    </row>
    <row r="91" spans="1:26" s="24" customFormat="1" hidden="1" outlineLevel="2" x14ac:dyDescent="0.25">
      <c r="A91" s="25"/>
      <c r="B91" s="11" t="str">
        <f>CONCATENATE("          ", "6254", " - ", "ROYALTY &amp; COMMISSIONS")</f>
        <v xml:space="preserve">          6254 - ROYALTY &amp; COMMISSIONS</v>
      </c>
      <c r="C91" s="11"/>
      <c r="D91" s="6"/>
      <c r="E91" s="2"/>
      <c r="F91" s="7">
        <f t="shared" si="66"/>
        <v>0</v>
      </c>
      <c r="G91" s="2"/>
      <c r="H91" s="6">
        <v>8007.21</v>
      </c>
      <c r="I91" s="2"/>
      <c r="J91" s="7">
        <f t="shared" si="67"/>
        <v>9.3094728744282356E-3</v>
      </c>
      <c r="K91" s="2"/>
      <c r="L91" s="6">
        <f t="shared" si="68"/>
        <v>-8007.21</v>
      </c>
      <c r="M91" s="2"/>
      <c r="N91" s="7">
        <f t="shared" si="69"/>
        <v>-1</v>
      </c>
      <c r="O91" s="11"/>
      <c r="P91" s="6">
        <v>185.7</v>
      </c>
      <c r="Q91" s="2"/>
      <c r="R91" s="7">
        <f t="shared" si="70"/>
        <v>1.4900049313787333E-3</v>
      </c>
      <c r="S91" s="2"/>
      <c r="T91" s="6">
        <v>58660.17</v>
      </c>
      <c r="U91" s="2"/>
      <c r="V91" s="7">
        <f t="shared" si="71"/>
        <v>1.4345163149762599E-2</v>
      </c>
      <c r="W91" s="2"/>
      <c r="X91" s="6">
        <f t="shared" si="72"/>
        <v>-58474.47</v>
      </c>
      <c r="Y91" s="2"/>
      <c r="Z91" s="7">
        <f t="shared" si="73"/>
        <v>-0.99683430852655219</v>
      </c>
    </row>
    <row r="92" spans="1:26" s="24" customFormat="1" hidden="1" outlineLevel="2" x14ac:dyDescent="0.25">
      <c r="A92" s="25"/>
      <c r="B92" s="11" t="str">
        <f>CONCATENATE("          ", "6259", " - ", "ROYALTY &amp; COMMISSIONS")</f>
        <v xml:space="preserve">          6259 - ROYALTY &amp; COMMISSIONS</v>
      </c>
      <c r="C92" s="11"/>
      <c r="D92" s="6"/>
      <c r="E92" s="2"/>
      <c r="F92" s="7">
        <f t="shared" si="66"/>
        <v>0</v>
      </c>
      <c r="G92" s="2"/>
      <c r="H92" s="6">
        <v>14363.52</v>
      </c>
      <c r="I92" s="2"/>
      <c r="J92" s="7">
        <f t="shared" si="67"/>
        <v>1.6699549508668744E-2</v>
      </c>
      <c r="K92" s="2"/>
      <c r="L92" s="6">
        <f t="shared" si="68"/>
        <v>-14363.52</v>
      </c>
      <c r="M92" s="2"/>
      <c r="N92" s="7">
        <f t="shared" si="69"/>
        <v>-1</v>
      </c>
      <c r="O92" s="11"/>
      <c r="P92" s="6"/>
      <c r="Q92" s="2"/>
      <c r="R92" s="7">
        <f t="shared" si="70"/>
        <v>0</v>
      </c>
      <c r="S92" s="2"/>
      <c r="T92" s="6">
        <v>61732.88</v>
      </c>
      <c r="U92" s="2"/>
      <c r="V92" s="7">
        <f t="shared" si="71"/>
        <v>1.5096584877007969E-2</v>
      </c>
      <c r="W92" s="2"/>
      <c r="X92" s="6">
        <f t="shared" si="72"/>
        <v>-61732.88</v>
      </c>
      <c r="Y92" s="2"/>
      <c r="Z92" s="7">
        <f t="shared" si="73"/>
        <v>-1</v>
      </c>
    </row>
    <row r="93" spans="1:26" s="26" customFormat="1" outlineLevel="1" collapsed="1" x14ac:dyDescent="0.25">
      <c r="A93" s="27"/>
      <c r="B93" s="13" t="str">
        <f>CONCATENATE("     ","Services                                          ")</f>
        <v xml:space="preserve">     Services                                          </v>
      </c>
      <c r="C93" s="13"/>
      <c r="D93" s="1">
        <f>SUM(OSRRefD22_18x_0)</f>
        <v>8878.44</v>
      </c>
      <c r="E93" s="1"/>
      <c r="F93" s="5">
        <f t="shared" ref="F93:F98" si="74">IF(D$12=0,0,D93/D$12)</f>
        <v>0.13839781679612306</v>
      </c>
      <c r="G93" s="1"/>
      <c r="H93" s="1">
        <f>SUM(OSRRefH22_18x_0)</f>
        <v>22934.629999999997</v>
      </c>
      <c r="I93" s="1"/>
      <c r="J93" s="5">
        <f t="shared" ref="J93:J98" si="75">IF(H$12=0,0,H93/H$12)</f>
        <v>2.6664632983279819E-2</v>
      </c>
      <c r="K93" s="1"/>
      <c r="L93" s="1">
        <f t="shared" ref="L93:L98" si="76">+D93-H93</f>
        <v>-14056.189999999997</v>
      </c>
      <c r="M93" s="1"/>
      <c r="N93" s="5">
        <f t="shared" ref="N93:N98" si="77">IF(H93=0,0,L93/H93)</f>
        <v>-0.61288060893068685</v>
      </c>
      <c r="O93" s="13"/>
      <c r="P93" s="1">
        <f>SUM(OSRRefP22_18x_0)</f>
        <v>24884.47</v>
      </c>
      <c r="Q93" s="1"/>
      <c r="R93" s="5">
        <f t="shared" ref="R93:R98" si="78">IF(P$12=0,0,P93/P$12)</f>
        <v>0.19966603669760985</v>
      </c>
      <c r="S93" s="1"/>
      <c r="T93" s="1">
        <f>SUM(OSRRefT22_18x_0)</f>
        <v>111550.04999999999</v>
      </c>
      <c r="U93" s="1"/>
      <c r="V93" s="5">
        <f t="shared" ref="V93:V98" si="79">IF(T$12=0,0,T93/T$12)</f>
        <v>2.7279219726335183E-2</v>
      </c>
      <c r="W93" s="1"/>
      <c r="X93" s="1">
        <f t="shared" ref="X93:X98" si="80">+P93-T93</f>
        <v>-86665.579999999987</v>
      </c>
      <c r="Y93" s="1"/>
      <c r="Z93" s="5">
        <f t="shared" ref="Z93:Z98" si="81">IF(T93=0,0,X93/T93)</f>
        <v>-0.7769210323079192</v>
      </c>
    </row>
    <row r="94" spans="1:26" s="24" customFormat="1" hidden="1" outlineLevel="2" x14ac:dyDescent="0.25">
      <c r="A94" s="25"/>
      <c r="B94" s="11" t="str">
        <f>CONCATENATE("          ", "6282", " - ", "JANITORIAL/EXTERMINATOR EXPENS")</f>
        <v xml:space="preserve">          6282 - JANITORIAL/EXTERMINATOR EXPENS</v>
      </c>
      <c r="C94" s="11"/>
      <c r="D94" s="6">
        <v>41</v>
      </c>
      <c r="E94" s="2"/>
      <c r="F94" s="7">
        <f t="shared" si="74"/>
        <v>6.3911120519382302E-4</v>
      </c>
      <c r="G94" s="2"/>
      <c r="H94" s="6">
        <v>1577.31</v>
      </c>
      <c r="I94" s="2"/>
      <c r="J94" s="7">
        <f t="shared" si="75"/>
        <v>1.8338378360957684E-3</v>
      </c>
      <c r="K94" s="2"/>
      <c r="L94" s="6">
        <f t="shared" si="76"/>
        <v>-1536.31</v>
      </c>
      <c r="M94" s="2"/>
      <c r="N94" s="7">
        <f t="shared" si="77"/>
        <v>-0.97400637794726463</v>
      </c>
      <c r="O94" s="11"/>
      <c r="P94" s="6">
        <v>1623.49</v>
      </c>
      <c r="Q94" s="2"/>
      <c r="R94" s="7">
        <f t="shared" si="78"/>
        <v>1.3026430296413892E-2</v>
      </c>
      <c r="S94" s="2"/>
      <c r="T94" s="6">
        <v>9266.99</v>
      </c>
      <c r="U94" s="2"/>
      <c r="V94" s="7">
        <f t="shared" si="79"/>
        <v>2.2662137436222653E-3</v>
      </c>
      <c r="W94" s="2"/>
      <c r="X94" s="6">
        <f t="shared" si="80"/>
        <v>-7643.5</v>
      </c>
      <c r="Y94" s="2"/>
      <c r="Z94" s="7">
        <f t="shared" si="81"/>
        <v>-0.82480935017734991</v>
      </c>
    </row>
    <row r="95" spans="1:26" s="24" customFormat="1" hidden="1" outlineLevel="2" x14ac:dyDescent="0.25">
      <c r="A95" s="25"/>
      <c r="B95" s="11" t="str">
        <f>CONCATENATE("          ", "6283", " - ", "PLANT SERVICE")</f>
        <v xml:space="preserve">          6283 - PLANT SERVICE</v>
      </c>
      <c r="C95" s="11"/>
      <c r="D95" s="6"/>
      <c r="E95" s="2"/>
      <c r="F95" s="7">
        <f t="shared" si="74"/>
        <v>0</v>
      </c>
      <c r="G95" s="2"/>
      <c r="H95" s="6">
        <v>199.78</v>
      </c>
      <c r="I95" s="2"/>
      <c r="J95" s="7">
        <f t="shared" si="75"/>
        <v>2.3227147668829378E-4</v>
      </c>
      <c r="K95" s="2"/>
      <c r="L95" s="6">
        <f t="shared" si="76"/>
        <v>-199.78</v>
      </c>
      <c r="M95" s="2"/>
      <c r="N95" s="7">
        <f t="shared" si="77"/>
        <v>-1</v>
      </c>
      <c r="O95" s="11"/>
      <c r="P95" s="6"/>
      <c r="Q95" s="2"/>
      <c r="R95" s="7">
        <f t="shared" si="78"/>
        <v>0</v>
      </c>
      <c r="S95" s="2"/>
      <c r="T95" s="6">
        <v>799.12</v>
      </c>
      <c r="U95" s="2"/>
      <c r="V95" s="7">
        <f t="shared" si="79"/>
        <v>1.9542232448760869E-4</v>
      </c>
      <c r="W95" s="2"/>
      <c r="X95" s="6">
        <f t="shared" si="80"/>
        <v>-799.12</v>
      </c>
      <c r="Y95" s="2"/>
      <c r="Z95" s="7">
        <f t="shared" si="81"/>
        <v>-1</v>
      </c>
    </row>
    <row r="96" spans="1:26" s="24" customFormat="1" hidden="1" outlineLevel="2" x14ac:dyDescent="0.25">
      <c r="A96" s="25"/>
      <c r="B96" s="11" t="str">
        <f>CONCATENATE("          ", "6284", " - ", "TRASH REMOVAL EXPENSE")</f>
        <v xml:space="preserve">          6284 - TRASH REMOVAL EXPENSE</v>
      </c>
      <c r="C96" s="11"/>
      <c r="D96" s="6">
        <v>5658</v>
      </c>
      <c r="E96" s="2"/>
      <c r="F96" s="7">
        <f t="shared" si="74"/>
        <v>8.8197346316747569E-2</v>
      </c>
      <c r="G96" s="2"/>
      <c r="H96" s="6">
        <v>4436</v>
      </c>
      <c r="I96" s="2"/>
      <c r="J96" s="7">
        <f t="shared" si="75"/>
        <v>5.1574545529546063E-3</v>
      </c>
      <c r="K96" s="2"/>
      <c r="L96" s="6">
        <f t="shared" si="76"/>
        <v>1222</v>
      </c>
      <c r="M96" s="2"/>
      <c r="N96" s="7">
        <f t="shared" si="77"/>
        <v>0.27547339945897203</v>
      </c>
      <c r="O96" s="11"/>
      <c r="P96" s="6">
        <v>13788</v>
      </c>
      <c r="Q96" s="2"/>
      <c r="R96" s="7">
        <f t="shared" si="78"/>
        <v>0.11063106081771662</v>
      </c>
      <c r="S96" s="2"/>
      <c r="T96" s="6">
        <v>14168</v>
      </c>
      <c r="U96" s="2"/>
      <c r="V96" s="7">
        <f t="shared" si="79"/>
        <v>3.4647405813149966E-3</v>
      </c>
      <c r="W96" s="2"/>
      <c r="X96" s="6">
        <f t="shared" si="80"/>
        <v>-380</v>
      </c>
      <c r="Y96" s="2"/>
      <c r="Z96" s="7">
        <f t="shared" si="81"/>
        <v>-2.6821005081874648E-2</v>
      </c>
    </row>
    <row r="97" spans="1:26" s="24" customFormat="1" hidden="1" outlineLevel="2" x14ac:dyDescent="0.25">
      <c r="A97" s="25"/>
      <c r="B97" s="11" t="str">
        <f>CONCATENATE("          ", "6285", " - ", "JANITORIAL SERVICES")</f>
        <v xml:space="preserve">          6285 - JANITORIAL SERVICES</v>
      </c>
      <c r="C97" s="11"/>
      <c r="D97" s="6">
        <v>3179.44</v>
      </c>
      <c r="E97" s="2"/>
      <c r="F97" s="7">
        <f t="shared" si="74"/>
        <v>4.956135927418167E-2</v>
      </c>
      <c r="G97" s="2"/>
      <c r="H97" s="6">
        <v>13547.3</v>
      </c>
      <c r="I97" s="2"/>
      <c r="J97" s="7">
        <f t="shared" si="75"/>
        <v>1.5750582521470227E-2</v>
      </c>
      <c r="K97" s="2"/>
      <c r="L97" s="6">
        <f t="shared" si="76"/>
        <v>-10367.859999999999</v>
      </c>
      <c r="M97" s="2"/>
      <c r="N97" s="7">
        <f t="shared" si="77"/>
        <v>-0.76530821639736324</v>
      </c>
      <c r="O97" s="11"/>
      <c r="P97" s="6">
        <v>8786.77</v>
      </c>
      <c r="Q97" s="2"/>
      <c r="R97" s="7">
        <f t="shared" si="78"/>
        <v>7.050258821158166E-2</v>
      </c>
      <c r="S97" s="2"/>
      <c r="T97" s="6">
        <v>66853.45</v>
      </c>
      <c r="U97" s="2"/>
      <c r="V97" s="7">
        <f t="shared" si="79"/>
        <v>1.6348804433647165E-2</v>
      </c>
      <c r="W97" s="2"/>
      <c r="X97" s="6">
        <f t="shared" si="80"/>
        <v>-58066.679999999993</v>
      </c>
      <c r="Y97" s="2"/>
      <c r="Z97" s="7">
        <f t="shared" si="81"/>
        <v>-0.86856669326713876</v>
      </c>
    </row>
    <row r="98" spans="1:26" s="24" customFormat="1" hidden="1" outlineLevel="2" x14ac:dyDescent="0.25">
      <c r="A98" s="25"/>
      <c r="B98" s="11" t="str">
        <f>CONCATENATE("          ", "6286", " - ", "LAUNDRY EXPENSE")</f>
        <v xml:space="preserve">          6286 - LAUNDRY EXPENSE</v>
      </c>
      <c r="C98" s="11"/>
      <c r="D98" s="6"/>
      <c r="E98" s="2"/>
      <c r="F98" s="7">
        <f t="shared" si="74"/>
        <v>0</v>
      </c>
      <c r="G98" s="2"/>
      <c r="H98" s="6">
        <v>3174.24</v>
      </c>
      <c r="I98" s="2"/>
      <c r="J98" s="7">
        <f t="shared" si="75"/>
        <v>3.6904865960709259E-3</v>
      </c>
      <c r="K98" s="2"/>
      <c r="L98" s="6">
        <f t="shared" si="76"/>
        <v>-3174.24</v>
      </c>
      <c r="M98" s="2"/>
      <c r="N98" s="7">
        <f t="shared" si="77"/>
        <v>-1</v>
      </c>
      <c r="O98" s="11"/>
      <c r="P98" s="6">
        <v>686.21</v>
      </c>
      <c r="Q98" s="2"/>
      <c r="R98" s="7">
        <f t="shared" si="78"/>
        <v>5.5059573718976877E-3</v>
      </c>
      <c r="S98" s="2"/>
      <c r="T98" s="6">
        <v>20462.489999999998</v>
      </c>
      <c r="U98" s="2"/>
      <c r="V98" s="7">
        <f t="shared" si="79"/>
        <v>5.0040386432631491E-3</v>
      </c>
      <c r="W98" s="2"/>
      <c r="X98" s="6">
        <f t="shared" si="80"/>
        <v>-19776.28</v>
      </c>
      <c r="Y98" s="2"/>
      <c r="Z98" s="7">
        <f t="shared" si="81"/>
        <v>-0.96646498055710717</v>
      </c>
    </row>
    <row r="99" spans="1:26" s="26" customFormat="1" outlineLevel="1" collapsed="1" x14ac:dyDescent="0.25">
      <c r="A99" s="27"/>
      <c r="B99" s="13" t="str">
        <f>CONCATENATE("     ","Subscriptions &amp; Dues                              ")</f>
        <v xml:space="preserve">     Subscriptions &amp; Dues                              </v>
      </c>
      <c r="C99" s="13"/>
      <c r="D99" s="1">
        <f>SUM(OSRRefD22_19x_0)</f>
        <v>0</v>
      </c>
      <c r="E99" s="1"/>
      <c r="F99" s="5">
        <f t="shared" ref="F99:F110" si="82">IF(D$12=0,0,D99/D$12)</f>
        <v>0</v>
      </c>
      <c r="G99" s="1"/>
      <c r="H99" s="1">
        <f>SUM(OSRRefH22_19x_0)</f>
        <v>454.78</v>
      </c>
      <c r="I99" s="1"/>
      <c r="J99" s="5">
        <f t="shared" ref="J99:J110" si="83">IF(H$12=0,0,H99/H$12)</f>
        <v>5.2874372894334885E-4</v>
      </c>
      <c r="K99" s="1"/>
      <c r="L99" s="1">
        <f t="shared" ref="L99:L110" si="84">+D99-H99</f>
        <v>-454.78</v>
      </c>
      <c r="M99" s="1"/>
      <c r="N99" s="5">
        <f t="shared" ref="N99:N110" si="85">IF(H99=0,0,L99/H99)</f>
        <v>-1</v>
      </c>
      <c r="O99" s="13"/>
      <c r="P99" s="1">
        <f>SUM(OSRRefP22_19x_0)</f>
        <v>271.33</v>
      </c>
      <c r="Q99" s="1"/>
      <c r="R99" s="5">
        <f t="shared" ref="R99:R110" si="86">IF(P$12=0,0,P99/P$12)</f>
        <v>2.1770761337156258E-3</v>
      </c>
      <c r="S99" s="1"/>
      <c r="T99" s="1">
        <f>SUM(OSRRefT22_19x_0)</f>
        <v>2856.78</v>
      </c>
      <c r="U99" s="1"/>
      <c r="V99" s="5">
        <f t="shared" ref="V99:V110" si="87">IF(T$12=0,0,T99/T$12)</f>
        <v>6.9861671357206775E-4</v>
      </c>
      <c r="W99" s="1"/>
      <c r="X99" s="1">
        <f t="shared" ref="X99:X110" si="88">+P99-T99</f>
        <v>-2585.4500000000003</v>
      </c>
      <c r="Y99" s="1"/>
      <c r="Z99" s="5">
        <f t="shared" ref="Z99:Z110" si="89">IF(T99=0,0,X99/T99)</f>
        <v>-0.9050224378496069</v>
      </c>
    </row>
    <row r="100" spans="1:26" s="24" customFormat="1" hidden="1" outlineLevel="2" x14ac:dyDescent="0.25">
      <c r="A100" s="25"/>
      <c r="B100" s="11" t="str">
        <f>CONCATENATE("          ", "6275", " - ", "SUBSCRIPTIONS")</f>
        <v xml:space="preserve">          6275 - SUBSCRIPTIONS</v>
      </c>
      <c r="C100" s="11"/>
      <c r="D100" s="6"/>
      <c r="E100" s="2"/>
      <c r="F100" s="7">
        <f t="shared" si="82"/>
        <v>0</v>
      </c>
      <c r="G100" s="2"/>
      <c r="H100" s="6">
        <v>454.78</v>
      </c>
      <c r="I100" s="2"/>
      <c r="J100" s="7">
        <f t="shared" si="83"/>
        <v>5.2874372894334885E-4</v>
      </c>
      <c r="K100" s="2"/>
      <c r="L100" s="6">
        <f t="shared" si="84"/>
        <v>-454.78</v>
      </c>
      <c r="M100" s="2"/>
      <c r="N100" s="7">
        <f t="shared" si="85"/>
        <v>-1</v>
      </c>
      <c r="O100" s="11"/>
      <c r="P100" s="6">
        <v>271.33</v>
      </c>
      <c r="Q100" s="2"/>
      <c r="R100" s="7">
        <f t="shared" si="86"/>
        <v>2.1770761337156258E-3</v>
      </c>
      <c r="S100" s="2"/>
      <c r="T100" s="6">
        <v>2856.78</v>
      </c>
      <c r="U100" s="2"/>
      <c r="V100" s="7">
        <f t="shared" si="87"/>
        <v>6.9861671357206775E-4</v>
      </c>
      <c r="W100" s="2"/>
      <c r="X100" s="6">
        <f t="shared" si="88"/>
        <v>-2585.4500000000003</v>
      </c>
      <c r="Y100" s="2"/>
      <c r="Z100" s="7">
        <f t="shared" si="89"/>
        <v>-0.9050224378496069</v>
      </c>
    </row>
    <row r="101" spans="1:26" s="26" customFormat="1" outlineLevel="1" collapsed="1" x14ac:dyDescent="0.25">
      <c r="A101" s="27"/>
      <c r="B101" s="13" t="str">
        <f>CONCATENATE("     ","Supplies                                          ")</f>
        <v xml:space="preserve">     Supplies                                          </v>
      </c>
      <c r="C101" s="13"/>
      <c r="D101" s="1">
        <f>SUM(OSRRefD22_20x_0)</f>
        <v>72</v>
      </c>
      <c r="E101" s="1"/>
      <c r="F101" s="5">
        <f t="shared" si="82"/>
        <v>1.1223416286330549E-3</v>
      </c>
      <c r="G101" s="1"/>
      <c r="H101" s="1">
        <f>SUM(OSRRefH22_20x_0)</f>
        <v>17651.849999999999</v>
      </c>
      <c r="I101" s="1"/>
      <c r="J101" s="5">
        <f t="shared" si="83"/>
        <v>2.052268127830743E-2</v>
      </c>
      <c r="K101" s="1"/>
      <c r="L101" s="1">
        <f t="shared" si="84"/>
        <v>-17579.849999999999</v>
      </c>
      <c r="M101" s="1"/>
      <c r="N101" s="5">
        <f t="shared" si="85"/>
        <v>-0.9959211074193357</v>
      </c>
      <c r="O101" s="13"/>
      <c r="P101" s="1">
        <f>SUM(OSRRefP22_20x_0)</f>
        <v>-20476.590000000004</v>
      </c>
      <c r="Q101" s="1"/>
      <c r="R101" s="5">
        <f t="shared" si="86"/>
        <v>-0.16429843876047637</v>
      </c>
      <c r="S101" s="1"/>
      <c r="T101" s="1">
        <f>SUM(OSRRefT22_20x_0)</f>
        <v>138833.79</v>
      </c>
      <c r="U101" s="1"/>
      <c r="V101" s="5">
        <f t="shared" si="87"/>
        <v>3.3951373960387082E-2</v>
      </c>
      <c r="W101" s="1"/>
      <c r="X101" s="1">
        <f t="shared" si="88"/>
        <v>-159310.38</v>
      </c>
      <c r="Y101" s="1"/>
      <c r="Z101" s="5">
        <f t="shared" si="89"/>
        <v>-1.1474899590366292</v>
      </c>
    </row>
    <row r="102" spans="1:26" s="24" customFormat="1" hidden="1" outlineLevel="2" x14ac:dyDescent="0.25">
      <c r="A102" s="25"/>
      <c r="B102" s="11" t="str">
        <f>CONCATENATE("          ", "6234", " - ", "EXPENDABLE SUPPLIES &amp; EQUIPMEN")</f>
        <v xml:space="preserve">          6234 - EXPENDABLE SUPPLIES &amp; EQUIPMEN</v>
      </c>
      <c r="C102" s="11"/>
      <c r="D102" s="6"/>
      <c r="E102" s="2"/>
      <c r="F102" s="7">
        <f t="shared" si="82"/>
        <v>0</v>
      </c>
      <c r="G102" s="2"/>
      <c r="H102" s="6">
        <v>584.04999999999995</v>
      </c>
      <c r="I102" s="2"/>
      <c r="J102" s="7">
        <f t="shared" si="83"/>
        <v>6.790377212924115E-4</v>
      </c>
      <c r="K102" s="2"/>
      <c r="L102" s="6">
        <f t="shared" si="84"/>
        <v>-584.04999999999995</v>
      </c>
      <c r="M102" s="2"/>
      <c r="N102" s="7">
        <f t="shared" si="85"/>
        <v>-1</v>
      </c>
      <c r="O102" s="11"/>
      <c r="P102" s="6">
        <v>627.58000000000004</v>
      </c>
      <c r="Q102" s="2"/>
      <c r="R102" s="7">
        <f t="shared" si="86"/>
        <v>5.0355266280811281E-3</v>
      </c>
      <c r="S102" s="2"/>
      <c r="T102" s="6">
        <v>13295.18</v>
      </c>
      <c r="U102" s="2"/>
      <c r="V102" s="7">
        <f t="shared" si="87"/>
        <v>3.2512951497661994E-3</v>
      </c>
      <c r="W102" s="2"/>
      <c r="X102" s="6">
        <f t="shared" si="88"/>
        <v>-12667.6</v>
      </c>
      <c r="Y102" s="2"/>
      <c r="Z102" s="7">
        <f t="shared" si="89"/>
        <v>-0.95279642697579126</v>
      </c>
    </row>
    <row r="103" spans="1:26" s="24" customFormat="1" hidden="1" outlineLevel="2" x14ac:dyDescent="0.25">
      <c r="A103" s="25"/>
      <c r="B103" s="11" t="str">
        <f>CONCATENATE("          ", "6235", " - ", "COVID-19 EXPENSES")</f>
        <v xml:space="preserve">          6235 - COVID-19 EXPENSES</v>
      </c>
      <c r="C103" s="11"/>
      <c r="D103" s="6"/>
      <c r="E103" s="2"/>
      <c r="F103" s="7">
        <f t="shared" si="82"/>
        <v>0</v>
      </c>
      <c r="G103" s="2"/>
      <c r="H103" s="6"/>
      <c r="I103" s="2"/>
      <c r="J103" s="7">
        <f t="shared" si="83"/>
        <v>0</v>
      </c>
      <c r="K103" s="2"/>
      <c r="L103" s="6">
        <f t="shared" si="84"/>
        <v>0</v>
      </c>
      <c r="M103" s="2"/>
      <c r="N103" s="7">
        <f t="shared" si="85"/>
        <v>0</v>
      </c>
      <c r="O103" s="11"/>
      <c r="P103" s="6">
        <v>7089.13</v>
      </c>
      <c r="Q103" s="2"/>
      <c r="R103" s="7">
        <f t="shared" si="86"/>
        <v>5.6881199026305437E-2</v>
      </c>
      <c r="S103" s="2"/>
      <c r="T103" s="6"/>
      <c r="U103" s="2"/>
      <c r="V103" s="7">
        <f t="shared" si="87"/>
        <v>0</v>
      </c>
      <c r="W103" s="2"/>
      <c r="X103" s="6">
        <f t="shared" si="88"/>
        <v>7089.13</v>
      </c>
      <c r="Y103" s="2"/>
      <c r="Z103" s="7">
        <f t="shared" si="89"/>
        <v>0</v>
      </c>
    </row>
    <row r="104" spans="1:26" s="24" customFormat="1" hidden="1" outlineLevel="2" x14ac:dyDescent="0.25">
      <c r="A104" s="25"/>
      <c r="B104" s="11" t="str">
        <f>CONCATENATE("          ", "6237", " - ", "JANITORIAL SUPPLIES")</f>
        <v xml:space="preserve">          6237 - JANITORIAL SUPPLIES</v>
      </c>
      <c r="C104" s="11"/>
      <c r="D104" s="6">
        <v>72</v>
      </c>
      <c r="E104" s="2"/>
      <c r="F104" s="7">
        <f t="shared" si="82"/>
        <v>1.1223416286330549E-3</v>
      </c>
      <c r="G104" s="2"/>
      <c r="H104" s="6">
        <v>6002.88</v>
      </c>
      <c r="I104" s="2"/>
      <c r="J104" s="7">
        <f t="shared" si="83"/>
        <v>6.9791660926150009E-3</v>
      </c>
      <c r="K104" s="2"/>
      <c r="L104" s="6">
        <f t="shared" si="84"/>
        <v>-5930.88</v>
      </c>
      <c r="M104" s="2"/>
      <c r="N104" s="7">
        <f t="shared" si="85"/>
        <v>-0.98800575723652651</v>
      </c>
      <c r="O104" s="11"/>
      <c r="P104" s="6">
        <v>657.62</v>
      </c>
      <c r="Q104" s="2"/>
      <c r="R104" s="7">
        <f t="shared" si="86"/>
        <v>5.2765591974867129E-3</v>
      </c>
      <c r="S104" s="2"/>
      <c r="T104" s="6">
        <v>27208.62</v>
      </c>
      <c r="U104" s="2"/>
      <c r="V104" s="7">
        <f t="shared" si="87"/>
        <v>6.65378387038247E-3</v>
      </c>
      <c r="W104" s="2"/>
      <c r="X104" s="6">
        <f t="shared" si="88"/>
        <v>-26551</v>
      </c>
      <c r="Y104" s="2"/>
      <c r="Z104" s="7">
        <f t="shared" si="89"/>
        <v>-0.97583045373120725</v>
      </c>
    </row>
    <row r="105" spans="1:26" s="24" customFormat="1" hidden="1" outlineLevel="2" x14ac:dyDescent="0.25">
      <c r="A105" s="25"/>
      <c r="B105" s="11" t="str">
        <f>CONCATENATE("          ", "6239", " - ", "KITCHEN SUPPLIES")</f>
        <v xml:space="preserve">          6239 - KITCHEN SUPPLIES</v>
      </c>
      <c r="C105" s="11"/>
      <c r="D105" s="6"/>
      <c r="E105" s="2"/>
      <c r="F105" s="7">
        <f t="shared" si="82"/>
        <v>0</v>
      </c>
      <c r="G105" s="2"/>
      <c r="H105" s="6">
        <v>2631.87</v>
      </c>
      <c r="I105" s="2"/>
      <c r="J105" s="7">
        <f t="shared" si="83"/>
        <v>3.0599075550686739E-3</v>
      </c>
      <c r="K105" s="2"/>
      <c r="L105" s="6">
        <f t="shared" si="84"/>
        <v>-2631.87</v>
      </c>
      <c r="M105" s="2"/>
      <c r="N105" s="7">
        <f t="shared" si="85"/>
        <v>-1</v>
      </c>
      <c r="O105" s="11"/>
      <c r="P105" s="6">
        <v>19.829999999999998</v>
      </c>
      <c r="Q105" s="2"/>
      <c r="R105" s="7">
        <f t="shared" si="86"/>
        <v>1.5911038120215552E-4</v>
      </c>
      <c r="S105" s="2"/>
      <c r="T105" s="6">
        <v>30535.4</v>
      </c>
      <c r="U105" s="2"/>
      <c r="V105" s="7">
        <f t="shared" si="87"/>
        <v>7.4673376303420348E-3</v>
      </c>
      <c r="W105" s="2"/>
      <c r="X105" s="6">
        <f t="shared" si="88"/>
        <v>-30515.57</v>
      </c>
      <c r="Y105" s="2"/>
      <c r="Z105" s="7">
        <f t="shared" si="89"/>
        <v>-0.99935058980724012</v>
      </c>
    </row>
    <row r="106" spans="1:26" s="24" customFormat="1" hidden="1" outlineLevel="2" x14ac:dyDescent="0.25">
      <c r="A106" s="25"/>
      <c r="B106" s="11" t="str">
        <f>CONCATENATE("          ", "6241", " - ", "OFFICE EXPENSE")</f>
        <v xml:space="preserve">          6241 - OFFICE EXPENSE</v>
      </c>
      <c r="C106" s="11"/>
      <c r="D106" s="6"/>
      <c r="E106" s="2"/>
      <c r="F106" s="7">
        <f t="shared" si="82"/>
        <v>0</v>
      </c>
      <c r="G106" s="2"/>
      <c r="H106" s="6">
        <v>2332.04</v>
      </c>
      <c r="I106" s="2"/>
      <c r="J106" s="7">
        <f t="shared" si="83"/>
        <v>2.7113143182308968E-3</v>
      </c>
      <c r="K106" s="2"/>
      <c r="L106" s="6">
        <f t="shared" si="84"/>
        <v>-2332.04</v>
      </c>
      <c r="M106" s="2"/>
      <c r="N106" s="7">
        <f t="shared" si="85"/>
        <v>-1</v>
      </c>
      <c r="O106" s="11"/>
      <c r="P106" s="6">
        <v>-28992.030000000002</v>
      </c>
      <c r="Q106" s="2"/>
      <c r="R106" s="7">
        <f t="shared" si="86"/>
        <v>-0.23262395083834239</v>
      </c>
      <c r="S106" s="2"/>
      <c r="T106" s="6">
        <v>14815.58</v>
      </c>
      <c r="U106" s="2"/>
      <c r="V106" s="7">
        <f t="shared" si="87"/>
        <v>3.6231042674843899E-3</v>
      </c>
      <c r="W106" s="2"/>
      <c r="X106" s="6">
        <f t="shared" si="88"/>
        <v>-43807.61</v>
      </c>
      <c r="Y106" s="2"/>
      <c r="Z106" s="7">
        <f t="shared" si="89"/>
        <v>-2.9568609531317707</v>
      </c>
    </row>
    <row r="107" spans="1:26" s="24" customFormat="1" hidden="1" outlineLevel="2" x14ac:dyDescent="0.25">
      <c r="A107" s="25"/>
      <c r="B107" s="11" t="str">
        <f>CONCATENATE("          ", "6243", " - ", "PAPER SUPPLIES")</f>
        <v xml:space="preserve">          6243 - PAPER SUPPLIES</v>
      </c>
      <c r="C107" s="11"/>
      <c r="D107" s="6"/>
      <c r="E107" s="2"/>
      <c r="F107" s="7">
        <f t="shared" si="82"/>
        <v>0</v>
      </c>
      <c r="G107" s="2"/>
      <c r="H107" s="6">
        <v>2645.27</v>
      </c>
      <c r="I107" s="2"/>
      <c r="J107" s="7">
        <f t="shared" si="83"/>
        <v>3.0754868812656066E-3</v>
      </c>
      <c r="K107" s="2"/>
      <c r="L107" s="6">
        <f t="shared" si="84"/>
        <v>-2645.27</v>
      </c>
      <c r="M107" s="2"/>
      <c r="N107" s="7">
        <f t="shared" si="85"/>
        <v>-1</v>
      </c>
      <c r="O107" s="11"/>
      <c r="P107" s="6"/>
      <c r="Q107" s="2"/>
      <c r="R107" s="7">
        <f t="shared" si="86"/>
        <v>0</v>
      </c>
      <c r="S107" s="2"/>
      <c r="T107" s="6">
        <v>19582.710000000003</v>
      </c>
      <c r="U107" s="2"/>
      <c r="V107" s="7">
        <f t="shared" si="87"/>
        <v>4.7888911652401896E-3</v>
      </c>
      <c r="W107" s="2"/>
      <c r="X107" s="6">
        <f t="shared" si="88"/>
        <v>-19582.710000000003</v>
      </c>
      <c r="Y107" s="2"/>
      <c r="Z107" s="7">
        <f t="shared" si="89"/>
        <v>-1</v>
      </c>
    </row>
    <row r="108" spans="1:26" s="24" customFormat="1" hidden="1" outlineLevel="2" x14ac:dyDescent="0.25">
      <c r="A108" s="25"/>
      <c r="B108" s="11" t="str">
        <f>CONCATENATE("          ", "6245", " - ", "PRINTING")</f>
        <v xml:space="preserve">          6245 - PRINTING</v>
      </c>
      <c r="C108" s="11"/>
      <c r="D108" s="6"/>
      <c r="E108" s="2"/>
      <c r="F108" s="7">
        <f t="shared" si="82"/>
        <v>0</v>
      </c>
      <c r="G108" s="2"/>
      <c r="H108" s="6">
        <v>53.43</v>
      </c>
      <c r="I108" s="2"/>
      <c r="J108" s="7">
        <f t="shared" si="83"/>
        <v>6.21196566195592E-5</v>
      </c>
      <c r="K108" s="2"/>
      <c r="L108" s="6">
        <f t="shared" si="84"/>
        <v>-53.43</v>
      </c>
      <c r="M108" s="2"/>
      <c r="N108" s="7">
        <f t="shared" si="85"/>
        <v>-1</v>
      </c>
      <c r="O108" s="11"/>
      <c r="P108" s="6"/>
      <c r="Q108" s="2"/>
      <c r="R108" s="7">
        <f t="shared" si="86"/>
        <v>0</v>
      </c>
      <c r="S108" s="2"/>
      <c r="T108" s="6">
        <v>352.64</v>
      </c>
      <c r="U108" s="2"/>
      <c r="V108" s="7">
        <f t="shared" si="87"/>
        <v>8.6237021357631302E-5</v>
      </c>
      <c r="W108" s="2"/>
      <c r="X108" s="6">
        <f t="shared" si="88"/>
        <v>-352.64</v>
      </c>
      <c r="Y108" s="2"/>
      <c r="Z108" s="7">
        <f t="shared" si="89"/>
        <v>-1</v>
      </c>
    </row>
    <row r="109" spans="1:26" s="24" customFormat="1" hidden="1" outlineLevel="2" x14ac:dyDescent="0.25">
      <c r="A109" s="25"/>
      <c r="B109" s="11" t="str">
        <f>CONCATENATE("          ", "6247", " - ", "STORE SUPPLIES")</f>
        <v xml:space="preserve">          6247 - STORE SUPPLIES</v>
      </c>
      <c r="C109" s="11"/>
      <c r="D109" s="6"/>
      <c r="E109" s="2"/>
      <c r="F109" s="7">
        <f t="shared" si="82"/>
        <v>0</v>
      </c>
      <c r="G109" s="2"/>
      <c r="H109" s="6">
        <v>3151.8</v>
      </c>
      <c r="I109" s="2"/>
      <c r="J109" s="7">
        <f t="shared" si="83"/>
        <v>3.6643970378724814E-3</v>
      </c>
      <c r="K109" s="2"/>
      <c r="L109" s="6">
        <f t="shared" si="84"/>
        <v>-3151.8</v>
      </c>
      <c r="M109" s="2"/>
      <c r="N109" s="7">
        <f t="shared" si="85"/>
        <v>-1</v>
      </c>
      <c r="O109" s="11"/>
      <c r="P109" s="6">
        <v>121.28</v>
      </c>
      <c r="Q109" s="2"/>
      <c r="R109" s="7">
        <f t="shared" si="86"/>
        <v>9.7311684479059121E-4</v>
      </c>
      <c r="S109" s="2"/>
      <c r="T109" s="6">
        <v>29309.91</v>
      </c>
      <c r="U109" s="2"/>
      <c r="V109" s="7">
        <f t="shared" si="87"/>
        <v>7.1676478410283894E-3</v>
      </c>
      <c r="W109" s="2"/>
      <c r="X109" s="6">
        <f t="shared" si="88"/>
        <v>-29188.63</v>
      </c>
      <c r="Y109" s="2"/>
      <c r="Z109" s="7">
        <f t="shared" si="89"/>
        <v>-0.9958621503784898</v>
      </c>
    </row>
    <row r="110" spans="1:26" s="24" customFormat="1" hidden="1" outlineLevel="2" x14ac:dyDescent="0.25">
      <c r="A110" s="25"/>
      <c r="B110" s="11" t="str">
        <f>CONCATENATE("          ", "6248", " - ", "UNIFORMS")</f>
        <v xml:space="preserve">          6248 - UNIFORMS</v>
      </c>
      <c r="C110" s="11"/>
      <c r="D110" s="6"/>
      <c r="E110" s="2"/>
      <c r="F110" s="7">
        <f t="shared" si="82"/>
        <v>0</v>
      </c>
      <c r="G110" s="2"/>
      <c r="H110" s="6">
        <v>250.51</v>
      </c>
      <c r="I110" s="2"/>
      <c r="J110" s="7">
        <f t="shared" si="83"/>
        <v>2.9125201534279944E-4</v>
      </c>
      <c r="K110" s="2"/>
      <c r="L110" s="6">
        <f t="shared" si="84"/>
        <v>-250.51</v>
      </c>
      <c r="M110" s="2"/>
      <c r="N110" s="7">
        <f t="shared" si="85"/>
        <v>-1</v>
      </c>
      <c r="O110" s="11"/>
      <c r="P110" s="6"/>
      <c r="Q110" s="2"/>
      <c r="R110" s="7">
        <f t="shared" si="86"/>
        <v>0</v>
      </c>
      <c r="S110" s="2"/>
      <c r="T110" s="6">
        <v>3733.75</v>
      </c>
      <c r="U110" s="2"/>
      <c r="V110" s="7">
        <f t="shared" si="87"/>
        <v>9.1307701478577556E-4</v>
      </c>
      <c r="W110" s="2"/>
      <c r="X110" s="6">
        <f t="shared" si="88"/>
        <v>-3733.75</v>
      </c>
      <c r="Y110" s="2"/>
      <c r="Z110" s="7">
        <f t="shared" si="89"/>
        <v>-1</v>
      </c>
    </row>
    <row r="111" spans="1:26" s="26" customFormat="1" outlineLevel="1" collapsed="1" x14ac:dyDescent="0.25">
      <c r="A111" s="27"/>
      <c r="B111" s="13" t="str">
        <f>CONCATENATE("     ","Telephone/Data Lines                              ")</f>
        <v xml:space="preserve">     Telephone/Data Lines                              </v>
      </c>
      <c r="C111" s="13"/>
      <c r="D111" s="1">
        <f>SUM(OSRRefD22_21x_0)</f>
        <v>749.6</v>
      </c>
      <c r="E111" s="1"/>
      <c r="F111" s="5">
        <f t="shared" ref="F111:F118" si="90">IF(D$12=0,0,D111/D$12)</f>
        <v>1.1684823400324139E-2</v>
      </c>
      <c r="G111" s="1"/>
      <c r="H111" s="1">
        <f>SUM(OSRRefH22_21x_0)</f>
        <v>1790.68</v>
      </c>
      <c r="I111" s="1"/>
      <c r="J111" s="5">
        <f t="shared" ref="J111:J118" si="91">IF(H$12=0,0,H111/H$12)</f>
        <v>2.0819095398748317E-3</v>
      </c>
      <c r="K111" s="1"/>
      <c r="L111" s="1">
        <f t="shared" ref="L111:L118" si="92">+D111-H111</f>
        <v>-1041.08</v>
      </c>
      <c r="M111" s="1"/>
      <c r="N111" s="5">
        <f t="shared" ref="N111:N118" si="93">IF(H111=0,0,L111/H111)</f>
        <v>-0.58138807603815301</v>
      </c>
      <c r="O111" s="13"/>
      <c r="P111" s="1">
        <f>SUM(OSRRefP22_21x_0)</f>
        <v>6442.91</v>
      </c>
      <c r="Q111" s="1"/>
      <c r="R111" s="5">
        <f t="shared" ref="R111:R118" si="94">IF(P$12=0,0,P111/P$12)</f>
        <v>5.1696110244638417E-2</v>
      </c>
      <c r="S111" s="1"/>
      <c r="T111" s="1">
        <f>SUM(OSRRefT22_21x_0)</f>
        <v>10283.129999999999</v>
      </c>
      <c r="U111" s="1"/>
      <c r="V111" s="5">
        <f t="shared" ref="V111:V118" si="95">IF(T$12=0,0,T111/T$12)</f>
        <v>2.5147076379120324E-3</v>
      </c>
      <c r="W111" s="1"/>
      <c r="X111" s="1">
        <f t="shared" ref="X111:X118" si="96">+P111-T111</f>
        <v>-3840.2199999999993</v>
      </c>
      <c r="Y111" s="1"/>
      <c r="Z111" s="5">
        <f t="shared" ref="Z111:Z118" si="97">IF(T111=0,0,X111/T111)</f>
        <v>-0.3734485511707038</v>
      </c>
    </row>
    <row r="112" spans="1:26" s="24" customFormat="1" hidden="1" outlineLevel="2" x14ac:dyDescent="0.25">
      <c r="A112" s="25"/>
      <c r="B112" s="11" t="str">
        <f>CONCATENATE("          ", "6309", " - ", "TELEPHONE")</f>
        <v xml:space="preserve">          6309 - TELEPHONE</v>
      </c>
      <c r="C112" s="11"/>
      <c r="D112" s="6">
        <v>749.6</v>
      </c>
      <c r="E112" s="2"/>
      <c r="F112" s="7">
        <f t="shared" si="90"/>
        <v>1.1684823400324139E-2</v>
      </c>
      <c r="G112" s="2"/>
      <c r="H112" s="6">
        <v>1790.68</v>
      </c>
      <c r="I112" s="2"/>
      <c r="J112" s="7">
        <f t="shared" si="91"/>
        <v>2.0819095398748317E-3</v>
      </c>
      <c r="K112" s="2"/>
      <c r="L112" s="6">
        <f t="shared" si="92"/>
        <v>-1041.08</v>
      </c>
      <c r="M112" s="2"/>
      <c r="N112" s="7">
        <f t="shared" si="93"/>
        <v>-0.58138807603815301</v>
      </c>
      <c r="O112" s="11"/>
      <c r="P112" s="6">
        <v>6442.91</v>
      </c>
      <c r="Q112" s="2"/>
      <c r="R112" s="7">
        <f t="shared" si="94"/>
        <v>5.1696110244638417E-2</v>
      </c>
      <c r="S112" s="2"/>
      <c r="T112" s="6">
        <v>10283.129999999999</v>
      </c>
      <c r="U112" s="2"/>
      <c r="V112" s="7">
        <f t="shared" si="95"/>
        <v>2.5147076379120324E-3</v>
      </c>
      <c r="W112" s="2"/>
      <c r="X112" s="6">
        <f t="shared" si="96"/>
        <v>-3840.2199999999993</v>
      </c>
      <c r="Y112" s="2"/>
      <c r="Z112" s="7">
        <f t="shared" si="97"/>
        <v>-0.3734485511707038</v>
      </c>
    </row>
    <row r="113" spans="1:26" s="26" customFormat="1" outlineLevel="1" collapsed="1" x14ac:dyDescent="0.25">
      <c r="A113" s="27"/>
      <c r="B113" s="13" t="str">
        <f>CONCATENATE("     ","Training                                          ")</f>
        <v xml:space="preserve">     Training                                          </v>
      </c>
      <c r="C113" s="13"/>
      <c r="D113" s="1">
        <f>SUM(OSRRefD22_22x_0)</f>
        <v>400</v>
      </c>
      <c r="E113" s="1"/>
      <c r="F113" s="5">
        <f t="shared" si="90"/>
        <v>6.2352312701836384E-3</v>
      </c>
      <c r="G113" s="1"/>
      <c r="H113" s="1">
        <f>SUM(OSRRefH22_22x_0)</f>
        <v>85</v>
      </c>
      <c r="I113" s="1"/>
      <c r="J113" s="5">
        <f t="shared" si="91"/>
        <v>9.8824084085018368E-5</v>
      </c>
      <c r="K113" s="1"/>
      <c r="L113" s="1">
        <f t="shared" si="92"/>
        <v>315</v>
      </c>
      <c r="M113" s="1"/>
      <c r="N113" s="5">
        <f t="shared" si="93"/>
        <v>3.7058823529411766</v>
      </c>
      <c r="O113" s="13"/>
      <c r="P113" s="1">
        <f>SUM(OSRRefP22_22x_0)</f>
        <v>400</v>
      </c>
      <c r="Q113" s="1"/>
      <c r="R113" s="5">
        <f t="shared" si="94"/>
        <v>3.2094882743753006E-3</v>
      </c>
      <c r="S113" s="1"/>
      <c r="T113" s="1">
        <f>SUM(OSRRefT22_22x_0)</f>
        <v>1748.5</v>
      </c>
      <c r="U113" s="1"/>
      <c r="V113" s="5">
        <f t="shared" si="95"/>
        <v>4.2759026725220717E-4</v>
      </c>
      <c r="W113" s="1"/>
      <c r="X113" s="1">
        <f t="shared" si="96"/>
        <v>-1348.5</v>
      </c>
      <c r="Y113" s="1"/>
      <c r="Z113" s="5">
        <f t="shared" si="97"/>
        <v>-0.77123248498713182</v>
      </c>
    </row>
    <row r="114" spans="1:26" s="24" customFormat="1" hidden="1" outlineLevel="2" x14ac:dyDescent="0.25">
      <c r="A114" s="25"/>
      <c r="B114" s="11" t="str">
        <f>CONCATENATE("          ", "6376", " - ", "TRAINING")</f>
        <v xml:space="preserve">          6376 - TRAINING</v>
      </c>
      <c r="C114" s="11"/>
      <c r="D114" s="6">
        <v>400</v>
      </c>
      <c r="E114" s="2"/>
      <c r="F114" s="7">
        <f t="shared" si="90"/>
        <v>6.2352312701836384E-3</v>
      </c>
      <c r="G114" s="2"/>
      <c r="H114" s="6">
        <v>85</v>
      </c>
      <c r="I114" s="2"/>
      <c r="J114" s="7">
        <f t="shared" si="91"/>
        <v>9.8824084085018368E-5</v>
      </c>
      <c r="K114" s="2"/>
      <c r="L114" s="6">
        <f t="shared" si="92"/>
        <v>315</v>
      </c>
      <c r="M114" s="2"/>
      <c r="N114" s="7">
        <f t="shared" si="93"/>
        <v>3.7058823529411766</v>
      </c>
      <c r="O114" s="11"/>
      <c r="P114" s="6">
        <v>400</v>
      </c>
      <c r="Q114" s="2"/>
      <c r="R114" s="7">
        <f t="shared" si="94"/>
        <v>3.2094882743753006E-3</v>
      </c>
      <c r="S114" s="2"/>
      <c r="T114" s="6">
        <v>1748.5</v>
      </c>
      <c r="U114" s="2"/>
      <c r="V114" s="7">
        <f t="shared" si="95"/>
        <v>4.2759026725220717E-4</v>
      </c>
      <c r="W114" s="2"/>
      <c r="X114" s="6">
        <f t="shared" si="96"/>
        <v>-1348.5</v>
      </c>
      <c r="Y114" s="2"/>
      <c r="Z114" s="7">
        <f t="shared" si="97"/>
        <v>-0.77123248498713182</v>
      </c>
    </row>
    <row r="115" spans="1:26" s="26" customFormat="1" outlineLevel="1" collapsed="1" x14ac:dyDescent="0.25">
      <c r="A115" s="27"/>
      <c r="B115" s="13" t="str">
        <f>CONCATENATE("     ","Travel                                            ")</f>
        <v xml:space="preserve">     Travel                                            </v>
      </c>
      <c r="C115" s="13"/>
      <c r="D115" s="1">
        <f>SUM(OSRRefD22_23x_0)</f>
        <v>0</v>
      </c>
      <c r="E115" s="1"/>
      <c r="F115" s="5">
        <f t="shared" si="90"/>
        <v>0</v>
      </c>
      <c r="G115" s="1"/>
      <c r="H115" s="1">
        <f>SUM(OSRRefH22_23x_0)</f>
        <v>301.73</v>
      </c>
      <c r="I115" s="1"/>
      <c r="J115" s="5">
        <f t="shared" si="91"/>
        <v>3.5080224577614818E-4</v>
      </c>
      <c r="K115" s="1"/>
      <c r="L115" s="1">
        <f t="shared" si="92"/>
        <v>-301.73</v>
      </c>
      <c r="M115" s="1"/>
      <c r="N115" s="5">
        <f t="shared" si="93"/>
        <v>-1</v>
      </c>
      <c r="O115" s="13"/>
      <c r="P115" s="1">
        <f>SUM(OSRRefP22_23x_0)</f>
        <v>332.21</v>
      </c>
      <c r="Q115" s="1"/>
      <c r="R115" s="5">
        <f t="shared" si="94"/>
        <v>2.6655602490755466E-3</v>
      </c>
      <c r="S115" s="1"/>
      <c r="T115" s="1">
        <f>SUM(OSRRefT22_23x_0)</f>
        <v>1402.9099999999999</v>
      </c>
      <c r="U115" s="1"/>
      <c r="V115" s="5">
        <f t="shared" si="95"/>
        <v>3.4307730159038825E-4</v>
      </c>
      <c r="W115" s="1"/>
      <c r="X115" s="1">
        <f t="shared" si="96"/>
        <v>-1070.6999999999998</v>
      </c>
      <c r="Y115" s="1"/>
      <c r="Z115" s="5">
        <f t="shared" si="97"/>
        <v>-0.7631993499226607</v>
      </c>
    </row>
    <row r="116" spans="1:26" s="24" customFormat="1" hidden="1" outlineLevel="2" x14ac:dyDescent="0.25">
      <c r="A116" s="25"/>
      <c r="B116" s="11" t="str">
        <f>CONCATENATE("          ", "6292", " - ", "TRAVEL/CONFERENCE")</f>
        <v xml:space="preserve">          6292 - TRAVEL/CONFERENCE</v>
      </c>
      <c r="C116" s="11"/>
      <c r="D116" s="6"/>
      <c r="E116" s="2"/>
      <c r="F116" s="7">
        <f t="shared" si="90"/>
        <v>0</v>
      </c>
      <c r="G116" s="2"/>
      <c r="H116" s="6">
        <v>153.68</v>
      </c>
      <c r="I116" s="2"/>
      <c r="J116" s="7">
        <f t="shared" si="91"/>
        <v>1.7867394402571322E-4</v>
      </c>
      <c r="K116" s="2"/>
      <c r="L116" s="6">
        <f t="shared" si="92"/>
        <v>-153.68</v>
      </c>
      <c r="M116" s="2"/>
      <c r="N116" s="7">
        <f t="shared" si="93"/>
        <v>-1</v>
      </c>
      <c r="O116" s="11"/>
      <c r="P116" s="6"/>
      <c r="Q116" s="2"/>
      <c r="R116" s="7">
        <f t="shared" si="94"/>
        <v>0</v>
      </c>
      <c r="S116" s="2"/>
      <c r="T116" s="6">
        <v>699.37</v>
      </c>
      <c r="U116" s="2"/>
      <c r="V116" s="7">
        <f t="shared" si="95"/>
        <v>1.7102877049366663E-4</v>
      </c>
      <c r="W116" s="2"/>
      <c r="X116" s="6">
        <f t="shared" si="96"/>
        <v>-699.37</v>
      </c>
      <c r="Y116" s="2"/>
      <c r="Z116" s="7">
        <f t="shared" si="97"/>
        <v>-1</v>
      </c>
    </row>
    <row r="117" spans="1:26" s="24" customFormat="1" hidden="1" outlineLevel="2" x14ac:dyDescent="0.25">
      <c r="A117" s="25"/>
      <c r="B117" s="11" t="str">
        <f>CONCATENATE("          ", "6294", " - ", "TRAVEL OPERATIONAL")</f>
        <v xml:space="preserve">          6294 - TRAVEL OPERATIONAL</v>
      </c>
      <c r="C117" s="11"/>
      <c r="D117" s="6"/>
      <c r="E117" s="2"/>
      <c r="F117" s="7">
        <f t="shared" si="90"/>
        <v>0</v>
      </c>
      <c r="G117" s="2"/>
      <c r="H117" s="6"/>
      <c r="I117" s="2"/>
      <c r="J117" s="7">
        <f t="shared" si="91"/>
        <v>0</v>
      </c>
      <c r="K117" s="2"/>
      <c r="L117" s="6">
        <f t="shared" si="92"/>
        <v>0</v>
      </c>
      <c r="M117" s="2"/>
      <c r="N117" s="7">
        <f t="shared" si="93"/>
        <v>0</v>
      </c>
      <c r="O117" s="11"/>
      <c r="P117" s="6"/>
      <c r="Q117" s="2"/>
      <c r="R117" s="7">
        <f t="shared" si="94"/>
        <v>0</v>
      </c>
      <c r="S117" s="2"/>
      <c r="T117" s="6">
        <v>45.49</v>
      </c>
      <c r="U117" s="2"/>
      <c r="V117" s="7">
        <f t="shared" si="95"/>
        <v>1.1124438808866402E-5</v>
      </c>
      <c r="W117" s="2"/>
      <c r="X117" s="6">
        <f t="shared" si="96"/>
        <v>-45.49</v>
      </c>
      <c r="Y117" s="2"/>
      <c r="Z117" s="7">
        <f t="shared" si="97"/>
        <v>-1</v>
      </c>
    </row>
    <row r="118" spans="1:26" s="24" customFormat="1" hidden="1" outlineLevel="2" x14ac:dyDescent="0.25">
      <c r="A118" s="25"/>
      <c r="B118" s="11" t="str">
        <f>CONCATENATE("          ", "6298", " - ", "VEHICLE MILEAGE")</f>
        <v xml:space="preserve">          6298 - VEHICLE MILEAGE</v>
      </c>
      <c r="C118" s="11"/>
      <c r="D118" s="6"/>
      <c r="E118" s="2"/>
      <c r="F118" s="7">
        <f t="shared" si="90"/>
        <v>0</v>
      </c>
      <c r="G118" s="2"/>
      <c r="H118" s="6">
        <v>148.05000000000001</v>
      </c>
      <c r="I118" s="2"/>
      <c r="J118" s="7">
        <f t="shared" si="91"/>
        <v>1.7212830175043496E-4</v>
      </c>
      <c r="K118" s="2"/>
      <c r="L118" s="6">
        <f t="shared" si="92"/>
        <v>-148.05000000000001</v>
      </c>
      <c r="M118" s="2"/>
      <c r="N118" s="7">
        <f t="shared" si="93"/>
        <v>-1</v>
      </c>
      <c r="O118" s="11"/>
      <c r="P118" s="6">
        <v>332.21</v>
      </c>
      <c r="Q118" s="2"/>
      <c r="R118" s="7">
        <f t="shared" si="94"/>
        <v>2.6655602490755466E-3</v>
      </c>
      <c r="S118" s="2"/>
      <c r="T118" s="6">
        <v>658.05</v>
      </c>
      <c r="U118" s="2"/>
      <c r="V118" s="7">
        <f t="shared" si="95"/>
        <v>1.6092409228785526E-4</v>
      </c>
      <c r="W118" s="2"/>
      <c r="X118" s="6">
        <f t="shared" si="96"/>
        <v>-325.83999999999997</v>
      </c>
      <c r="Y118" s="2"/>
      <c r="Z118" s="7">
        <f t="shared" si="97"/>
        <v>-0.49515994225362814</v>
      </c>
    </row>
    <row r="119" spans="1:26" s="26" customFormat="1" outlineLevel="1" collapsed="1" x14ac:dyDescent="0.25">
      <c r="A119" s="27"/>
      <c r="B119" s="13" t="str">
        <f>CONCATENATE("     ","Utilities                                         ")</f>
        <v xml:space="preserve">     Utilities                                         </v>
      </c>
      <c r="C119" s="13"/>
      <c r="D119" s="1">
        <f>SUM(OSRRefD22_24x_0)</f>
        <v>4796</v>
      </c>
      <c r="E119" s="1"/>
      <c r="F119" s="5">
        <f t="shared" ref="F119:F120" si="98">IF(D$12=0,0,D119/D$12)</f>
        <v>7.476042292950183E-2</v>
      </c>
      <c r="G119" s="1"/>
      <c r="H119" s="1">
        <f>SUM(OSRRefH22_24x_0)</f>
        <v>14669</v>
      </c>
      <c r="I119" s="1"/>
      <c r="J119" s="5">
        <f t="shared" ref="J119:J120" si="99">IF(H$12=0,0,H119/H$12)</f>
        <v>1.7054711640507463E-2</v>
      </c>
      <c r="K119" s="1"/>
      <c r="L119" s="1">
        <f t="shared" ref="L119:L120" si="100">+D119-H119</f>
        <v>-9873</v>
      </c>
      <c r="M119" s="1"/>
      <c r="N119" s="5">
        <f t="shared" ref="N119:N120" si="101">IF(H119=0,0,L119/H119)</f>
        <v>-0.67305201445224627</v>
      </c>
      <c r="O119" s="13"/>
      <c r="P119" s="1">
        <f>SUM(OSRRefP22_24x_0)</f>
        <v>-246</v>
      </c>
      <c r="Q119" s="1"/>
      <c r="R119" s="5">
        <f t="shared" ref="R119:R120" si="102">IF(P$12=0,0,P119/P$12)</f>
        <v>-1.9738352887408101E-3</v>
      </c>
      <c r="S119" s="1"/>
      <c r="T119" s="1">
        <f>SUM(OSRRefT22_24x_0)</f>
        <v>61378.119999999995</v>
      </c>
      <c r="U119" s="1"/>
      <c r="V119" s="5">
        <f t="shared" ref="V119:V120" si="103">IF(T$12=0,0,T119/T$12)</f>
        <v>1.5009829416207057E-2</v>
      </c>
      <c r="W119" s="1"/>
      <c r="X119" s="1">
        <f t="shared" ref="X119:X120" si="104">+P119-T119</f>
        <v>-61624.119999999995</v>
      </c>
      <c r="Y119" s="1"/>
      <c r="Z119" s="5">
        <f t="shared" ref="Z119:Z120" si="105">IF(T119=0,0,X119/T119)</f>
        <v>-1.0040079428956117</v>
      </c>
    </row>
    <row r="120" spans="1:26" s="24" customFormat="1" hidden="1" outlineLevel="2" x14ac:dyDescent="0.25">
      <c r="A120" s="25"/>
      <c r="B120" s="11" t="str">
        <f>CONCATENATE("          ", "6274", " - ", "UTILITIES")</f>
        <v xml:space="preserve">          6274 - UTILITIES</v>
      </c>
      <c r="C120" s="11"/>
      <c r="D120" s="6">
        <v>4796</v>
      </c>
      <c r="E120" s="2"/>
      <c r="F120" s="7">
        <f t="shared" si="98"/>
        <v>7.476042292950183E-2</v>
      </c>
      <c r="G120" s="2"/>
      <c r="H120" s="6">
        <v>14669</v>
      </c>
      <c r="I120" s="2"/>
      <c r="J120" s="7">
        <f t="shared" si="99"/>
        <v>1.7054711640507463E-2</v>
      </c>
      <c r="K120" s="2"/>
      <c r="L120" s="6">
        <f t="shared" si="100"/>
        <v>-9873</v>
      </c>
      <c r="M120" s="2"/>
      <c r="N120" s="7">
        <f t="shared" si="101"/>
        <v>-0.67305201445224627</v>
      </c>
      <c r="O120" s="11"/>
      <c r="P120" s="6">
        <v>-246</v>
      </c>
      <c r="Q120" s="2"/>
      <c r="R120" s="7">
        <f t="shared" si="102"/>
        <v>-1.9738352887408101E-3</v>
      </c>
      <c r="S120" s="2"/>
      <c r="T120" s="6">
        <v>61378.119999999995</v>
      </c>
      <c r="U120" s="2"/>
      <c r="V120" s="7">
        <f t="shared" si="103"/>
        <v>1.5009829416207057E-2</v>
      </c>
      <c r="W120" s="2"/>
      <c r="X120" s="6">
        <f t="shared" si="104"/>
        <v>-61624.119999999995</v>
      </c>
      <c r="Y120" s="2"/>
      <c r="Z120" s="7">
        <f t="shared" si="105"/>
        <v>-1.0040079428956117</v>
      </c>
    </row>
    <row r="121" spans="1:26" s="53" customFormat="1" x14ac:dyDescent="0.25">
      <c r="A121" s="37"/>
      <c r="B121" s="37"/>
      <c r="C121" s="37"/>
      <c r="D121" s="1"/>
      <c r="E121" s="1"/>
      <c r="F121" s="5"/>
      <c r="G121" s="1"/>
      <c r="H121" s="1"/>
      <c r="I121" s="1"/>
      <c r="J121" s="5"/>
      <c r="K121" s="1"/>
      <c r="L121" s="1"/>
      <c r="M121" s="1"/>
      <c r="N121" s="5"/>
      <c r="O121" s="37"/>
      <c r="P121" s="1"/>
      <c r="Q121" s="1"/>
      <c r="R121" s="5"/>
      <c r="S121" s="1"/>
      <c r="T121" s="1"/>
      <c r="U121" s="1"/>
      <c r="V121" s="5"/>
      <c r="W121" s="1"/>
      <c r="X121" s="1"/>
      <c r="Y121" s="1"/>
      <c r="Z121" s="5"/>
    </row>
    <row r="122" spans="1:26" s="23" customFormat="1" collapsed="1" x14ac:dyDescent="0.25">
      <c r="A122" s="10"/>
      <c r="B122" s="29" t="s">
        <v>0</v>
      </c>
      <c r="C122" s="10"/>
      <c r="D122" s="4">
        <f>SUM(OSRRefD25x_0)</f>
        <v>173.47</v>
      </c>
      <c r="E122" s="4"/>
      <c r="F122" s="12">
        <f t="shared" ref="F122:F125" si="106">IF(D$12=0,0,D122/D$12)</f>
        <v>2.7040639210968893E-3</v>
      </c>
      <c r="G122" s="4"/>
      <c r="H122" s="4">
        <f>SUM(OSRRefH25x_0)</f>
        <v>66542.63</v>
      </c>
      <c r="I122" s="4"/>
      <c r="J122" s="12">
        <f t="shared" ref="J122:J125" si="107">IF(H$12=0,0,H122/H$12)</f>
        <v>7.7364876027744306E-2</v>
      </c>
      <c r="K122" s="4"/>
      <c r="L122" s="4">
        <f t="shared" ref="L122:L125" si="108">+D122-H122</f>
        <v>-66369.16</v>
      </c>
      <c r="M122" s="4"/>
      <c r="N122" s="12">
        <f t="shared" ref="N122:N125" si="109">IF(H122=0,0,L122/H122)</f>
        <v>-0.99739309973170576</v>
      </c>
      <c r="O122" s="10"/>
      <c r="P122" s="4">
        <f>SUM(OSRRefP25x_0)</f>
        <v>4250.67</v>
      </c>
      <c r="Q122" s="4"/>
      <c r="R122" s="12">
        <f t="shared" ref="R122:R125" si="110">IF(P$12=0,0,P122/P$12)</f>
        <v>3.4106188808097147E-2</v>
      </c>
      <c r="S122" s="4"/>
      <c r="T122" s="4">
        <f>SUM(OSRRefT25x_0)</f>
        <v>493067.26</v>
      </c>
      <c r="U122" s="4"/>
      <c r="V122" s="12">
        <f t="shared" ref="V122:V125" si="111">IF(T$12=0,0,T122/T$12)</f>
        <v>0.12057807347824623</v>
      </c>
      <c r="W122" s="4"/>
      <c r="X122" s="4">
        <f t="shared" ref="X122:X125" si="112">+P122-T122</f>
        <v>-488816.59</v>
      </c>
      <c r="Y122" s="4"/>
      <c r="Z122" s="12">
        <f t="shared" ref="Z122:Z125" si="113">IF(T122=0,0,X122/T122)</f>
        <v>-0.99137912746427337</v>
      </c>
    </row>
    <row r="123" spans="1:26" s="24" customFormat="1" hidden="1" outlineLevel="1" x14ac:dyDescent="0.25">
      <c r="A123" s="44"/>
      <c r="B123" s="11" t="str">
        <f>CONCATENATE("          ", "9150", " - ", "MISC. INCOME")</f>
        <v xml:space="preserve">          9150 - MISC. INCOME</v>
      </c>
      <c r="C123" s="11"/>
      <c r="D123" s="2">
        <f t="shared" ref="D123:D124" si="114">0</f>
        <v>0</v>
      </c>
      <c r="E123" s="2"/>
      <c r="F123" s="19">
        <f t="shared" si="106"/>
        <v>0</v>
      </c>
      <c r="G123" s="2"/>
      <c r="H123" s="2">
        <f>--48346.26</f>
        <v>48346.26</v>
      </c>
      <c r="I123" s="2"/>
      <c r="J123" s="19">
        <f t="shared" si="107"/>
        <v>5.6209116040425416E-2</v>
      </c>
      <c r="K123" s="2"/>
      <c r="L123" s="2">
        <f t="shared" si="108"/>
        <v>-48346.26</v>
      </c>
      <c r="M123" s="2"/>
      <c r="N123" s="19">
        <f t="shared" si="109"/>
        <v>-1</v>
      </c>
      <c r="O123" s="11"/>
      <c r="P123" s="2">
        <f>--923.77</f>
        <v>923.77</v>
      </c>
      <c r="Q123" s="2"/>
      <c r="R123" s="19">
        <f t="shared" si="110"/>
        <v>7.4120724580491789E-3</v>
      </c>
      <c r="S123" s="2"/>
      <c r="T123" s="2">
        <f>--165642.94</f>
        <v>165642.94</v>
      </c>
      <c r="U123" s="2"/>
      <c r="V123" s="19">
        <f t="shared" si="111"/>
        <v>4.0507468677747391E-2</v>
      </c>
      <c r="W123" s="2"/>
      <c r="X123" s="2">
        <f t="shared" si="112"/>
        <v>-164719.17000000001</v>
      </c>
      <c r="Y123" s="2"/>
      <c r="Z123" s="19">
        <f t="shared" si="113"/>
        <v>-0.99442312482500017</v>
      </c>
    </row>
    <row r="124" spans="1:26" s="24" customFormat="1" hidden="1" outlineLevel="1" x14ac:dyDescent="0.25">
      <c r="A124" s="44"/>
      <c r="B124" s="11" t="str">
        <f>CONCATENATE("          ", "9160", " - ", "MISC. INCOME")</f>
        <v xml:space="preserve">          9160 - MISC. INCOME</v>
      </c>
      <c r="C124" s="11"/>
      <c r="D124" s="2">
        <f t="shared" si="114"/>
        <v>0</v>
      </c>
      <c r="E124" s="2"/>
      <c r="F124" s="19">
        <f t="shared" si="106"/>
        <v>0</v>
      </c>
      <c r="G124" s="2"/>
      <c r="H124" s="2">
        <f>--7692.32</f>
        <v>7692.32</v>
      </c>
      <c r="I124" s="2"/>
      <c r="J124" s="19">
        <f t="shared" si="107"/>
        <v>8.9433703351631585E-3</v>
      </c>
      <c r="K124" s="2"/>
      <c r="L124" s="2">
        <f t="shared" si="108"/>
        <v>-7692.32</v>
      </c>
      <c r="M124" s="2"/>
      <c r="N124" s="19">
        <f t="shared" si="109"/>
        <v>-1</v>
      </c>
      <c r="O124" s="11"/>
      <c r="P124" s="2">
        <f>--2328.25</f>
        <v>2328.25</v>
      </c>
      <c r="Q124" s="2"/>
      <c r="R124" s="19">
        <f t="shared" si="110"/>
        <v>1.8681227687035735E-2</v>
      </c>
      <c r="S124" s="2"/>
      <c r="T124" s="2">
        <f>--104050.2</f>
        <v>104050.2</v>
      </c>
      <c r="U124" s="2"/>
      <c r="V124" s="19">
        <f t="shared" si="111"/>
        <v>2.5445154604315474E-2</v>
      </c>
      <c r="W124" s="2"/>
      <c r="X124" s="2">
        <f t="shared" si="112"/>
        <v>-101721.95</v>
      </c>
      <c r="Y124" s="2"/>
      <c r="Z124" s="19">
        <f t="shared" si="113"/>
        <v>-0.97762378159772878</v>
      </c>
    </row>
    <row r="125" spans="1:26" s="24" customFormat="1" hidden="1" outlineLevel="1" x14ac:dyDescent="0.25">
      <c r="A125" s="44"/>
      <c r="B125" s="11" t="str">
        <f>CONCATENATE("          ", "9165", " - ", "OTHER INCOME")</f>
        <v xml:space="preserve">          9165 - OTHER INCOME</v>
      </c>
      <c r="C125" s="11"/>
      <c r="D125" s="2">
        <f>--173.47</f>
        <v>173.47</v>
      </c>
      <c r="E125" s="2"/>
      <c r="F125" s="19">
        <f t="shared" si="106"/>
        <v>2.7040639210968893E-3</v>
      </c>
      <c r="G125" s="2"/>
      <c r="H125" s="2">
        <f>--10504.05</f>
        <v>10504.05</v>
      </c>
      <c r="I125" s="2"/>
      <c r="J125" s="19">
        <f t="shared" si="107"/>
        <v>1.2212389652155731E-2</v>
      </c>
      <c r="K125" s="2"/>
      <c r="L125" s="2">
        <f t="shared" si="108"/>
        <v>-10330.58</v>
      </c>
      <c r="M125" s="2"/>
      <c r="N125" s="19">
        <f t="shared" si="109"/>
        <v>-0.9834854175294292</v>
      </c>
      <c r="O125" s="11"/>
      <c r="P125" s="2">
        <f>--998.65</f>
        <v>998.65</v>
      </c>
      <c r="Q125" s="2"/>
      <c r="R125" s="19">
        <f t="shared" si="110"/>
        <v>8.0128886630122347E-3</v>
      </c>
      <c r="S125" s="2"/>
      <c r="T125" s="2">
        <f>--223374.12</f>
        <v>223374.12</v>
      </c>
      <c r="U125" s="2"/>
      <c r="V125" s="19">
        <f t="shared" si="111"/>
        <v>5.4625450196183353E-2</v>
      </c>
      <c r="W125" s="2"/>
      <c r="X125" s="2">
        <f t="shared" si="112"/>
        <v>-222375.47</v>
      </c>
      <c r="Y125" s="2"/>
      <c r="Z125" s="19">
        <f t="shared" si="113"/>
        <v>-0.99552924931500575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10"/>
      <c r="B127" s="28" t="s">
        <v>3</v>
      </c>
      <c r="C127" s="28"/>
      <c r="D127" s="20">
        <f>+D33-D35+D122</f>
        <v>-76140.66</v>
      </c>
      <c r="E127" s="14"/>
      <c r="F127" s="22">
        <f>IF(D$12=0,0,D127/D$12)</f>
        <v>-1.1868865604110515</v>
      </c>
      <c r="G127" s="14"/>
      <c r="H127" s="20">
        <f>+H33-H35+H122</f>
        <v>27000.059999999474</v>
      </c>
      <c r="I127" s="14"/>
      <c r="J127" s="22">
        <f>IF(H$12=0,0,H127/H$12)</f>
        <v>3.1391249408711637E-2</v>
      </c>
      <c r="K127" s="15"/>
      <c r="L127" s="20">
        <f>+D127-H127</f>
        <v>-103140.71999999948</v>
      </c>
      <c r="M127" s="15"/>
      <c r="N127" s="22">
        <f>IF(H127=0,0,L127/H127)</f>
        <v>-3.8200181777374378</v>
      </c>
      <c r="O127" s="29"/>
      <c r="P127" s="20">
        <f>+P33-P35+P122</f>
        <v>-605430.40999999957</v>
      </c>
      <c r="Q127" s="14"/>
      <c r="R127" s="22">
        <f>IF(P$12=0,0,P127/P$12)</f>
        <v>-4.8578045046130738</v>
      </c>
      <c r="S127" s="14"/>
      <c r="T127" s="20">
        <f>+T33-T35+T122</f>
        <v>96646.769999998854</v>
      </c>
      <c r="U127" s="14"/>
      <c r="V127" s="22">
        <f>IF(T$12=0,0,T127/T$12)</f>
        <v>2.3634668695088422E-2</v>
      </c>
      <c r="W127" s="15"/>
      <c r="X127" s="20">
        <f>+P127-T127</f>
        <v>-702077.17999999842</v>
      </c>
      <c r="Y127" s="15"/>
      <c r="Z127" s="22">
        <f>IF(T127=0,0,X127/T127)</f>
        <v>-7.2643625855267251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51"/>
      <c r="B129" s="10" t="s">
        <v>13</v>
      </c>
      <c r="C129" s="10"/>
      <c r="D129" s="4">
        <v>6709.09</v>
      </c>
      <c r="E129" s="4"/>
      <c r="F129" s="12">
        <f>IF(D$12=0,0,D129/D$12)</f>
        <v>0.10458181940619088</v>
      </c>
      <c r="G129" s="4"/>
      <c r="H129" s="4">
        <v>107970.59999999999</v>
      </c>
      <c r="I129" s="4"/>
      <c r="J129" s="12">
        <f>IF(H$12=0,0,H129/H$12)</f>
        <v>0.1255305370954104</v>
      </c>
      <c r="K129" s="4"/>
      <c r="L129" s="4">
        <f>+D129-H129</f>
        <v>-101261.51</v>
      </c>
      <c r="M129" s="4"/>
      <c r="N129" s="12">
        <f>IF(H129=0,0,L129/H129)</f>
        <v>-0.93786188091943545</v>
      </c>
      <c r="O129" s="10"/>
      <c r="P129" s="4">
        <v>19810.129999999997</v>
      </c>
      <c r="Q129" s="4"/>
      <c r="R129" s="12">
        <f>IF(P$12=0,0,P129/P$12)</f>
        <v>0.15895094987212591</v>
      </c>
      <c r="S129" s="4"/>
      <c r="T129" s="4">
        <v>433018.12</v>
      </c>
      <c r="U129" s="4"/>
      <c r="V129" s="12">
        <f>IF(T$12=0,0,T129/T$12)</f>
        <v>0.10589324201077971</v>
      </c>
      <c r="W129" s="4"/>
      <c r="X129" s="4">
        <f>+P129-T129</f>
        <v>-413207.99</v>
      </c>
      <c r="Y129" s="4"/>
      <c r="Z129" s="12">
        <f>IF(T129=0,0,X129/T129)</f>
        <v>-0.95425103688501534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8" t="s">
        <v>4</v>
      </c>
      <c r="C131" s="28"/>
      <c r="D131" s="31">
        <f>+D127-D129</f>
        <v>-82849.75</v>
      </c>
      <c r="E131" s="14"/>
      <c r="F131" s="34">
        <f>IF(D$12=0,0,D131/D$12)</f>
        <v>-1.2914683798172424</v>
      </c>
      <c r="G131" s="14"/>
      <c r="H131" s="31">
        <f>+H127-H129</f>
        <v>-80970.540000000517</v>
      </c>
      <c r="I131" s="14"/>
      <c r="J131" s="34">
        <f>IF(H$12=0,0,H131/H$12)</f>
        <v>-9.4139287686698755E-2</v>
      </c>
      <c r="K131" s="15"/>
      <c r="L131" s="31">
        <f>D131-H131</f>
        <v>-1879.2099999994825</v>
      </c>
      <c r="M131" s="15"/>
      <c r="N131" s="34">
        <f>IF(H131=0,0,L131/H131)</f>
        <v>2.3208564497649027E-2</v>
      </c>
      <c r="O131" s="29"/>
      <c r="P131" s="31">
        <f>+P127-P129</f>
        <v>-625240.53999999957</v>
      </c>
      <c r="Q131" s="14"/>
      <c r="R131" s="34">
        <f>IF(P$12=0,0,P131/P$12)</f>
        <v>-5.0167554544851996</v>
      </c>
      <c r="S131" s="14"/>
      <c r="T131" s="31">
        <f>+T127-T129</f>
        <v>-336371.35000000114</v>
      </c>
      <c r="U131" s="14"/>
      <c r="V131" s="34">
        <f>IF(T$12=0,0,T131/T$12)</f>
        <v>-8.225857331569128E-2</v>
      </c>
      <c r="W131" s="15"/>
      <c r="X131" s="31">
        <f>P131-T131</f>
        <v>-288869.18999999843</v>
      </c>
      <c r="Y131" s="15"/>
      <c r="Z131" s="34">
        <f>IF(T131=0,0,X131/T131)</f>
        <v>0.85878060066648798</v>
      </c>
    </row>
    <row r="132" spans="1:26" ht="15.75" thickTop="1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8" t="s">
        <v>5</v>
      </c>
      <c r="C134" s="28"/>
      <c r="D134" s="32">
        <f>SUM(D131:D133)</f>
        <v>-82849.75</v>
      </c>
      <c r="E134" s="14"/>
      <c r="F134" s="30">
        <f>IF(D$12=0,0,D134/D$12)</f>
        <v>-1.2914683798172424</v>
      </c>
      <c r="G134" s="14"/>
      <c r="H134" s="32">
        <f>SUM(H131:H133)</f>
        <v>-80970.540000000517</v>
      </c>
      <c r="I134" s="14"/>
      <c r="J134" s="30">
        <f>IF(H$12=0,0,H134/H$12)</f>
        <v>-9.4139287686698755E-2</v>
      </c>
      <c r="K134" s="15"/>
      <c r="L134" s="32">
        <f>+D134-H134</f>
        <v>-1879.2099999994825</v>
      </c>
      <c r="M134" s="15"/>
      <c r="N134" s="30">
        <f>IF(H134=0,0,L134/H134)</f>
        <v>2.3208564497649027E-2</v>
      </c>
      <c r="O134" s="29"/>
      <c r="P134" s="32">
        <f>SUM(P131:P133)</f>
        <v>-625240.53999999957</v>
      </c>
      <c r="Q134" s="14"/>
      <c r="R134" s="30">
        <f>IF(P$12=0,0,P134/P$12)</f>
        <v>-5.0167554544851996</v>
      </c>
      <c r="S134" s="14"/>
      <c r="T134" s="32">
        <f>SUM(T131:T133)</f>
        <v>-336371.35000000114</v>
      </c>
      <c r="U134" s="14"/>
      <c r="V134" s="30">
        <f>IF(T$12=0,0,T134/T$12)</f>
        <v>-8.225857331569128E-2</v>
      </c>
      <c r="W134" s="15"/>
      <c r="X134" s="32">
        <f>+P134-T134</f>
        <v>-288869.18999999843</v>
      </c>
      <c r="Y134" s="15"/>
      <c r="Z134" s="30">
        <f>IF(T134=0,0,X134/T134)</f>
        <v>0.85878060066648798</v>
      </c>
    </row>
    <row r="135" spans="1:26" ht="15.75" thickTop="1" x14ac:dyDescent="0.25">
      <c r="A135" s="9"/>
      <c r="C135" s="9"/>
      <c r="D135" s="17"/>
      <c r="E135" s="17"/>
      <c r="G135" s="17"/>
      <c r="H135" s="17"/>
      <c r="I135" s="17"/>
      <c r="J135" s="43"/>
      <c r="K135" s="17"/>
      <c r="L135" s="17"/>
      <c r="M135" s="17"/>
      <c r="P135" s="17"/>
      <c r="Q135" s="17"/>
      <c r="R135" s="43"/>
      <c r="S135" s="17"/>
      <c r="T135" s="17"/>
      <c r="U135" s="17"/>
      <c r="V135" s="43"/>
      <c r="W135" s="17"/>
      <c r="X135" s="17"/>
    </row>
    <row r="136" spans="1:26" x14ac:dyDescent="0.25">
      <c r="A136" s="9"/>
      <c r="B136" s="54">
        <v>44174.685221331019</v>
      </c>
      <c r="D136" s="17"/>
      <c r="E136" s="17"/>
      <c r="G136" s="17"/>
      <c r="H136" s="17"/>
      <c r="I136" s="17"/>
      <c r="J136" s="43"/>
      <c r="K136" s="17"/>
      <c r="L136" s="17"/>
      <c r="M136" s="17"/>
      <c r="P136" s="17"/>
      <c r="Q136" s="17"/>
      <c r="R136" s="43"/>
      <c r="S136" s="17"/>
      <c r="T136" s="17"/>
      <c r="U136" s="17"/>
      <c r="V136" s="43"/>
      <c r="W136" s="17"/>
      <c r="X136" s="17"/>
    </row>
    <row r="137" spans="1:26" x14ac:dyDescent="0.25">
      <c r="A137" s="9"/>
      <c r="B137" s="56" t="s">
        <v>313</v>
      </c>
      <c r="D137" s="17"/>
      <c r="E137" s="17"/>
      <c r="G137" s="17"/>
      <c r="H137" s="17"/>
      <c r="I137" s="17"/>
      <c r="J137" s="43"/>
      <c r="K137" s="17"/>
      <c r="L137" s="17"/>
      <c r="M137" s="17"/>
      <c r="P137" s="17"/>
      <c r="Q137" s="17"/>
      <c r="R137" s="43"/>
      <c r="S137" s="17"/>
      <c r="T137" s="17"/>
      <c r="U137" s="17"/>
      <c r="V137" s="43"/>
      <c r="W137" s="17"/>
      <c r="X137" s="17"/>
    </row>
    <row r="138" spans="1:26" x14ac:dyDescent="0.25">
      <c r="A138" s="9"/>
      <c r="B138" s="61"/>
      <c r="D138" s="17"/>
      <c r="E138" s="17"/>
      <c r="G138" s="17"/>
      <c r="H138" s="17"/>
      <c r="I138" s="17"/>
      <c r="J138" s="43"/>
      <c r="K138" s="17"/>
      <c r="L138" s="17"/>
      <c r="M138" s="17"/>
      <c r="P138" s="17"/>
      <c r="Q138" s="17"/>
      <c r="R138" s="43"/>
      <c r="S138" s="17"/>
      <c r="T138" s="17"/>
      <c r="U138" s="17"/>
      <c r="V138" s="43"/>
      <c r="W138" s="17"/>
      <c r="X138" s="17"/>
    </row>
    <row r="139" spans="1:26" x14ac:dyDescent="0.25">
      <c r="D139" s="17"/>
      <c r="E139" s="17"/>
      <c r="G139" s="17"/>
      <c r="H139" s="17"/>
      <c r="I139" s="17"/>
      <c r="J139" s="43"/>
      <c r="K139" s="17"/>
      <c r="L139" s="17"/>
      <c r="M139" s="17"/>
      <c r="P139" s="17"/>
      <c r="Q139" s="17"/>
      <c r="R139" s="43"/>
      <c r="S139" s="17"/>
      <c r="T139" s="17"/>
      <c r="U139" s="17"/>
      <c r="V139" s="43"/>
      <c r="W139" s="17"/>
      <c r="X139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299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64151.59</v>
      </c>
      <c r="E12" s="4"/>
      <c r="F12" s="12"/>
      <c r="G12" s="4"/>
      <c r="H12" s="4">
        <f>SUM(OSRRefH13x_0)</f>
        <v>559361.14</v>
      </c>
      <c r="I12" s="4"/>
      <c r="J12" s="12"/>
      <c r="K12" s="4"/>
      <c r="L12" s="4">
        <f t="shared" ref="L12:L21" si="0">+D12-H12</f>
        <v>-495209.55000000005</v>
      </c>
      <c r="M12" s="4"/>
      <c r="N12" s="12">
        <f t="shared" ref="N12:N21" si="1">IF(H12=0,0,L12/H12)</f>
        <v>-0.88531275161517309</v>
      </c>
      <c r="O12" s="10"/>
      <c r="P12" s="4">
        <f>SUM(OSRRefP13x_0)</f>
        <v>122043.98999999999</v>
      </c>
      <c r="Q12" s="4"/>
      <c r="R12" s="12"/>
      <c r="S12" s="4"/>
      <c r="T12" s="4">
        <f>SUM(OSRRefT13x_0)</f>
        <v>2670369.5200000005</v>
      </c>
      <c r="U12" s="4"/>
      <c r="V12" s="12"/>
      <c r="W12" s="4"/>
      <c r="X12" s="4">
        <f t="shared" ref="X12:X21" si="2">+P12-T12</f>
        <v>-2548325.5300000003</v>
      </c>
      <c r="Y12" s="4"/>
      <c r="Z12" s="12">
        <f t="shared" ref="Z12:Z21" si="3">IF(T12=0,0,X12/T12)</f>
        <v>-0.95429696561245947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--4501.27</f>
        <v>4501.2700000000004</v>
      </c>
      <c r="E13" s="2"/>
      <c r="F13" s="19"/>
      <c r="G13" s="2"/>
      <c r="H13" s="2">
        <f>--57390.66</f>
        <v>57390.66</v>
      </c>
      <c r="I13" s="2"/>
      <c r="J13" s="19"/>
      <c r="K13" s="2"/>
      <c r="L13" s="2">
        <f t="shared" si="0"/>
        <v>-52889.39</v>
      </c>
      <c r="M13" s="2"/>
      <c r="N13" s="19">
        <f t="shared" si="1"/>
        <v>-0.92156789972444986</v>
      </c>
      <c r="O13" s="11"/>
      <c r="P13" s="2">
        <f>--17251.21</f>
        <v>17251.21</v>
      </c>
      <c r="Q13" s="2"/>
      <c r="R13" s="19"/>
      <c r="S13" s="2"/>
      <c r="T13" s="2">
        <f>--283007.33</f>
        <v>283007.33</v>
      </c>
      <c r="U13" s="2"/>
      <c r="V13" s="19"/>
      <c r="W13" s="2"/>
      <c r="X13" s="2">
        <f t="shared" si="2"/>
        <v>-265756.12</v>
      </c>
      <c r="Y13" s="2"/>
      <c r="Z13" s="19">
        <f t="shared" si="3"/>
        <v>-0.93904323962209735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--55493.87</f>
        <v>55493.87</v>
      </c>
      <c r="E14" s="2"/>
      <c r="F14" s="19"/>
      <c r="G14" s="2"/>
      <c r="H14" s="2">
        <f>--85023.13</f>
        <v>85023.13</v>
      </c>
      <c r="I14" s="2"/>
      <c r="J14" s="19"/>
      <c r="K14" s="2"/>
      <c r="L14" s="2">
        <f t="shared" si="0"/>
        <v>-29529.260000000002</v>
      </c>
      <c r="M14" s="2"/>
      <c r="N14" s="19">
        <f t="shared" si="1"/>
        <v>-0.34730855003808964</v>
      </c>
      <c r="O14" s="11"/>
      <c r="P14" s="2">
        <f>--85725.16</f>
        <v>85725.16</v>
      </c>
      <c r="Q14" s="2"/>
      <c r="R14" s="19"/>
      <c r="S14" s="2"/>
      <c r="T14" s="2">
        <f>--453845.53</f>
        <v>453845.53</v>
      </c>
      <c r="U14" s="2"/>
      <c r="V14" s="19"/>
      <c r="W14" s="2"/>
      <c r="X14" s="2">
        <f t="shared" si="2"/>
        <v>-368120.37</v>
      </c>
      <c r="Y14" s="2"/>
      <c r="Z14" s="19">
        <f t="shared" si="3"/>
        <v>-0.81111379459879218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 t="shared" ref="D15:D17" si="4">0</f>
        <v>0</v>
      </c>
      <c r="E15" s="2"/>
      <c r="F15" s="19"/>
      <c r="G15" s="2"/>
      <c r="H15" s="2">
        <f>--10014.68</f>
        <v>10014.68</v>
      </c>
      <c r="I15" s="2"/>
      <c r="J15" s="19"/>
      <c r="K15" s="2"/>
      <c r="L15" s="2">
        <f t="shared" si="0"/>
        <v>-10014.68</v>
      </c>
      <c r="M15" s="2"/>
      <c r="N15" s="19">
        <f t="shared" si="1"/>
        <v>-1</v>
      </c>
      <c r="O15" s="11"/>
      <c r="P15" s="2">
        <f t="shared" ref="P15:P16" si="5">0</f>
        <v>0</v>
      </c>
      <c r="Q15" s="2"/>
      <c r="R15" s="19"/>
      <c r="S15" s="2"/>
      <c r="T15" s="2">
        <f>--70515.29</f>
        <v>70515.289999999994</v>
      </c>
      <c r="U15" s="2"/>
      <c r="V15" s="19"/>
      <c r="W15" s="2"/>
      <c r="X15" s="2">
        <f t="shared" si="2"/>
        <v>-70515.289999999994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 t="shared" si="4"/>
        <v>0</v>
      </c>
      <c r="E16" s="2"/>
      <c r="F16" s="19"/>
      <c r="G16" s="2"/>
      <c r="H16" s="2">
        <f>--49116.37</f>
        <v>49116.37</v>
      </c>
      <c r="I16" s="2"/>
      <c r="J16" s="19"/>
      <c r="K16" s="2"/>
      <c r="L16" s="2">
        <f t="shared" si="0"/>
        <v>-49116.37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--235107.97</f>
        <v>235107.97</v>
      </c>
      <c r="U16" s="2"/>
      <c r="V16" s="19"/>
      <c r="W16" s="2"/>
      <c r="X16" s="2">
        <f t="shared" si="2"/>
        <v>-235107.97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"4058", " - ", "TAXABLE SALES-FOOD")</f>
        <v xml:space="preserve">          4058 - TAXABLE SALES-FOOD</v>
      </c>
      <c r="C17" s="11"/>
      <c r="D17" s="2">
        <f t="shared" si="4"/>
        <v>0</v>
      </c>
      <c r="E17" s="2"/>
      <c r="F17" s="19"/>
      <c r="G17" s="2"/>
      <c r="H17" s="2">
        <f>--14656.48</f>
        <v>14656.48</v>
      </c>
      <c r="I17" s="2"/>
      <c r="J17" s="19"/>
      <c r="K17" s="2"/>
      <c r="L17" s="2">
        <f t="shared" si="0"/>
        <v>-14656.48</v>
      </c>
      <c r="M17" s="2"/>
      <c r="N17" s="19">
        <f t="shared" si="1"/>
        <v>-1</v>
      </c>
      <c r="O17" s="11"/>
      <c r="P17" s="2">
        <f>--974.91</f>
        <v>974.91</v>
      </c>
      <c r="Q17" s="2"/>
      <c r="R17" s="19"/>
      <c r="S17" s="2"/>
      <c r="T17" s="2">
        <f>--78802.41</f>
        <v>78802.41</v>
      </c>
      <c r="U17" s="2"/>
      <c r="V17" s="19"/>
      <c r="W17" s="2"/>
      <c r="X17" s="2">
        <f t="shared" si="2"/>
        <v>-77827.5</v>
      </c>
      <c r="Y17" s="2"/>
      <c r="Z17" s="19">
        <f t="shared" si="3"/>
        <v>-0.98762842405454343</v>
      </c>
    </row>
    <row r="18" spans="1:26" s="24" customFormat="1" hidden="1" outlineLevel="1" x14ac:dyDescent="0.25">
      <c r="A18" s="44"/>
      <c r="B18" s="11" t="str">
        <f>CONCATENATE("          ", "4151", " - ", "NON-TAXABLE SALES-FOOD")</f>
        <v xml:space="preserve">          4151 - NON-TAXABLE SALES-FOOD</v>
      </c>
      <c r="C18" s="11"/>
      <c r="D18" s="2">
        <f>--4156.45</f>
        <v>4156.45</v>
      </c>
      <c r="E18" s="2"/>
      <c r="F18" s="19"/>
      <c r="G18" s="2"/>
      <c r="H18" s="2">
        <f>--183372.01</f>
        <v>183372.01</v>
      </c>
      <c r="I18" s="2"/>
      <c r="J18" s="19"/>
      <c r="K18" s="2"/>
      <c r="L18" s="2">
        <f t="shared" si="0"/>
        <v>-179215.56</v>
      </c>
      <c r="M18" s="2"/>
      <c r="N18" s="19">
        <f t="shared" si="1"/>
        <v>-0.97733323640832637</v>
      </c>
      <c r="O18" s="11"/>
      <c r="P18" s="2">
        <f>--18092.71</f>
        <v>18092.71</v>
      </c>
      <c r="Q18" s="2"/>
      <c r="R18" s="19"/>
      <c r="S18" s="2"/>
      <c r="T18" s="2">
        <f>--824397.09</f>
        <v>824397.09</v>
      </c>
      <c r="U18" s="2"/>
      <c r="V18" s="19"/>
      <c r="W18" s="2"/>
      <c r="X18" s="2">
        <f t="shared" si="2"/>
        <v>-806304.38</v>
      </c>
      <c r="Y18" s="2"/>
      <c r="Z18" s="19">
        <f t="shared" si="3"/>
        <v>-0.9780534038517773</v>
      </c>
    </row>
    <row r="19" spans="1:26" s="24" customFormat="1" hidden="1" outlineLevel="1" x14ac:dyDescent="0.25">
      <c r="A19" s="44"/>
      <c r="B19" s="11" t="str">
        <f>CONCATENATE("          ", "4152", " - ", "NON-TAXABLE SALES-FOOD")</f>
        <v xml:space="preserve">          4152 - NON-TAXABLE SALES-FOOD</v>
      </c>
      <c r="C19" s="11"/>
      <c r="D19" s="2">
        <f t="shared" ref="D19:D21" si="6">0</f>
        <v>0</v>
      </c>
      <c r="E19" s="2"/>
      <c r="F19" s="19"/>
      <c r="G19" s="2"/>
      <c r="H19" s="2">
        <f>--5402.66</f>
        <v>5402.66</v>
      </c>
      <c r="I19" s="2"/>
      <c r="J19" s="19"/>
      <c r="K19" s="2"/>
      <c r="L19" s="2">
        <f t="shared" si="0"/>
        <v>-5402.66</v>
      </c>
      <c r="M19" s="2"/>
      <c r="N19" s="19">
        <f t="shared" si="1"/>
        <v>-1</v>
      </c>
      <c r="O19" s="11"/>
      <c r="P19" s="2">
        <f t="shared" ref="P19:P21" si="7">0</f>
        <v>0</v>
      </c>
      <c r="Q19" s="2"/>
      <c r="R19" s="19"/>
      <c r="S19" s="2"/>
      <c r="T19" s="2">
        <f>--30341.45</f>
        <v>30341.45</v>
      </c>
      <c r="U19" s="2"/>
      <c r="V19" s="19"/>
      <c r="W19" s="2"/>
      <c r="X19" s="2">
        <f t="shared" si="2"/>
        <v>-30341.45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"4155", " - ", "NON-TAXABLE SALES-FOOD")</f>
        <v xml:space="preserve">          4155 - NON-TAXABLE SALES-FOOD</v>
      </c>
      <c r="C20" s="11"/>
      <c r="D20" s="2">
        <f t="shared" si="6"/>
        <v>0</v>
      </c>
      <c r="E20" s="2"/>
      <c r="F20" s="19"/>
      <c r="G20" s="2"/>
      <c r="H20" s="2">
        <f>--89218.16</f>
        <v>89218.16</v>
      </c>
      <c r="I20" s="2"/>
      <c r="J20" s="19"/>
      <c r="K20" s="2"/>
      <c r="L20" s="2">
        <f t="shared" si="0"/>
        <v>-89218.16</v>
      </c>
      <c r="M20" s="2"/>
      <c r="N20" s="19">
        <f t="shared" si="1"/>
        <v>-1</v>
      </c>
      <c r="O20" s="11"/>
      <c r="P20" s="2">
        <f t="shared" si="7"/>
        <v>0</v>
      </c>
      <c r="Q20" s="2"/>
      <c r="R20" s="19"/>
      <c r="S20" s="2"/>
      <c r="T20" s="2">
        <f>--421465.19</f>
        <v>421465.19</v>
      </c>
      <c r="U20" s="2"/>
      <c r="V20" s="19"/>
      <c r="W20" s="2"/>
      <c r="X20" s="2">
        <f t="shared" si="2"/>
        <v>-421465.19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"4158", " - ", "NON-TAXABLE SALES-FOOD")</f>
        <v xml:space="preserve">          4158 - NON-TAXABLE SALES-FOOD</v>
      </c>
      <c r="C21" s="11"/>
      <c r="D21" s="2">
        <f t="shared" si="6"/>
        <v>0</v>
      </c>
      <c r="E21" s="2"/>
      <c r="F21" s="19"/>
      <c r="G21" s="2"/>
      <c r="H21" s="2">
        <f>--65166.99</f>
        <v>65166.99</v>
      </c>
      <c r="I21" s="2"/>
      <c r="J21" s="19"/>
      <c r="K21" s="2"/>
      <c r="L21" s="2">
        <f t="shared" si="0"/>
        <v>-65166.99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>--272887.26</f>
        <v>272887.26</v>
      </c>
      <c r="U21" s="2"/>
      <c r="V21" s="19"/>
      <c r="W21" s="2"/>
      <c r="X21" s="2">
        <f t="shared" si="2"/>
        <v>-272887.26</v>
      </c>
      <c r="Y21" s="2"/>
      <c r="Z21" s="19">
        <f t="shared" si="3"/>
        <v>-1</v>
      </c>
    </row>
    <row r="22" spans="1:26" x14ac:dyDescent="0.2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25">
      <c r="A23" s="10"/>
      <c r="B23" s="29" t="s">
        <v>8</v>
      </c>
      <c r="C23" s="10"/>
      <c r="D23" s="4">
        <f>SUM(OSRRefD16x_0)</f>
        <v>2843.9300000000003</v>
      </c>
      <c r="E23" s="4"/>
      <c r="F23" s="12">
        <f t="shared" ref="F23:F25" si="8">IF(D$12=0,0,D23/D$12)</f>
        <v>4.4331403165533391E-2</v>
      </c>
      <c r="G23" s="4"/>
      <c r="H23" s="4">
        <f>SUM(OSRRefH16x_0)</f>
        <v>189266.8</v>
      </c>
      <c r="I23" s="4"/>
      <c r="J23" s="12">
        <f t="shared" ref="J23:J25" si="9">IF(H$12=0,0,H23/H$12)</f>
        <v>0.3383624396932543</v>
      </c>
      <c r="K23" s="4"/>
      <c r="L23" s="4">
        <f t="shared" ref="L23:L25" si="10">+D23-H23</f>
        <v>-186422.87</v>
      </c>
      <c r="M23" s="4"/>
      <c r="N23" s="12">
        <f t="shared" ref="N23:N25" si="11">IF(H23=0,0,L23/H23)</f>
        <v>-0.98497396268125215</v>
      </c>
      <c r="O23" s="10"/>
      <c r="P23" s="4">
        <f>SUM(OSRRefP16x_0)</f>
        <v>14656.4</v>
      </c>
      <c r="Q23" s="4"/>
      <c r="R23" s="12">
        <f t="shared" ref="R23:R25" si="12">IF(P$12=0,0,P23/P$12)</f>
        <v>0.12009112451993745</v>
      </c>
      <c r="S23" s="4"/>
      <c r="T23" s="4">
        <f>SUM(OSRRefT16x_0)</f>
        <v>874671.59000000008</v>
      </c>
      <c r="U23" s="4"/>
      <c r="V23" s="12">
        <f t="shared" ref="V23:V25" si="13">IF(T$12=0,0,T23/T$12)</f>
        <v>0.32754702427849758</v>
      </c>
      <c r="W23" s="4"/>
      <c r="X23" s="4">
        <f t="shared" ref="X23:X25" si="14">+P23-T23</f>
        <v>-860015.19000000006</v>
      </c>
      <c r="Y23" s="4"/>
      <c r="Z23" s="12">
        <f t="shared" ref="Z23:Z25" si="15">IF(T23=0,0,X23/T23)</f>
        <v>-0.98324353944090026</v>
      </c>
    </row>
    <row r="24" spans="1:26" s="24" customFormat="1" hidden="1" outlineLevel="1" x14ac:dyDescent="0.25">
      <c r="A24" s="44"/>
      <c r="B24" s="11" t="str">
        <f>CONCATENATE("          ", "5053", " - ", "PURCHASES @ COST-FOOD")</f>
        <v xml:space="preserve">          5053 - PURCHASES @ COST-FOOD</v>
      </c>
      <c r="C24" s="11"/>
      <c r="D24" s="2">
        <v>1847.93</v>
      </c>
      <c r="E24" s="2"/>
      <c r="F24" s="19">
        <f t="shared" si="8"/>
        <v>2.8805677302776129E-2</v>
      </c>
      <c r="G24" s="2"/>
      <c r="H24" s="2">
        <v>181470.34</v>
      </c>
      <c r="I24" s="2"/>
      <c r="J24" s="19">
        <f t="shared" si="9"/>
        <v>0.32442428875198587</v>
      </c>
      <c r="K24" s="2"/>
      <c r="L24" s="2">
        <f t="shared" si="10"/>
        <v>-179622.41</v>
      </c>
      <c r="M24" s="2"/>
      <c r="N24" s="19">
        <f t="shared" si="11"/>
        <v>-0.98981690341242545</v>
      </c>
      <c r="O24" s="11"/>
      <c r="P24" s="2">
        <v>11477.34</v>
      </c>
      <c r="Q24" s="2"/>
      <c r="R24" s="19">
        <f t="shared" si="12"/>
        <v>9.404264806484941E-2</v>
      </c>
      <c r="S24" s="2"/>
      <c r="T24" s="2">
        <v>906527.28</v>
      </c>
      <c r="U24" s="2"/>
      <c r="V24" s="19">
        <f t="shared" si="13"/>
        <v>0.33947634333393673</v>
      </c>
      <c r="W24" s="2"/>
      <c r="X24" s="2">
        <f t="shared" si="14"/>
        <v>-895049.94000000006</v>
      </c>
      <c r="Y24" s="2"/>
      <c r="Z24" s="19">
        <f t="shared" si="15"/>
        <v>-0.9873392227093265</v>
      </c>
    </row>
    <row r="25" spans="1:26" s="24" customFormat="1" hidden="1" outlineLevel="1" x14ac:dyDescent="0.25">
      <c r="A25" s="44"/>
      <c r="B25" s="11" t="str">
        <f>CONCATENATE("          ", "5059", " - ", "PURCHASES @ COST-FOOD")</f>
        <v xml:space="preserve">          5059 - PURCHASES @ COST-FOOD</v>
      </c>
      <c r="C25" s="11"/>
      <c r="D25" s="2">
        <v>996</v>
      </c>
      <c r="E25" s="2"/>
      <c r="F25" s="19">
        <f t="shared" si="8"/>
        <v>1.552572586275726E-2</v>
      </c>
      <c r="G25" s="2"/>
      <c r="H25" s="2">
        <v>7796.46</v>
      </c>
      <c r="I25" s="2"/>
      <c r="J25" s="19">
        <f t="shared" si="9"/>
        <v>1.3938150941268462E-2</v>
      </c>
      <c r="K25" s="2"/>
      <c r="L25" s="2">
        <f t="shared" si="10"/>
        <v>-6800.46</v>
      </c>
      <c r="M25" s="2"/>
      <c r="N25" s="19">
        <f t="shared" si="11"/>
        <v>-0.87224971333143508</v>
      </c>
      <c r="O25" s="11"/>
      <c r="P25" s="2">
        <v>3179.06</v>
      </c>
      <c r="Q25" s="2"/>
      <c r="R25" s="19">
        <f t="shared" si="12"/>
        <v>2.6048476455088041E-2</v>
      </c>
      <c r="S25" s="2"/>
      <c r="T25" s="2">
        <v>-31855.69</v>
      </c>
      <c r="U25" s="2"/>
      <c r="V25" s="19">
        <f t="shared" si="13"/>
        <v>-1.1929319055439187E-2</v>
      </c>
      <c r="W25" s="2"/>
      <c r="X25" s="2">
        <f t="shared" si="14"/>
        <v>35034.75</v>
      </c>
      <c r="Y25" s="2"/>
      <c r="Z25" s="19">
        <f t="shared" si="15"/>
        <v>-1.099795672295907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6</v>
      </c>
      <c r="C27" s="28"/>
      <c r="D27" s="20">
        <f>D12-D23</f>
        <v>61307.659999999996</v>
      </c>
      <c r="E27" s="14"/>
      <c r="F27" s="22">
        <f>IF(D$12=0,0,D27/D$12)</f>
        <v>0.95566859683446659</v>
      </c>
      <c r="G27" s="14"/>
      <c r="H27" s="20">
        <f>H12-H23</f>
        <v>370094.34</v>
      </c>
      <c r="I27" s="14"/>
      <c r="J27" s="22">
        <f>IF(H$12=0,0,H27/H$12)</f>
        <v>0.6616375603067457</v>
      </c>
      <c r="K27" s="15"/>
      <c r="L27" s="20">
        <f>+D27-H27</f>
        <v>-308786.68000000005</v>
      </c>
      <c r="M27" s="15"/>
      <c r="N27" s="22">
        <f>IF(H27=0,0,L27/H27)</f>
        <v>-0.83434585895045044</v>
      </c>
      <c r="O27" s="29"/>
      <c r="P27" s="20">
        <f>P12-P23</f>
        <v>107387.59</v>
      </c>
      <c r="Q27" s="14"/>
      <c r="R27" s="22">
        <f>IF(P$12=0,0,P27/P$12)</f>
        <v>0.87990887548006258</v>
      </c>
      <c r="S27" s="14"/>
      <c r="T27" s="20">
        <f>T12-T23</f>
        <v>1795697.9300000004</v>
      </c>
      <c r="U27" s="14"/>
      <c r="V27" s="22">
        <f>IF(T$12=0,0,T27/T$12)</f>
        <v>0.67245297572150242</v>
      </c>
      <c r="W27" s="15"/>
      <c r="X27" s="20">
        <f>+P27-T27</f>
        <v>-1688310.3400000003</v>
      </c>
      <c r="Y27" s="15"/>
      <c r="Z27" s="22">
        <f>IF(T27=0,0,X27/T27)</f>
        <v>-0.94019729699192778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9" t="s">
        <v>9</v>
      </c>
      <c r="C29" s="10"/>
      <c r="D29" s="21">
        <f>SUM(OSRRefD22x_0)</f>
        <v>111877.00000000001</v>
      </c>
      <c r="E29" s="21"/>
      <c r="F29" s="35">
        <f t="shared" ref="F29:F39" si="16">IF(D$12=0,0,D29/D$12)</f>
        <v>1.7439474220358375</v>
      </c>
      <c r="G29" s="21"/>
      <c r="H29" s="21">
        <f>SUM(OSRRefH22x_0)</f>
        <v>463317.77000000025</v>
      </c>
      <c r="I29" s="21"/>
      <c r="J29" s="35">
        <f t="shared" ref="J29:J39" si="17">IF(H$12=0,0,H29/H$12)</f>
        <v>0.82829810093708023</v>
      </c>
      <c r="K29" s="4"/>
      <c r="L29" s="21">
        <f t="shared" ref="L29:L39" si="18">+D29-H29</f>
        <v>-351440.77000000025</v>
      </c>
      <c r="M29" s="4"/>
      <c r="N29" s="35">
        <f t="shared" ref="N29:N39" si="19">IF(H29=0,0,L29/H29)</f>
        <v>-0.75853073798572423</v>
      </c>
      <c r="O29" s="10"/>
      <c r="P29" s="21">
        <f>SUM(OSRRefP22x_0)</f>
        <v>559233.03</v>
      </c>
      <c r="Q29" s="21"/>
      <c r="R29" s="35">
        <f t="shared" ref="R29:R39" si="20">IF(P$12=0,0,P29/P$12)</f>
        <v>4.5822250649130698</v>
      </c>
      <c r="S29" s="21"/>
      <c r="T29" s="21">
        <f>SUM(OSRRefT22x_0)</f>
        <v>2393156.9799999995</v>
      </c>
      <c r="U29" s="21"/>
      <c r="V29" s="35">
        <f t="shared" ref="V29:V39" si="21">IF(T$12=0,0,T29/T$12)</f>
        <v>0.89618944572135439</v>
      </c>
      <c r="W29" s="4"/>
      <c r="X29" s="21">
        <f t="shared" ref="X29:X39" si="22">+P29-T29</f>
        <v>-1833923.9499999995</v>
      </c>
      <c r="Y29" s="4"/>
      <c r="Z29" s="35">
        <f t="shared" ref="Z29:Z39" si="23">IF(T29=0,0,X29/T29)</f>
        <v>-0.76631995532528752</v>
      </c>
    </row>
    <row r="30" spans="1:26" s="26" customFormat="1" outlineLevel="1" collapsed="1" x14ac:dyDescent="0.25">
      <c r="A30" s="27"/>
      <c r="B30" s="13" t="str">
        <f>CONCATENATE("     ","*Benefits                                         ")</f>
        <v xml:space="preserve">     *Benefits                                         </v>
      </c>
      <c r="C30" s="13"/>
      <c r="D30" s="1">
        <f>SUM(OSRRefD22_0x_0)</f>
        <v>20748.71</v>
      </c>
      <c r="E30" s="1"/>
      <c r="F30" s="5">
        <f t="shared" si="16"/>
        <v>0.32343251351992991</v>
      </c>
      <c r="G30" s="1"/>
      <c r="H30" s="1">
        <f>SUM(OSRRefH22_0x_0)</f>
        <v>64696.899999999994</v>
      </c>
      <c r="I30" s="1"/>
      <c r="J30" s="5">
        <f t="shared" si="17"/>
        <v>0.11566212840598829</v>
      </c>
      <c r="K30" s="1"/>
      <c r="L30" s="1">
        <f t="shared" si="18"/>
        <v>-43948.189999999995</v>
      </c>
      <c r="M30" s="1"/>
      <c r="N30" s="5">
        <f t="shared" si="19"/>
        <v>-0.67929359830223701</v>
      </c>
      <c r="O30" s="13"/>
      <c r="P30" s="1">
        <f>SUM(OSRRefP22_0x_0)</f>
        <v>112841.71</v>
      </c>
      <c r="Q30" s="1"/>
      <c r="R30" s="5">
        <f t="shared" si="20"/>
        <v>0.92459866315416284</v>
      </c>
      <c r="S30" s="1"/>
      <c r="T30" s="1">
        <f>SUM(OSRRefT22_0x_0)</f>
        <v>340693.22</v>
      </c>
      <c r="U30" s="1"/>
      <c r="V30" s="5">
        <f t="shared" si="21"/>
        <v>0.12758279985161003</v>
      </c>
      <c r="W30" s="1"/>
      <c r="X30" s="1">
        <f t="shared" si="22"/>
        <v>-227851.50999999995</v>
      </c>
      <c r="Y30" s="1"/>
      <c r="Z30" s="5">
        <f t="shared" si="23"/>
        <v>-0.66878792011182364</v>
      </c>
    </row>
    <row r="31" spans="1:26" s="24" customFormat="1" hidden="1" outlineLevel="2" x14ac:dyDescent="0.25">
      <c r="A31" s="25"/>
      <c r="B31" s="11" t="str">
        <f>CONCATENATE("          ", "6111", " - ", "F.I.C.A.")</f>
        <v xml:space="preserve">          6111 - F.I.C.A.</v>
      </c>
      <c r="C31" s="11"/>
      <c r="D31" s="6">
        <v>1721.11</v>
      </c>
      <c r="E31" s="2"/>
      <c r="F31" s="7">
        <f t="shared" si="16"/>
        <v>2.6828797228564405E-2</v>
      </c>
      <c r="G31" s="2"/>
      <c r="H31" s="6">
        <v>11324.56</v>
      </c>
      <c r="I31" s="2"/>
      <c r="J31" s="7">
        <f t="shared" si="17"/>
        <v>2.0245525100295668E-2</v>
      </c>
      <c r="K31" s="2"/>
      <c r="L31" s="6">
        <f t="shared" si="18"/>
        <v>-9603.4499999999989</v>
      </c>
      <c r="M31" s="2"/>
      <c r="N31" s="7">
        <f t="shared" si="19"/>
        <v>-0.84801970231072987</v>
      </c>
      <c r="O31" s="11"/>
      <c r="P31" s="6">
        <v>14068.9</v>
      </c>
      <c r="Q31" s="2"/>
      <c r="R31" s="7">
        <f t="shared" si="20"/>
        <v>0.11527728649317349</v>
      </c>
      <c r="S31" s="2"/>
      <c r="T31" s="6">
        <v>69326.38</v>
      </c>
      <c r="U31" s="2"/>
      <c r="V31" s="7">
        <f t="shared" si="21"/>
        <v>2.5961343357454137E-2</v>
      </c>
      <c r="W31" s="2"/>
      <c r="X31" s="6">
        <f t="shared" si="22"/>
        <v>-55257.48</v>
      </c>
      <c r="Y31" s="2"/>
      <c r="Z31" s="7">
        <f t="shared" si="23"/>
        <v>-0.79706282081943414</v>
      </c>
    </row>
    <row r="32" spans="1:26" s="24" customFormat="1" hidden="1" outlineLevel="2" x14ac:dyDescent="0.25">
      <c r="A32" s="25"/>
      <c r="B32" s="11" t="str">
        <f>CONCATENATE("          ", "6112", " - ", "COMPENSATION INSURANCE")</f>
        <v xml:space="preserve">          6112 - COMPENSATION INSURANCE</v>
      </c>
      <c r="C32" s="11"/>
      <c r="D32" s="6">
        <v>1146.3</v>
      </c>
      <c r="E32" s="2"/>
      <c r="F32" s="7">
        <f t="shared" si="16"/>
        <v>1.7868614012528761E-2</v>
      </c>
      <c r="G32" s="2"/>
      <c r="H32" s="6">
        <v>9079.14</v>
      </c>
      <c r="I32" s="2"/>
      <c r="J32" s="7">
        <f t="shared" si="17"/>
        <v>1.6231266977180431E-2</v>
      </c>
      <c r="K32" s="2"/>
      <c r="L32" s="6">
        <f t="shared" si="18"/>
        <v>-7932.8399999999992</v>
      </c>
      <c r="M32" s="2"/>
      <c r="N32" s="7">
        <f t="shared" si="19"/>
        <v>-0.8737435483977557</v>
      </c>
      <c r="O32" s="11"/>
      <c r="P32" s="6">
        <v>3810.4</v>
      </c>
      <c r="Q32" s="2"/>
      <c r="R32" s="7">
        <f t="shared" si="20"/>
        <v>3.1221529220734266E-2</v>
      </c>
      <c r="S32" s="2"/>
      <c r="T32" s="6">
        <v>27196.69</v>
      </c>
      <c r="U32" s="2"/>
      <c r="V32" s="7">
        <f t="shared" si="21"/>
        <v>1.0184616696793332E-2</v>
      </c>
      <c r="W32" s="2"/>
      <c r="X32" s="6">
        <f t="shared" si="22"/>
        <v>-23386.289999999997</v>
      </c>
      <c r="Y32" s="2"/>
      <c r="Z32" s="7">
        <f t="shared" si="23"/>
        <v>-0.85989471512893656</v>
      </c>
    </row>
    <row r="33" spans="1:26" s="24" customFormat="1" hidden="1" outlineLevel="2" x14ac:dyDescent="0.25">
      <c r="A33" s="25"/>
      <c r="B33" s="11" t="str">
        <f>CONCATENATE("          ", "6113", " - ", "GROUP INSURANCE")</f>
        <v xml:space="preserve">          6113 - GROUP INSURANCE</v>
      </c>
      <c r="C33" s="11"/>
      <c r="D33" s="6">
        <v>8662.99</v>
      </c>
      <c r="E33" s="2"/>
      <c r="F33" s="7">
        <f t="shared" si="16"/>
        <v>0.13503936535322039</v>
      </c>
      <c r="G33" s="2"/>
      <c r="H33" s="6">
        <v>23214.5</v>
      </c>
      <c r="I33" s="2"/>
      <c r="J33" s="7">
        <f t="shared" si="17"/>
        <v>4.150181044038919E-2</v>
      </c>
      <c r="K33" s="2"/>
      <c r="L33" s="6">
        <f t="shared" si="18"/>
        <v>-14551.51</v>
      </c>
      <c r="M33" s="2"/>
      <c r="N33" s="7">
        <f t="shared" si="19"/>
        <v>-0.62682849081393099</v>
      </c>
      <c r="O33" s="11"/>
      <c r="P33" s="6">
        <v>52268.86</v>
      </c>
      <c r="Q33" s="2"/>
      <c r="R33" s="7">
        <f t="shared" si="20"/>
        <v>0.42827885256783232</v>
      </c>
      <c r="S33" s="2"/>
      <c r="T33" s="6">
        <v>105775.6</v>
      </c>
      <c r="U33" s="2"/>
      <c r="V33" s="7">
        <f t="shared" si="21"/>
        <v>3.961084756539611E-2</v>
      </c>
      <c r="W33" s="2"/>
      <c r="X33" s="6">
        <f t="shared" si="22"/>
        <v>-53506.740000000005</v>
      </c>
      <c r="Y33" s="2"/>
      <c r="Z33" s="7">
        <f t="shared" si="23"/>
        <v>-0.50585144400031767</v>
      </c>
    </row>
    <row r="34" spans="1:26" s="24" customFormat="1" hidden="1" outlineLevel="2" x14ac:dyDescent="0.25">
      <c r="A34" s="25"/>
      <c r="B34" s="11" t="str">
        <f>CONCATENATE("          ", "6114", " - ", "STATE UNEMPLOYMENT INSURANCE")</f>
        <v xml:space="preserve">          6114 - STATE UNEMPLOYMENT INSURANCE</v>
      </c>
      <c r="C34" s="11"/>
      <c r="D34" s="6">
        <v>169.23</v>
      </c>
      <c r="E34" s="2"/>
      <c r="F34" s="7">
        <f t="shared" si="16"/>
        <v>2.6379704696329427E-3</v>
      </c>
      <c r="G34" s="2"/>
      <c r="H34" s="6">
        <v>648.67999999999995</v>
      </c>
      <c r="I34" s="2"/>
      <c r="J34" s="7">
        <f t="shared" si="17"/>
        <v>1.1596801308006487E-3</v>
      </c>
      <c r="K34" s="2"/>
      <c r="L34" s="6">
        <f t="shared" si="18"/>
        <v>-479.44999999999993</v>
      </c>
      <c r="M34" s="2"/>
      <c r="N34" s="7">
        <f t="shared" si="19"/>
        <v>-0.73911635937596343</v>
      </c>
      <c r="O34" s="11"/>
      <c r="P34" s="6">
        <v>508.27</v>
      </c>
      <c r="Q34" s="2"/>
      <c r="R34" s="7">
        <f t="shared" si="20"/>
        <v>4.1646458789162824E-3</v>
      </c>
      <c r="S34" s="2"/>
      <c r="T34" s="6">
        <v>2900.1</v>
      </c>
      <c r="U34" s="2"/>
      <c r="V34" s="7">
        <f t="shared" si="21"/>
        <v>1.086029472055987E-3</v>
      </c>
      <c r="W34" s="2"/>
      <c r="X34" s="6">
        <f t="shared" si="22"/>
        <v>-2391.83</v>
      </c>
      <c r="Y34" s="2"/>
      <c r="Z34" s="7">
        <f t="shared" si="23"/>
        <v>-0.82474052618875215</v>
      </c>
    </row>
    <row r="35" spans="1:26" s="24" customFormat="1" hidden="1" outlineLevel="2" x14ac:dyDescent="0.25">
      <c r="A35" s="25"/>
      <c r="B35" s="11" t="str">
        <f>CONCATENATE("          ", "6115", " - ", "P.E.R.S.")</f>
        <v xml:space="preserve">          6115 - P.E.R.S.</v>
      </c>
      <c r="C35" s="11"/>
      <c r="D35" s="6">
        <v>4708.12</v>
      </c>
      <c r="E35" s="2"/>
      <c r="F35" s="7">
        <f t="shared" si="16"/>
        <v>7.3390542619442486E-2</v>
      </c>
      <c r="G35" s="2"/>
      <c r="H35" s="6">
        <v>6762.88</v>
      </c>
      <c r="I35" s="2"/>
      <c r="J35" s="7">
        <f t="shared" si="17"/>
        <v>1.2090364375330042E-2</v>
      </c>
      <c r="K35" s="2"/>
      <c r="L35" s="6">
        <f t="shared" si="18"/>
        <v>-2054.7600000000002</v>
      </c>
      <c r="M35" s="2"/>
      <c r="N35" s="7">
        <f t="shared" si="19"/>
        <v>-0.30382913788208576</v>
      </c>
      <c r="O35" s="11"/>
      <c r="P35" s="6">
        <v>17515.929999999997</v>
      </c>
      <c r="Q35" s="2"/>
      <c r="R35" s="7">
        <f t="shared" si="20"/>
        <v>0.14352144665214567</v>
      </c>
      <c r="S35" s="2"/>
      <c r="T35" s="6">
        <v>35546</v>
      </c>
      <c r="U35" s="2"/>
      <c r="V35" s="7">
        <f t="shared" si="21"/>
        <v>1.3311266374849872E-2</v>
      </c>
      <c r="W35" s="2"/>
      <c r="X35" s="6">
        <f t="shared" si="22"/>
        <v>-18030.070000000003</v>
      </c>
      <c r="Y35" s="2"/>
      <c r="Z35" s="7">
        <f t="shared" si="23"/>
        <v>-0.50723203736004063</v>
      </c>
    </row>
    <row r="36" spans="1:26" s="24" customFormat="1" hidden="1" outlineLevel="2" x14ac:dyDescent="0.25">
      <c r="A36" s="25"/>
      <c r="B36" s="11" t="str">
        <f>CONCATENATE("          ", "6117", " - ", "RETIREMENT STAFF HOURLY")</f>
        <v xml:space="preserve">          6117 - RETIREMENT STAFF HOURLY</v>
      </c>
      <c r="C36" s="11"/>
      <c r="D36" s="6"/>
      <c r="E36" s="2"/>
      <c r="F36" s="7">
        <f t="shared" si="16"/>
        <v>0</v>
      </c>
      <c r="G36" s="2"/>
      <c r="H36" s="6">
        <v>56</v>
      </c>
      <c r="I36" s="2"/>
      <c r="J36" s="7">
        <f t="shared" si="17"/>
        <v>1.0011421243885479E-4</v>
      </c>
      <c r="K36" s="2"/>
      <c r="L36" s="6">
        <f t="shared" si="18"/>
        <v>-56</v>
      </c>
      <c r="M36" s="2"/>
      <c r="N36" s="7">
        <f t="shared" si="19"/>
        <v>-1</v>
      </c>
      <c r="O36" s="11"/>
      <c r="P36" s="6"/>
      <c r="Q36" s="2"/>
      <c r="R36" s="7">
        <f t="shared" si="20"/>
        <v>0</v>
      </c>
      <c r="S36" s="2"/>
      <c r="T36" s="6">
        <v>308</v>
      </c>
      <c r="U36" s="2"/>
      <c r="V36" s="7">
        <f t="shared" si="21"/>
        <v>1.1533984255482363E-4</v>
      </c>
      <c r="W36" s="2"/>
      <c r="X36" s="6">
        <f t="shared" si="22"/>
        <v>-308</v>
      </c>
      <c r="Y36" s="2"/>
      <c r="Z36" s="7">
        <f t="shared" si="23"/>
        <v>-1</v>
      </c>
    </row>
    <row r="37" spans="1:26" s="24" customFormat="1" hidden="1" outlineLevel="2" x14ac:dyDescent="0.25">
      <c r="A37" s="25"/>
      <c r="B37" s="11" t="str">
        <f>CONCATENATE("          ", "6118", " - ", "VACATION")</f>
        <v xml:space="preserve">          6118 - VACATION</v>
      </c>
      <c r="C37" s="11"/>
      <c r="D37" s="6">
        <v>2400.38</v>
      </c>
      <c r="E37" s="2"/>
      <c r="F37" s="7">
        <f t="shared" si="16"/>
        <v>3.7417311090808508E-2</v>
      </c>
      <c r="G37" s="2"/>
      <c r="H37" s="6">
        <v>6170.88</v>
      </c>
      <c r="I37" s="2"/>
      <c r="J37" s="7">
        <f t="shared" si="17"/>
        <v>1.1032014129547862E-2</v>
      </c>
      <c r="K37" s="2"/>
      <c r="L37" s="6">
        <f t="shared" si="18"/>
        <v>-3770.5</v>
      </c>
      <c r="M37" s="2"/>
      <c r="N37" s="7">
        <f t="shared" si="19"/>
        <v>-0.61101496058908944</v>
      </c>
      <c r="O37" s="11"/>
      <c r="P37" s="6">
        <v>13684.92</v>
      </c>
      <c r="Q37" s="2"/>
      <c r="R37" s="7">
        <f t="shared" si="20"/>
        <v>0.11213104389654911</v>
      </c>
      <c r="S37" s="2"/>
      <c r="T37" s="6">
        <v>38912.720000000001</v>
      </c>
      <c r="U37" s="2"/>
      <c r="V37" s="7">
        <f t="shared" si="21"/>
        <v>1.4572035708376417E-2</v>
      </c>
      <c r="W37" s="2"/>
      <c r="X37" s="6">
        <f t="shared" si="22"/>
        <v>-25227.800000000003</v>
      </c>
      <c r="Y37" s="2"/>
      <c r="Z37" s="7">
        <f t="shared" si="23"/>
        <v>-0.64831756813710273</v>
      </c>
    </row>
    <row r="38" spans="1:26" s="24" customFormat="1" hidden="1" outlineLevel="2" x14ac:dyDescent="0.25">
      <c r="A38" s="25"/>
      <c r="B38" s="11" t="str">
        <f>CONCATENATE("          ", "6119", " - ", "SICK LEAVE")</f>
        <v xml:space="preserve">          6119 - SICK LEAVE</v>
      </c>
      <c r="C38" s="11"/>
      <c r="D38" s="6">
        <v>1368.1</v>
      </c>
      <c r="E38" s="2"/>
      <c r="F38" s="7">
        <f t="shared" si="16"/>
        <v>2.1326049751845589E-2</v>
      </c>
      <c r="G38" s="2"/>
      <c r="H38" s="6">
        <v>4702.12</v>
      </c>
      <c r="I38" s="2"/>
      <c r="J38" s="7">
        <f t="shared" si="17"/>
        <v>8.4062328677319276E-3</v>
      </c>
      <c r="K38" s="2"/>
      <c r="L38" s="6">
        <f t="shared" si="18"/>
        <v>-3334.02</v>
      </c>
      <c r="M38" s="2"/>
      <c r="N38" s="7">
        <f t="shared" si="19"/>
        <v>-0.70904613238284009</v>
      </c>
      <c r="O38" s="11"/>
      <c r="P38" s="6">
        <v>7991.46</v>
      </c>
      <c r="Q38" s="2"/>
      <c r="R38" s="7">
        <f t="shared" si="20"/>
        <v>6.5480160063596748E-2</v>
      </c>
      <c r="S38" s="2"/>
      <c r="T38" s="6">
        <v>47914.12</v>
      </c>
      <c r="U38" s="2"/>
      <c r="V38" s="7">
        <f t="shared" si="21"/>
        <v>1.7942880055041969E-2</v>
      </c>
      <c r="W38" s="2"/>
      <c r="X38" s="6">
        <f t="shared" si="22"/>
        <v>-39922.660000000003</v>
      </c>
      <c r="Y38" s="2"/>
      <c r="Z38" s="7">
        <f t="shared" si="23"/>
        <v>-0.83321283997285145</v>
      </c>
    </row>
    <row r="39" spans="1:26" s="24" customFormat="1" hidden="1" outlineLevel="2" x14ac:dyDescent="0.25">
      <c r="A39" s="25"/>
      <c r="B39" s="11" t="str">
        <f>CONCATENATE("          ", "6156", " - ", "EMPLOYEE MEALS")</f>
        <v xml:space="preserve">          6156 - EMPLOYEE MEALS</v>
      </c>
      <c r="C39" s="11"/>
      <c r="D39" s="6">
        <v>572.48</v>
      </c>
      <c r="E39" s="2"/>
      <c r="F39" s="7">
        <f t="shared" si="16"/>
        <v>8.9238629938868247E-3</v>
      </c>
      <c r="G39" s="2"/>
      <c r="H39" s="6">
        <v>2738.14</v>
      </c>
      <c r="I39" s="2"/>
      <c r="J39" s="7">
        <f t="shared" si="17"/>
        <v>4.8951201722736764E-3</v>
      </c>
      <c r="K39" s="2"/>
      <c r="L39" s="6">
        <f t="shared" si="18"/>
        <v>-2165.66</v>
      </c>
      <c r="M39" s="2"/>
      <c r="N39" s="7">
        <f t="shared" si="19"/>
        <v>-0.79092376576800305</v>
      </c>
      <c r="O39" s="11"/>
      <c r="P39" s="6">
        <v>2992.97</v>
      </c>
      <c r="Q39" s="2"/>
      <c r="R39" s="7">
        <f t="shared" si="20"/>
        <v>2.4523698381214841E-2</v>
      </c>
      <c r="S39" s="2"/>
      <c r="T39" s="6">
        <v>12813.61</v>
      </c>
      <c r="U39" s="2"/>
      <c r="V39" s="7">
        <f t="shared" si="21"/>
        <v>4.7984407790873816E-3</v>
      </c>
      <c r="W39" s="2"/>
      <c r="X39" s="6">
        <f t="shared" si="22"/>
        <v>-9820.6400000000012</v>
      </c>
      <c r="Y39" s="2"/>
      <c r="Z39" s="7">
        <f t="shared" si="23"/>
        <v>-0.76642257724403984</v>
      </c>
    </row>
    <row r="40" spans="1:26" s="26" customFormat="1" outlineLevel="1" collapsed="1" x14ac:dyDescent="0.25">
      <c r="A40" s="27"/>
      <c r="B40" s="13" t="str">
        <f>CONCATENATE("     ","*Payroll                                          ")</f>
        <v xml:space="preserve">     *Payroll                                          </v>
      </c>
      <c r="C40" s="13"/>
      <c r="D40" s="1">
        <f>SUM(OSRRefD22_1x_0)</f>
        <v>25527.65</v>
      </c>
      <c r="E40" s="1"/>
      <c r="F40" s="5">
        <f t="shared" ref="F40:F47" si="24">IF(D$12=0,0,D40/D$12)</f>
        <v>0.39792700383575846</v>
      </c>
      <c r="G40" s="1"/>
      <c r="H40" s="1">
        <f>SUM(OSRRefH22_1x_0)</f>
        <v>214322.08</v>
      </c>
      <c r="I40" s="1"/>
      <c r="J40" s="5">
        <f t="shared" ref="J40:J47" si="25">IF(H$12=0,0,H40/H$12)</f>
        <v>0.38315511156173626</v>
      </c>
      <c r="K40" s="1"/>
      <c r="L40" s="1">
        <f t="shared" ref="L40:L47" si="26">+D40-H40</f>
        <v>-188794.43</v>
      </c>
      <c r="M40" s="1"/>
      <c r="N40" s="5">
        <f t="shared" ref="N40:N47" si="27">IF(H40=0,0,L40/H40)</f>
        <v>-0.88089118022744084</v>
      </c>
      <c r="O40" s="13"/>
      <c r="P40" s="1">
        <f>SUM(OSRRefP22_1x_0)</f>
        <v>154473.17000000001</v>
      </c>
      <c r="Q40" s="1"/>
      <c r="R40" s="5">
        <f t="shared" ref="R40:R47" si="28">IF(P$12=0,0,P40/P$12)</f>
        <v>1.2657171401885503</v>
      </c>
      <c r="S40" s="1"/>
      <c r="T40" s="1">
        <f>SUM(OSRRefT22_1x_0)</f>
        <v>1103067.8400000001</v>
      </c>
      <c r="U40" s="1"/>
      <c r="V40" s="5">
        <f t="shared" ref="V40:V47" si="29">IF(T$12=0,0,T40/T$12)</f>
        <v>0.41307685387301751</v>
      </c>
      <c r="W40" s="1"/>
      <c r="X40" s="1">
        <f t="shared" ref="X40:X47" si="30">+P40-T40</f>
        <v>-948594.67</v>
      </c>
      <c r="Y40" s="1"/>
      <c r="Z40" s="5">
        <f t="shared" ref="Z40:Z47" si="31">IF(T40=0,0,X40/T40)</f>
        <v>-0.85996040823744802</v>
      </c>
    </row>
    <row r="41" spans="1:26" s="24" customFormat="1" hidden="1" outlineLevel="2" x14ac:dyDescent="0.25">
      <c r="A41" s="25"/>
      <c r="B41" s="11" t="str">
        <f>CONCATENATE("          ", "6001", " - ", "ADMINISTRATIVE SALARIES")</f>
        <v xml:space="preserve">          6001 - ADMINISTRATIVE SALARIES</v>
      </c>
      <c r="C41" s="11"/>
      <c r="D41" s="6">
        <v>9962.35</v>
      </c>
      <c r="E41" s="2"/>
      <c r="F41" s="7">
        <f t="shared" si="24"/>
        <v>0.15529389061128493</v>
      </c>
      <c r="G41" s="2"/>
      <c r="H41" s="6">
        <v>16486.030000000002</v>
      </c>
      <c r="I41" s="2"/>
      <c r="J41" s="7">
        <f t="shared" si="25"/>
        <v>2.9472962673095241E-2</v>
      </c>
      <c r="K41" s="2"/>
      <c r="L41" s="6">
        <f t="shared" si="26"/>
        <v>-6523.6800000000021</v>
      </c>
      <c r="M41" s="2"/>
      <c r="N41" s="7">
        <f t="shared" si="27"/>
        <v>-0.39570957956524411</v>
      </c>
      <c r="O41" s="11"/>
      <c r="P41" s="6">
        <v>53824.380000000005</v>
      </c>
      <c r="Q41" s="2"/>
      <c r="R41" s="7">
        <f t="shared" si="28"/>
        <v>0.44102442078466958</v>
      </c>
      <c r="S41" s="2"/>
      <c r="T41" s="6">
        <v>86742.09</v>
      </c>
      <c r="U41" s="2"/>
      <c r="V41" s="7">
        <f t="shared" si="29"/>
        <v>3.2483178582715391E-2</v>
      </c>
      <c r="W41" s="2"/>
      <c r="X41" s="6">
        <f t="shared" si="30"/>
        <v>-32917.709999999992</v>
      </c>
      <c r="Y41" s="2"/>
      <c r="Z41" s="7">
        <f t="shared" si="31"/>
        <v>-0.37948947275768885</v>
      </c>
    </row>
    <row r="42" spans="1:26" s="24" customFormat="1" hidden="1" outlineLevel="2" x14ac:dyDescent="0.25">
      <c r="A42" s="25"/>
      <c r="B42" s="11" t="str">
        <f>CONCATENATE("          ", "6002", " - ", "STAFF SALARIES")</f>
        <v xml:space="preserve">          6002 - STAFF SALARIES</v>
      </c>
      <c r="C42" s="11"/>
      <c r="D42" s="6">
        <v>12438.05</v>
      </c>
      <c r="E42" s="2"/>
      <c r="F42" s="7">
        <f t="shared" si="24"/>
        <v>0.193885295750269</v>
      </c>
      <c r="G42" s="2"/>
      <c r="H42" s="6">
        <v>60375.06</v>
      </c>
      <c r="I42" s="2"/>
      <c r="J42" s="7">
        <f t="shared" si="25"/>
        <v>0.10793574255086794</v>
      </c>
      <c r="K42" s="2"/>
      <c r="L42" s="6">
        <f t="shared" si="26"/>
        <v>-47937.009999999995</v>
      </c>
      <c r="M42" s="2"/>
      <c r="N42" s="7">
        <f t="shared" si="27"/>
        <v>-0.79398695421586329</v>
      </c>
      <c r="O42" s="11"/>
      <c r="P42" s="6">
        <v>79977.900000000009</v>
      </c>
      <c r="Q42" s="2"/>
      <c r="R42" s="7">
        <f t="shared" si="28"/>
        <v>0.65532026607782989</v>
      </c>
      <c r="S42" s="2"/>
      <c r="T42" s="6">
        <v>300865.44</v>
      </c>
      <c r="U42" s="2"/>
      <c r="V42" s="7">
        <f t="shared" si="29"/>
        <v>0.1126680924668433</v>
      </c>
      <c r="W42" s="2"/>
      <c r="X42" s="6">
        <f t="shared" si="30"/>
        <v>-220887.53999999998</v>
      </c>
      <c r="Y42" s="2"/>
      <c r="Z42" s="7">
        <f t="shared" si="31"/>
        <v>-0.73417385526233914</v>
      </c>
    </row>
    <row r="43" spans="1:26" s="24" customFormat="1" hidden="1" outlineLevel="2" x14ac:dyDescent="0.25">
      <c r="A43" s="25"/>
      <c r="B43" s="11" t="str">
        <f>CONCATENATE("          ", "6004", " - ", "STAFF HOURLY")</f>
        <v xml:space="preserve">          6004 - STAFF HOURLY</v>
      </c>
      <c r="C43" s="11"/>
      <c r="D43" s="6">
        <v>2751.03</v>
      </c>
      <c r="E43" s="2"/>
      <c r="F43" s="7">
        <f t="shared" si="24"/>
        <v>4.2883270703033244E-2</v>
      </c>
      <c r="G43" s="2"/>
      <c r="H43" s="6">
        <v>20555.48</v>
      </c>
      <c r="I43" s="2"/>
      <c r="J43" s="7">
        <f t="shared" si="25"/>
        <v>3.6748137348261267E-2</v>
      </c>
      <c r="K43" s="2"/>
      <c r="L43" s="6">
        <f t="shared" si="26"/>
        <v>-17804.45</v>
      </c>
      <c r="M43" s="2"/>
      <c r="N43" s="7">
        <f t="shared" si="27"/>
        <v>-0.86616561617631893</v>
      </c>
      <c r="O43" s="11"/>
      <c r="P43" s="6">
        <v>18098.329999999998</v>
      </c>
      <c r="Q43" s="2"/>
      <c r="R43" s="7">
        <f t="shared" si="28"/>
        <v>0.14829349646795389</v>
      </c>
      <c r="S43" s="2"/>
      <c r="T43" s="6">
        <v>103390.75</v>
      </c>
      <c r="U43" s="2"/>
      <c r="V43" s="7">
        <f t="shared" si="29"/>
        <v>3.8717768917614061E-2</v>
      </c>
      <c r="W43" s="2"/>
      <c r="X43" s="6">
        <f t="shared" si="30"/>
        <v>-85292.42</v>
      </c>
      <c r="Y43" s="2"/>
      <c r="Z43" s="7">
        <f t="shared" si="31"/>
        <v>-0.82495213546666402</v>
      </c>
    </row>
    <row r="44" spans="1:26" s="24" customFormat="1" hidden="1" outlineLevel="2" x14ac:dyDescent="0.25">
      <c r="A44" s="25"/>
      <c r="B44" s="11" t="str">
        <f>CONCATENATE("          ", "6005", " - ", "TEMPORARY WAGES-HOURLY")</f>
        <v xml:space="preserve">          6005 - TEMPORARY WAGES-HOURLY</v>
      </c>
      <c r="C44" s="11"/>
      <c r="D44" s="6">
        <v>376.22</v>
      </c>
      <c r="E44" s="2"/>
      <c r="F44" s="7">
        <f t="shared" si="24"/>
        <v>5.8645467711712215E-3</v>
      </c>
      <c r="G44" s="2"/>
      <c r="H44" s="6">
        <v>45444.68</v>
      </c>
      <c r="I44" s="2"/>
      <c r="J44" s="7">
        <f t="shared" si="25"/>
        <v>8.1243899066710284E-2</v>
      </c>
      <c r="K44" s="2"/>
      <c r="L44" s="6">
        <f t="shared" si="26"/>
        <v>-45068.46</v>
      </c>
      <c r="M44" s="2"/>
      <c r="N44" s="7">
        <f t="shared" si="27"/>
        <v>-0.99172136320466997</v>
      </c>
      <c r="O44" s="11"/>
      <c r="P44" s="6">
        <v>2502.85</v>
      </c>
      <c r="Q44" s="2"/>
      <c r="R44" s="7">
        <f t="shared" si="28"/>
        <v>2.0507769370699862E-2</v>
      </c>
      <c r="S44" s="2"/>
      <c r="T44" s="6">
        <v>235929.49</v>
      </c>
      <c r="U44" s="2"/>
      <c r="V44" s="7">
        <f t="shared" si="29"/>
        <v>8.8350877372207259E-2</v>
      </c>
      <c r="W44" s="2"/>
      <c r="X44" s="6">
        <f t="shared" si="30"/>
        <v>-233426.63999999998</v>
      </c>
      <c r="Y44" s="2"/>
      <c r="Z44" s="7">
        <f t="shared" si="31"/>
        <v>-0.98939153388582324</v>
      </c>
    </row>
    <row r="45" spans="1:26" s="24" customFormat="1" hidden="1" outlineLevel="2" x14ac:dyDescent="0.25">
      <c r="A45" s="25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24"/>
        <v>0</v>
      </c>
      <c r="G45" s="2"/>
      <c r="H45" s="6">
        <v>611</v>
      </c>
      <c r="I45" s="2"/>
      <c r="J45" s="7">
        <f t="shared" si="25"/>
        <v>1.092317567859648E-3</v>
      </c>
      <c r="K45" s="2"/>
      <c r="L45" s="6">
        <f t="shared" si="26"/>
        <v>-611</v>
      </c>
      <c r="M45" s="2"/>
      <c r="N45" s="7">
        <f t="shared" si="27"/>
        <v>-1</v>
      </c>
      <c r="O45" s="11"/>
      <c r="P45" s="6"/>
      <c r="Q45" s="2"/>
      <c r="R45" s="7">
        <f t="shared" si="28"/>
        <v>0</v>
      </c>
      <c r="S45" s="2"/>
      <c r="T45" s="6">
        <v>10073.9</v>
      </c>
      <c r="U45" s="2"/>
      <c r="V45" s="7">
        <f t="shared" si="29"/>
        <v>3.7724741555618109E-3</v>
      </c>
      <c r="W45" s="2"/>
      <c r="X45" s="6">
        <f t="shared" si="30"/>
        <v>-10073.9</v>
      </c>
      <c r="Y45" s="2"/>
      <c r="Z45" s="7">
        <f t="shared" si="31"/>
        <v>-1</v>
      </c>
    </row>
    <row r="46" spans="1:26" s="24" customFormat="1" hidden="1" outlineLevel="2" x14ac:dyDescent="0.25">
      <c r="A46" s="25"/>
      <c r="B46" s="11" t="str">
        <f>CONCATENATE("          ", "6007", " - ", "STUDENT HOURLY")</f>
        <v xml:space="preserve">          6007 - STUDENT HOURLY</v>
      </c>
      <c r="C46" s="11"/>
      <c r="D46" s="6"/>
      <c r="E46" s="2"/>
      <c r="F46" s="7">
        <f t="shared" si="24"/>
        <v>0</v>
      </c>
      <c r="G46" s="2"/>
      <c r="H46" s="6">
        <v>67105.539999999994</v>
      </c>
      <c r="I46" s="2"/>
      <c r="J46" s="7">
        <f t="shared" si="25"/>
        <v>0.11996818370328692</v>
      </c>
      <c r="K46" s="2"/>
      <c r="L46" s="6">
        <f t="shared" si="26"/>
        <v>-67105.539999999994</v>
      </c>
      <c r="M46" s="2"/>
      <c r="N46" s="7">
        <f t="shared" si="27"/>
        <v>-1</v>
      </c>
      <c r="O46" s="11"/>
      <c r="P46" s="6">
        <v>69.709999999999994</v>
      </c>
      <c r="Q46" s="2"/>
      <c r="R46" s="7">
        <f t="shared" si="28"/>
        <v>5.7118748739696233E-4</v>
      </c>
      <c r="S46" s="2"/>
      <c r="T46" s="6">
        <v>347974.91</v>
      </c>
      <c r="U46" s="2"/>
      <c r="V46" s="7">
        <f t="shared" si="29"/>
        <v>0.13030964718321078</v>
      </c>
      <c r="W46" s="2"/>
      <c r="X46" s="6">
        <f t="shared" si="30"/>
        <v>-347905.19999999995</v>
      </c>
      <c r="Y46" s="2"/>
      <c r="Z46" s="7">
        <f t="shared" si="31"/>
        <v>-0.9997996694646748</v>
      </c>
    </row>
    <row r="47" spans="1:26" s="24" customFormat="1" hidden="1" outlineLevel="2" x14ac:dyDescent="0.25">
      <c r="A47" s="25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24"/>
        <v>0</v>
      </c>
      <c r="G47" s="2"/>
      <c r="H47" s="6">
        <v>3744.29</v>
      </c>
      <c r="I47" s="2"/>
      <c r="J47" s="7">
        <f t="shared" si="25"/>
        <v>6.6938686516549934E-3</v>
      </c>
      <c r="K47" s="2"/>
      <c r="L47" s="6">
        <f t="shared" si="26"/>
        <v>-3744.29</v>
      </c>
      <c r="M47" s="2"/>
      <c r="N47" s="7">
        <f t="shared" si="27"/>
        <v>-1</v>
      </c>
      <c r="O47" s="11"/>
      <c r="P47" s="6"/>
      <c r="Q47" s="2"/>
      <c r="R47" s="7">
        <f t="shared" si="28"/>
        <v>0</v>
      </c>
      <c r="S47" s="2"/>
      <c r="T47" s="6">
        <v>18091.259999999998</v>
      </c>
      <c r="U47" s="2"/>
      <c r="V47" s="7">
        <f t="shared" si="29"/>
        <v>6.7748151948648647E-3</v>
      </c>
      <c r="W47" s="2"/>
      <c r="X47" s="6">
        <f t="shared" si="30"/>
        <v>-18091.259999999998</v>
      </c>
      <c r="Y47" s="2"/>
      <c r="Z47" s="7">
        <f t="shared" si="31"/>
        <v>-1</v>
      </c>
    </row>
    <row r="48" spans="1:26" s="26" customFormat="1" outlineLevel="1" collapsed="1" x14ac:dyDescent="0.25">
      <c r="A48" s="27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15.9</v>
      </c>
      <c r="E48" s="1"/>
      <c r="F48" s="5">
        <f t="shared" ref="F48:F57" si="32">IF(D$12=0,0,D48/D$12)</f>
        <v>2.4785044298979966E-4</v>
      </c>
      <c r="G48" s="1"/>
      <c r="H48" s="1">
        <f>SUM(OSRRefH22_2x_0)</f>
        <v>4267.8900000000003</v>
      </c>
      <c r="I48" s="1"/>
      <c r="J48" s="5">
        <f t="shared" ref="J48:J57" si="33">IF(H$12=0,0,H48/H$12)</f>
        <v>7.6299365379582859E-3</v>
      </c>
      <c r="K48" s="1"/>
      <c r="L48" s="1">
        <f t="shared" ref="L48:L57" si="34">+D48-H48</f>
        <v>-4251.9900000000007</v>
      </c>
      <c r="M48" s="1"/>
      <c r="N48" s="5">
        <f t="shared" ref="N48:N57" si="35">IF(H48=0,0,L48/H48)</f>
        <v>-0.99627450566907783</v>
      </c>
      <c r="O48" s="13"/>
      <c r="P48" s="1">
        <f>SUM(OSRRefP22_2x_0)</f>
        <v>126.53</v>
      </c>
      <c r="Q48" s="1"/>
      <c r="R48" s="5">
        <f t="shared" ref="R48:R57" si="36">IF(P$12=0,0,P48/P$12)</f>
        <v>1.0367573200450102E-3</v>
      </c>
      <c r="S48" s="1"/>
      <c r="T48" s="1">
        <f>SUM(OSRRefT22_2x_0)</f>
        <v>16937</v>
      </c>
      <c r="U48" s="1"/>
      <c r="V48" s="5">
        <f t="shared" ref="V48:V57" si="37">IF(T$12=0,0,T48/T$12)</f>
        <v>6.3425679004904152E-3</v>
      </c>
      <c r="W48" s="1"/>
      <c r="X48" s="1">
        <f t="shared" ref="X48:X57" si="38">+P48-T48</f>
        <v>-16810.47</v>
      </c>
      <c r="Y48" s="1"/>
      <c r="Z48" s="5">
        <f t="shared" ref="Z48:Z57" si="39">IF(T48=0,0,X48/T48)</f>
        <v>-0.99252937356084314</v>
      </c>
    </row>
    <row r="49" spans="1:26" s="24" customFormat="1" hidden="1" outlineLevel="2" x14ac:dyDescent="0.25">
      <c r="A49" s="25"/>
      <c r="B49" s="11" t="str">
        <f>CONCATENATE("          ", "6362", " - ", "ADVERTISING EXPENSE")</f>
        <v xml:space="preserve">          6362 - ADVERTISING EXPENSE</v>
      </c>
      <c r="C49" s="11"/>
      <c r="D49" s="6">
        <v>15.9</v>
      </c>
      <c r="E49" s="2"/>
      <c r="F49" s="7">
        <f t="shared" si="32"/>
        <v>2.4785044298979966E-4</v>
      </c>
      <c r="G49" s="2"/>
      <c r="H49" s="6">
        <v>4267.8900000000003</v>
      </c>
      <c r="I49" s="2"/>
      <c r="J49" s="7">
        <f t="shared" si="33"/>
        <v>7.6299365379582859E-3</v>
      </c>
      <c r="K49" s="2"/>
      <c r="L49" s="6">
        <f t="shared" si="34"/>
        <v>-4251.9900000000007</v>
      </c>
      <c r="M49" s="2"/>
      <c r="N49" s="7">
        <f t="shared" si="35"/>
        <v>-0.99627450566907783</v>
      </c>
      <c r="O49" s="11"/>
      <c r="P49" s="6">
        <v>126.53</v>
      </c>
      <c r="Q49" s="2"/>
      <c r="R49" s="7">
        <f t="shared" si="36"/>
        <v>1.0367573200450102E-3</v>
      </c>
      <c r="S49" s="2"/>
      <c r="T49" s="6">
        <v>16937</v>
      </c>
      <c r="U49" s="2"/>
      <c r="V49" s="7">
        <f t="shared" si="37"/>
        <v>6.3425679004904152E-3</v>
      </c>
      <c r="W49" s="2"/>
      <c r="X49" s="6">
        <f t="shared" si="38"/>
        <v>-16810.47</v>
      </c>
      <c r="Y49" s="2"/>
      <c r="Z49" s="7">
        <f t="shared" si="39"/>
        <v>-0.99252937356084314</v>
      </c>
    </row>
    <row r="50" spans="1:26" s="26" customFormat="1" outlineLevel="1" collapsed="1" x14ac:dyDescent="0.25">
      <c r="A50" s="27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-1331.23</v>
      </c>
      <c r="E50" s="1"/>
      <c r="F50" s="5">
        <f t="shared" si="32"/>
        <v>-2.0751317309516414E-2</v>
      </c>
      <c r="G50" s="1"/>
      <c r="H50" s="1">
        <f>SUM(OSRRefH22_3x_0)</f>
        <v>8.7200000000000006</v>
      </c>
      <c r="I50" s="1"/>
      <c r="J50" s="5">
        <f t="shared" si="33"/>
        <v>1.5589213079764532E-5</v>
      </c>
      <c r="K50" s="1"/>
      <c r="L50" s="1">
        <f t="shared" si="34"/>
        <v>-1339.95</v>
      </c>
      <c r="M50" s="1"/>
      <c r="N50" s="5">
        <f t="shared" si="35"/>
        <v>-153.66399082568807</v>
      </c>
      <c r="O50" s="13"/>
      <c r="P50" s="1">
        <f>SUM(OSRRefP22_3x_0)</f>
        <v>7.05</v>
      </c>
      <c r="Q50" s="1"/>
      <c r="R50" s="5">
        <f t="shared" si="36"/>
        <v>5.7766056321167479E-5</v>
      </c>
      <c r="S50" s="1"/>
      <c r="T50" s="1">
        <f>SUM(OSRRefT22_3x_0)</f>
        <v>-21.23</v>
      </c>
      <c r="U50" s="1"/>
      <c r="V50" s="5">
        <f t="shared" si="37"/>
        <v>-7.9502105761003429E-6</v>
      </c>
      <c r="W50" s="1"/>
      <c r="X50" s="1">
        <f t="shared" si="38"/>
        <v>28.28</v>
      </c>
      <c r="Y50" s="1"/>
      <c r="Z50" s="5">
        <f t="shared" si="39"/>
        <v>-1.3320772491756947</v>
      </c>
    </row>
    <row r="51" spans="1:26" s="24" customFormat="1" hidden="1" outlineLevel="2" x14ac:dyDescent="0.25">
      <c r="A51" s="25"/>
      <c r="B51" s="11" t="str">
        <f>CONCATENATE("          ", "6272", " - ", "CASH (OVER/SHORT)")</f>
        <v xml:space="preserve">          6272 - CASH (OVER/SHORT)</v>
      </c>
      <c r="C51" s="11"/>
      <c r="D51" s="6">
        <v>-1331.23</v>
      </c>
      <c r="E51" s="2"/>
      <c r="F51" s="7">
        <f t="shared" si="32"/>
        <v>-2.0751317309516414E-2</v>
      </c>
      <c r="G51" s="2"/>
      <c r="H51" s="6">
        <v>8.7200000000000006</v>
      </c>
      <c r="I51" s="2"/>
      <c r="J51" s="7">
        <f t="shared" si="33"/>
        <v>1.5589213079764532E-5</v>
      </c>
      <c r="K51" s="2"/>
      <c r="L51" s="6">
        <f t="shared" si="34"/>
        <v>-1339.95</v>
      </c>
      <c r="M51" s="2"/>
      <c r="N51" s="7">
        <f t="shared" si="35"/>
        <v>-153.66399082568807</v>
      </c>
      <c r="O51" s="11"/>
      <c r="P51" s="6">
        <v>7.05</v>
      </c>
      <c r="Q51" s="2"/>
      <c r="R51" s="7">
        <f t="shared" si="36"/>
        <v>5.7766056321167479E-5</v>
      </c>
      <c r="S51" s="2"/>
      <c r="T51" s="6">
        <v>-21.23</v>
      </c>
      <c r="U51" s="2"/>
      <c r="V51" s="7">
        <f t="shared" si="37"/>
        <v>-7.9502105761003429E-6</v>
      </c>
      <c r="W51" s="2"/>
      <c r="X51" s="6">
        <f t="shared" si="38"/>
        <v>28.28</v>
      </c>
      <c r="Y51" s="2"/>
      <c r="Z51" s="7">
        <f t="shared" si="39"/>
        <v>-1.3320772491756947</v>
      </c>
    </row>
    <row r="52" spans="1:26" s="26" customFormat="1" outlineLevel="1" collapsed="1" x14ac:dyDescent="0.25">
      <c r="A52" s="27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747.39</v>
      </c>
      <c r="E52" s="1"/>
      <c r="F52" s="5">
        <f t="shared" si="32"/>
        <v>1.1650373747556375E-2</v>
      </c>
      <c r="G52" s="1"/>
      <c r="H52" s="1">
        <f>SUM(OSRRefH22_4x_0)</f>
        <v>15621.329999999998</v>
      </c>
      <c r="I52" s="1"/>
      <c r="J52" s="5">
        <f t="shared" si="33"/>
        <v>2.7927091967811703E-2</v>
      </c>
      <c r="K52" s="1"/>
      <c r="L52" s="1">
        <f t="shared" si="34"/>
        <v>-14873.939999999999</v>
      </c>
      <c r="M52" s="1"/>
      <c r="N52" s="5">
        <f t="shared" si="35"/>
        <v>-0.95215580235485719</v>
      </c>
      <c r="O52" s="13"/>
      <c r="P52" s="1">
        <f>SUM(OSRRefP22_4x_0)</f>
        <v>2615.1999999999998</v>
      </c>
      <c r="Q52" s="1"/>
      <c r="R52" s="5">
        <f t="shared" si="36"/>
        <v>2.1428339076754208E-2</v>
      </c>
      <c r="S52" s="1"/>
      <c r="T52" s="1">
        <f>SUM(OSRRefT22_4x_0)</f>
        <v>78527.8</v>
      </c>
      <c r="U52" s="1"/>
      <c r="V52" s="5">
        <f t="shared" si="37"/>
        <v>2.9407091195378827E-2</v>
      </c>
      <c r="W52" s="1"/>
      <c r="X52" s="1">
        <f t="shared" si="38"/>
        <v>-75912.600000000006</v>
      </c>
      <c r="Y52" s="1"/>
      <c r="Z52" s="5">
        <f t="shared" si="39"/>
        <v>-0.96669714419606823</v>
      </c>
    </row>
    <row r="53" spans="1:26" s="24" customFormat="1" hidden="1" outlineLevel="2" x14ac:dyDescent="0.25">
      <c r="A53" s="25"/>
      <c r="B53" s="11" t="str">
        <f>CONCATENATE("          ", "6381", " - ", "BANK/CREDIT CARD FEES")</f>
        <v xml:space="preserve">          6381 - BANK/CREDIT CARD FEES</v>
      </c>
      <c r="C53" s="11"/>
      <c r="D53" s="6">
        <v>747.39</v>
      </c>
      <c r="E53" s="2"/>
      <c r="F53" s="7">
        <f t="shared" si="32"/>
        <v>1.1650373747556375E-2</v>
      </c>
      <c r="G53" s="2"/>
      <c r="H53" s="6">
        <v>15621.329999999998</v>
      </c>
      <c r="I53" s="2"/>
      <c r="J53" s="7">
        <f t="shared" si="33"/>
        <v>2.7927091967811703E-2</v>
      </c>
      <c r="K53" s="2"/>
      <c r="L53" s="6">
        <f t="shared" si="34"/>
        <v>-14873.939999999999</v>
      </c>
      <c r="M53" s="2"/>
      <c r="N53" s="7">
        <f t="shared" si="35"/>
        <v>-0.95215580235485719</v>
      </c>
      <c r="O53" s="11"/>
      <c r="P53" s="6">
        <v>2615.1999999999998</v>
      </c>
      <c r="Q53" s="2"/>
      <c r="R53" s="7">
        <f t="shared" si="36"/>
        <v>2.1428339076754208E-2</v>
      </c>
      <c r="S53" s="2"/>
      <c r="T53" s="6">
        <v>78527.8</v>
      </c>
      <c r="U53" s="2"/>
      <c r="V53" s="7">
        <f t="shared" si="37"/>
        <v>2.9407091195378827E-2</v>
      </c>
      <c r="W53" s="2"/>
      <c r="X53" s="6">
        <f t="shared" si="38"/>
        <v>-75912.600000000006</v>
      </c>
      <c r="Y53" s="2"/>
      <c r="Z53" s="7">
        <f t="shared" si="39"/>
        <v>-0.96669714419606823</v>
      </c>
    </row>
    <row r="54" spans="1:26" s="26" customFormat="1" outlineLevel="1" collapsed="1" x14ac:dyDescent="0.25">
      <c r="A54" s="27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SUM(OSRRefD22_5x_0)</f>
        <v>36720.759999999995</v>
      </c>
      <c r="E54" s="1"/>
      <c r="F54" s="5">
        <f t="shared" si="32"/>
        <v>0.57240607754227135</v>
      </c>
      <c r="G54" s="1"/>
      <c r="H54" s="1">
        <f>SUM(OSRRefH22_5x_0)</f>
        <v>39571.050000000003</v>
      </c>
      <c r="I54" s="1"/>
      <c r="J54" s="5">
        <f t="shared" si="33"/>
        <v>7.0743294752295446E-2</v>
      </c>
      <c r="K54" s="1"/>
      <c r="L54" s="1">
        <f t="shared" si="34"/>
        <v>-2850.2900000000081</v>
      </c>
      <c r="M54" s="1"/>
      <c r="N54" s="5">
        <f t="shared" si="35"/>
        <v>-7.2029678262265168E-2</v>
      </c>
      <c r="O54" s="13"/>
      <c r="P54" s="1">
        <f>SUM(OSRRefP22_5x_0)</f>
        <v>186427.32</v>
      </c>
      <c r="Q54" s="1"/>
      <c r="R54" s="5">
        <f t="shared" si="36"/>
        <v>1.5275419953084131</v>
      </c>
      <c r="S54" s="1"/>
      <c r="T54" s="1">
        <f>SUM(OSRRefT22_5x_0)</f>
        <v>197855.25</v>
      </c>
      <c r="U54" s="1"/>
      <c r="V54" s="5">
        <f t="shared" si="37"/>
        <v>7.4092835661185935E-2</v>
      </c>
      <c r="W54" s="1"/>
      <c r="X54" s="1">
        <f t="shared" si="38"/>
        <v>-11427.929999999993</v>
      </c>
      <c r="Y54" s="1"/>
      <c r="Z54" s="5">
        <f t="shared" si="39"/>
        <v>-5.7759043543196317E-2</v>
      </c>
    </row>
    <row r="55" spans="1:26" s="24" customFormat="1" hidden="1" outlineLevel="2" x14ac:dyDescent="0.25">
      <c r="A55" s="25"/>
      <c r="B55" s="11" t="str">
        <f>CONCATENATE("          ", "6321", " - ", "BUILDING DEPRECIATION")</f>
        <v xml:space="preserve">          6321 - BUILDING DEPRECIATION</v>
      </c>
      <c r="C55" s="11"/>
      <c r="D55" s="6">
        <v>23583.489999999998</v>
      </c>
      <c r="E55" s="2"/>
      <c r="F55" s="7">
        <f t="shared" si="32"/>
        <v>0.36762128577015785</v>
      </c>
      <c r="G55" s="2"/>
      <c r="H55" s="6">
        <v>24042.959999999999</v>
      </c>
      <c r="I55" s="2"/>
      <c r="J55" s="7">
        <f t="shared" si="33"/>
        <v>4.2982892948194434E-2</v>
      </c>
      <c r="K55" s="2"/>
      <c r="L55" s="6">
        <f t="shared" si="34"/>
        <v>-459.47000000000116</v>
      </c>
      <c r="M55" s="2"/>
      <c r="N55" s="7">
        <f t="shared" si="35"/>
        <v>-1.9110375760721689E-2</v>
      </c>
      <c r="O55" s="11"/>
      <c r="P55" s="6">
        <v>118701.64</v>
      </c>
      <c r="Q55" s="2"/>
      <c r="R55" s="7">
        <f t="shared" si="36"/>
        <v>0.97261356335531157</v>
      </c>
      <c r="S55" s="2"/>
      <c r="T55" s="6">
        <v>120214.79999999999</v>
      </c>
      <c r="U55" s="2"/>
      <c r="V55" s="7">
        <f t="shared" si="37"/>
        <v>4.5018039301167566E-2</v>
      </c>
      <c r="W55" s="2"/>
      <c r="X55" s="6">
        <f t="shared" si="38"/>
        <v>-1513.1599999999889</v>
      </c>
      <c r="Y55" s="2"/>
      <c r="Z55" s="7">
        <f t="shared" si="39"/>
        <v>-1.2587135693774719E-2</v>
      </c>
    </row>
    <row r="56" spans="1:26" s="24" customFormat="1" hidden="1" outlineLevel="2" x14ac:dyDescent="0.25">
      <c r="A56" s="25"/>
      <c r="B56" s="11" t="str">
        <f>CONCATENATE("          ", "6322", " - ", "EQUIPMENT DEPRECIATION EXPENSE")</f>
        <v xml:space="preserve">          6322 - EQUIPMENT DEPRECIATION EXPENSE</v>
      </c>
      <c r="C56" s="11"/>
      <c r="D56" s="6">
        <v>13137.27</v>
      </c>
      <c r="E56" s="2"/>
      <c r="F56" s="7">
        <f t="shared" si="32"/>
        <v>0.20478479177211353</v>
      </c>
      <c r="G56" s="2"/>
      <c r="H56" s="6">
        <v>15103.84</v>
      </c>
      <c r="I56" s="2"/>
      <c r="J56" s="7">
        <f t="shared" si="33"/>
        <v>2.700194725718701E-2</v>
      </c>
      <c r="K56" s="2"/>
      <c r="L56" s="6">
        <f t="shared" si="34"/>
        <v>-1966.5699999999997</v>
      </c>
      <c r="M56" s="2"/>
      <c r="N56" s="7">
        <f t="shared" si="35"/>
        <v>-0.1302033125350904</v>
      </c>
      <c r="O56" s="11"/>
      <c r="P56" s="6">
        <v>67725.679999999993</v>
      </c>
      <c r="Q56" s="2"/>
      <c r="R56" s="7">
        <f t="shared" si="36"/>
        <v>0.55492843195310149</v>
      </c>
      <c r="S56" s="2"/>
      <c r="T56" s="6">
        <v>75519.199999999997</v>
      </c>
      <c r="U56" s="2"/>
      <c r="V56" s="7">
        <f t="shared" si="37"/>
        <v>2.8280430642422846E-2</v>
      </c>
      <c r="W56" s="2"/>
      <c r="X56" s="6">
        <f t="shared" si="38"/>
        <v>-7793.5200000000041</v>
      </c>
      <c r="Y56" s="2"/>
      <c r="Z56" s="7">
        <f t="shared" si="39"/>
        <v>-0.10319918643205972</v>
      </c>
    </row>
    <row r="57" spans="1:26" s="24" customFormat="1" hidden="1" outlineLevel="2" x14ac:dyDescent="0.25">
      <c r="A57" s="25"/>
      <c r="B57" s="11" t="str">
        <f>CONCATENATE("          ", "6326", " - ", "VEHICLES DEPRECIATION EXPENSE")</f>
        <v xml:space="preserve">          6326 - VEHICLES DEPRECIATION EXPENSE</v>
      </c>
      <c r="C57" s="11"/>
      <c r="D57" s="6"/>
      <c r="E57" s="2"/>
      <c r="F57" s="7">
        <f t="shared" si="32"/>
        <v>0</v>
      </c>
      <c r="G57" s="2"/>
      <c r="H57" s="6">
        <v>424.25</v>
      </c>
      <c r="I57" s="2"/>
      <c r="J57" s="7">
        <f t="shared" si="33"/>
        <v>7.5845454691400257E-4</v>
      </c>
      <c r="K57" s="2"/>
      <c r="L57" s="6">
        <f t="shared" si="34"/>
        <v>-424.25</v>
      </c>
      <c r="M57" s="2"/>
      <c r="N57" s="7">
        <f t="shared" si="35"/>
        <v>-1</v>
      </c>
      <c r="O57" s="11"/>
      <c r="P57" s="6"/>
      <c r="Q57" s="2"/>
      <c r="R57" s="7">
        <f t="shared" si="36"/>
        <v>0</v>
      </c>
      <c r="S57" s="2"/>
      <c r="T57" s="6">
        <v>2121.25</v>
      </c>
      <c r="U57" s="2"/>
      <c r="V57" s="7">
        <f t="shared" si="37"/>
        <v>7.9436571759551827E-4</v>
      </c>
      <c r="W57" s="2"/>
      <c r="X57" s="6">
        <f t="shared" si="38"/>
        <v>-2121.25</v>
      </c>
      <c r="Y57" s="2"/>
      <c r="Z57" s="7">
        <f t="shared" si="39"/>
        <v>-1</v>
      </c>
    </row>
    <row r="58" spans="1:26" s="26" customFormat="1" outlineLevel="1" collapsed="1" x14ac:dyDescent="0.25">
      <c r="A58" s="27"/>
      <c r="B58" s="13" t="str">
        <f>CONCATENATE("     ","Donations                                         ")</f>
        <v xml:space="preserve">     Donations                                         </v>
      </c>
      <c r="C58" s="13"/>
      <c r="D58" s="1">
        <f>SUM(OSRRefD22_6x_0)</f>
        <v>0</v>
      </c>
      <c r="E58" s="1"/>
      <c r="F58" s="5">
        <f t="shared" ref="F58:F68" si="40">IF(D$12=0,0,D58/D$12)</f>
        <v>0</v>
      </c>
      <c r="G58" s="1"/>
      <c r="H58" s="1">
        <f>SUM(OSRRefH22_6x_0)</f>
        <v>0</v>
      </c>
      <c r="I58" s="1"/>
      <c r="J58" s="5">
        <f t="shared" ref="J58:J68" si="41">IF(H$12=0,0,H58/H$12)</f>
        <v>0</v>
      </c>
      <c r="K58" s="1"/>
      <c r="L58" s="1">
        <f t="shared" ref="L58:L68" si="42">+D58-H58</f>
        <v>0</v>
      </c>
      <c r="M58" s="1"/>
      <c r="N58" s="5">
        <f t="shared" ref="N58:N68" si="43">IF(H58=0,0,L58/H58)</f>
        <v>0</v>
      </c>
      <c r="O58" s="13"/>
      <c r="P58" s="1">
        <f>SUM(OSRRefP22_6x_0)</f>
        <v>0</v>
      </c>
      <c r="Q58" s="1"/>
      <c r="R58" s="5">
        <f t="shared" ref="R58:R68" si="44">IF(P$12=0,0,P58/P$12)</f>
        <v>0</v>
      </c>
      <c r="S58" s="1"/>
      <c r="T58" s="1">
        <f>SUM(OSRRefT22_6x_0)</f>
        <v>163.68</v>
      </c>
      <c r="U58" s="1"/>
      <c r="V58" s="5">
        <f t="shared" ref="V58:V68" si="45">IF(T$12=0,0,T58/T$12)</f>
        <v>6.1294887757706268E-5</v>
      </c>
      <c r="W58" s="1"/>
      <c r="X58" s="1">
        <f t="shared" ref="X58:X68" si="46">+P58-T58</f>
        <v>-163.68</v>
      </c>
      <c r="Y58" s="1"/>
      <c r="Z58" s="5">
        <f t="shared" ref="Z58:Z68" si="47">IF(T58=0,0,X58/T58)</f>
        <v>-1</v>
      </c>
    </row>
    <row r="59" spans="1:26" s="24" customFormat="1" hidden="1" outlineLevel="2" x14ac:dyDescent="0.25">
      <c r="A59" s="25"/>
      <c r="B59" s="11" t="str">
        <f>CONCATENATE("          ", "6399", " - ", "DONATION-ON CAMPUS")</f>
        <v xml:space="preserve">          6399 - DONATION-ON CAMPUS</v>
      </c>
      <c r="C59" s="11"/>
      <c r="D59" s="6"/>
      <c r="E59" s="2"/>
      <c r="F59" s="7">
        <f t="shared" si="40"/>
        <v>0</v>
      </c>
      <c r="G59" s="2"/>
      <c r="H59" s="6"/>
      <c r="I59" s="2"/>
      <c r="J59" s="7">
        <f t="shared" si="41"/>
        <v>0</v>
      </c>
      <c r="K59" s="2"/>
      <c r="L59" s="6">
        <f t="shared" si="42"/>
        <v>0</v>
      </c>
      <c r="M59" s="2"/>
      <c r="N59" s="7">
        <f t="shared" si="43"/>
        <v>0</v>
      </c>
      <c r="O59" s="11"/>
      <c r="P59" s="6"/>
      <c r="Q59" s="2"/>
      <c r="R59" s="7">
        <f t="shared" si="44"/>
        <v>0</v>
      </c>
      <c r="S59" s="2"/>
      <c r="T59" s="6">
        <v>163.68</v>
      </c>
      <c r="U59" s="2"/>
      <c r="V59" s="7">
        <f t="shared" si="45"/>
        <v>6.1294887757706268E-5</v>
      </c>
      <c r="W59" s="2"/>
      <c r="X59" s="6">
        <f t="shared" si="46"/>
        <v>-163.68</v>
      </c>
      <c r="Y59" s="2"/>
      <c r="Z59" s="7">
        <f t="shared" si="47"/>
        <v>-1</v>
      </c>
    </row>
    <row r="60" spans="1:26" s="26" customFormat="1" outlineLevel="1" collapsed="1" x14ac:dyDescent="0.25">
      <c r="A60" s="27"/>
      <c r="B60" s="13" t="str">
        <f>CONCATENATE("     ","Employees' Appreciation                           ")</f>
        <v xml:space="preserve">     Employees' Appreciation                           </v>
      </c>
      <c r="C60" s="13"/>
      <c r="D60" s="1">
        <f>SUM(OSRRefD22_7x_0)</f>
        <v>0</v>
      </c>
      <c r="E60" s="1"/>
      <c r="F60" s="5">
        <f t="shared" si="40"/>
        <v>0</v>
      </c>
      <c r="G60" s="1"/>
      <c r="H60" s="1">
        <f>SUM(OSRRefH22_7x_0)</f>
        <v>499.87</v>
      </c>
      <c r="I60" s="1"/>
      <c r="J60" s="5">
        <f t="shared" si="41"/>
        <v>8.9364448878232763E-4</v>
      </c>
      <c r="K60" s="1"/>
      <c r="L60" s="1">
        <f t="shared" si="42"/>
        <v>-499.87</v>
      </c>
      <c r="M60" s="1"/>
      <c r="N60" s="5">
        <f t="shared" si="43"/>
        <v>-1</v>
      </c>
      <c r="O60" s="13"/>
      <c r="P60" s="1">
        <f>SUM(OSRRefP22_7x_0)</f>
        <v>0</v>
      </c>
      <c r="Q60" s="1"/>
      <c r="R60" s="5">
        <f t="shared" si="44"/>
        <v>0</v>
      </c>
      <c r="S60" s="1"/>
      <c r="T60" s="1">
        <f>SUM(OSRRefT22_7x_0)</f>
        <v>952.71</v>
      </c>
      <c r="U60" s="1"/>
      <c r="V60" s="5">
        <f t="shared" si="45"/>
        <v>3.5677084870261693E-4</v>
      </c>
      <c r="W60" s="1"/>
      <c r="X60" s="1">
        <f t="shared" si="46"/>
        <v>-952.71</v>
      </c>
      <c r="Y60" s="1"/>
      <c r="Z60" s="5">
        <f t="shared" si="47"/>
        <v>-1</v>
      </c>
    </row>
    <row r="61" spans="1:26" s="24" customFormat="1" hidden="1" outlineLevel="2" x14ac:dyDescent="0.25">
      <c r="A61" s="25"/>
      <c r="B61" s="11" t="str">
        <f>CONCATENATE("          ", "6277", " - ", "EMPLOYEE APPRECIATION")</f>
        <v xml:space="preserve">          6277 - EMPLOYEE APPRECIATION</v>
      </c>
      <c r="C61" s="11"/>
      <c r="D61" s="6"/>
      <c r="E61" s="2"/>
      <c r="F61" s="7">
        <f t="shared" si="40"/>
        <v>0</v>
      </c>
      <c r="G61" s="2"/>
      <c r="H61" s="6">
        <v>499.87</v>
      </c>
      <c r="I61" s="2"/>
      <c r="J61" s="7">
        <f t="shared" si="41"/>
        <v>8.9364448878232763E-4</v>
      </c>
      <c r="K61" s="2"/>
      <c r="L61" s="6">
        <f t="shared" si="42"/>
        <v>-499.87</v>
      </c>
      <c r="M61" s="2"/>
      <c r="N61" s="7">
        <f t="shared" si="43"/>
        <v>-1</v>
      </c>
      <c r="O61" s="11"/>
      <c r="P61" s="6"/>
      <c r="Q61" s="2"/>
      <c r="R61" s="7">
        <f t="shared" si="44"/>
        <v>0</v>
      </c>
      <c r="S61" s="2"/>
      <c r="T61" s="6">
        <v>952.71</v>
      </c>
      <c r="U61" s="2"/>
      <c r="V61" s="7">
        <f t="shared" si="45"/>
        <v>3.5677084870261693E-4</v>
      </c>
      <c r="W61" s="2"/>
      <c r="X61" s="6">
        <f t="shared" si="46"/>
        <v>-952.71</v>
      </c>
      <c r="Y61" s="2"/>
      <c r="Z61" s="7">
        <f t="shared" si="47"/>
        <v>-1</v>
      </c>
    </row>
    <row r="62" spans="1:26" s="26" customFormat="1" outlineLevel="1" collapsed="1" x14ac:dyDescent="0.25">
      <c r="A62" s="27"/>
      <c r="B62" s="13" t="str">
        <f>CONCATENATE("     ","Equipment Rental                                  ")</f>
        <v xml:space="preserve">     Equipment Rental                                  </v>
      </c>
      <c r="C62" s="13"/>
      <c r="D62" s="1">
        <f>SUM(OSRRefD22_8x_0)</f>
        <v>775.02</v>
      </c>
      <c r="E62" s="1"/>
      <c r="F62" s="5">
        <f t="shared" si="40"/>
        <v>1.2081072347544309E-2</v>
      </c>
      <c r="G62" s="1"/>
      <c r="H62" s="1">
        <f>SUM(OSRRefH22_8x_0)</f>
        <v>1959.34</v>
      </c>
      <c r="I62" s="1"/>
      <c r="J62" s="5">
        <f t="shared" si="41"/>
        <v>3.5028175178561743E-3</v>
      </c>
      <c r="K62" s="1"/>
      <c r="L62" s="1">
        <f t="shared" si="42"/>
        <v>-1184.32</v>
      </c>
      <c r="M62" s="1"/>
      <c r="N62" s="5">
        <f t="shared" si="43"/>
        <v>-0.6044484367184868</v>
      </c>
      <c r="O62" s="13"/>
      <c r="P62" s="1">
        <f>SUM(OSRRefP22_8x_0)</f>
        <v>4075.69</v>
      </c>
      <c r="Q62" s="1"/>
      <c r="R62" s="5">
        <f t="shared" si="44"/>
        <v>3.3395253629449513E-2</v>
      </c>
      <c r="S62" s="1"/>
      <c r="T62" s="1">
        <f>SUM(OSRRefT22_8x_0)</f>
        <v>12173.5</v>
      </c>
      <c r="U62" s="1"/>
      <c r="V62" s="5">
        <f t="shared" si="45"/>
        <v>4.5587323809777452E-3</v>
      </c>
      <c r="W62" s="1"/>
      <c r="X62" s="1">
        <f t="shared" si="46"/>
        <v>-8097.8099999999995</v>
      </c>
      <c r="Y62" s="1"/>
      <c r="Z62" s="5">
        <f t="shared" si="47"/>
        <v>-0.6651998192795826</v>
      </c>
    </row>
    <row r="63" spans="1:26" s="24" customFormat="1" hidden="1" outlineLevel="2" x14ac:dyDescent="0.25">
      <c r="A63" s="25"/>
      <c r="B63" s="11" t="str">
        <f>CONCATENATE("          ", "6351", " - ", "EQUIPMENT RENTAL")</f>
        <v xml:space="preserve">          6351 - EQUIPMENT RENTAL</v>
      </c>
      <c r="C63" s="11"/>
      <c r="D63" s="6">
        <v>775.02</v>
      </c>
      <c r="E63" s="2"/>
      <c r="F63" s="7">
        <f t="shared" si="40"/>
        <v>1.2081072347544309E-2</v>
      </c>
      <c r="G63" s="2"/>
      <c r="H63" s="6">
        <v>1959.34</v>
      </c>
      <c r="I63" s="2"/>
      <c r="J63" s="7">
        <f t="shared" si="41"/>
        <v>3.5028175178561743E-3</v>
      </c>
      <c r="K63" s="2"/>
      <c r="L63" s="6">
        <f t="shared" si="42"/>
        <v>-1184.32</v>
      </c>
      <c r="M63" s="2"/>
      <c r="N63" s="7">
        <f t="shared" si="43"/>
        <v>-0.6044484367184868</v>
      </c>
      <c r="O63" s="11"/>
      <c r="P63" s="6">
        <v>4075.69</v>
      </c>
      <c r="Q63" s="2"/>
      <c r="R63" s="7">
        <f t="shared" si="44"/>
        <v>3.3395253629449513E-2</v>
      </c>
      <c r="S63" s="2"/>
      <c r="T63" s="6">
        <v>12173.5</v>
      </c>
      <c r="U63" s="2"/>
      <c r="V63" s="7">
        <f t="shared" si="45"/>
        <v>4.5587323809777452E-3</v>
      </c>
      <c r="W63" s="2"/>
      <c r="X63" s="6">
        <f t="shared" si="46"/>
        <v>-8097.8099999999995</v>
      </c>
      <c r="Y63" s="2"/>
      <c r="Z63" s="7">
        <f t="shared" si="47"/>
        <v>-0.6651998192795826</v>
      </c>
    </row>
    <row r="64" spans="1:26" s="26" customFormat="1" outlineLevel="1" collapsed="1" x14ac:dyDescent="0.25">
      <c r="A64" s="27"/>
      <c r="B64" s="13" t="str">
        <f>CONCATENATE("     ","Freight out/Postage                               ")</f>
        <v xml:space="preserve">     Freight out/Postage                               </v>
      </c>
      <c r="C64" s="13"/>
      <c r="D64" s="1">
        <f>SUM(OSRRefD22_9x_0)</f>
        <v>0</v>
      </c>
      <c r="E64" s="1"/>
      <c r="F64" s="5">
        <f t="shared" si="40"/>
        <v>0</v>
      </c>
      <c r="G64" s="1"/>
      <c r="H64" s="1">
        <f>SUM(OSRRefH22_9x_0)</f>
        <v>0</v>
      </c>
      <c r="I64" s="1"/>
      <c r="J64" s="5">
        <f t="shared" si="41"/>
        <v>0</v>
      </c>
      <c r="K64" s="1"/>
      <c r="L64" s="1">
        <f t="shared" si="42"/>
        <v>0</v>
      </c>
      <c r="M64" s="1"/>
      <c r="N64" s="5">
        <f t="shared" si="43"/>
        <v>0</v>
      </c>
      <c r="O64" s="13"/>
      <c r="P64" s="1">
        <f>SUM(OSRRefP22_9x_0)</f>
        <v>-5.41</v>
      </c>
      <c r="Q64" s="1"/>
      <c r="R64" s="5">
        <f t="shared" si="44"/>
        <v>-4.4328278680498735E-5</v>
      </c>
      <c r="S64" s="1"/>
      <c r="T64" s="1">
        <f>SUM(OSRRefT22_9x_0)</f>
        <v>0</v>
      </c>
      <c r="U64" s="1"/>
      <c r="V64" s="5">
        <f t="shared" si="45"/>
        <v>0</v>
      </c>
      <c r="W64" s="1"/>
      <c r="X64" s="1">
        <f t="shared" si="46"/>
        <v>-5.41</v>
      </c>
      <c r="Y64" s="1"/>
      <c r="Z64" s="5">
        <f t="shared" si="47"/>
        <v>0</v>
      </c>
    </row>
    <row r="65" spans="1:26" s="24" customFormat="1" hidden="1" outlineLevel="2" x14ac:dyDescent="0.25">
      <c r="A65" s="25"/>
      <c r="B65" s="11" t="str">
        <f>CONCATENATE("          ", "6307", " - ", "POSTAGE")</f>
        <v xml:space="preserve">          6307 - POSTAGE</v>
      </c>
      <c r="C65" s="11"/>
      <c r="D65" s="6"/>
      <c r="E65" s="2"/>
      <c r="F65" s="7">
        <f t="shared" si="40"/>
        <v>0</v>
      </c>
      <c r="G65" s="2"/>
      <c r="H65" s="6"/>
      <c r="I65" s="2"/>
      <c r="J65" s="7">
        <f t="shared" si="41"/>
        <v>0</v>
      </c>
      <c r="K65" s="2"/>
      <c r="L65" s="6">
        <f t="shared" si="42"/>
        <v>0</v>
      </c>
      <c r="M65" s="2"/>
      <c r="N65" s="7">
        <f t="shared" si="43"/>
        <v>0</v>
      </c>
      <c r="O65" s="11"/>
      <c r="P65" s="6">
        <v>-5.41</v>
      </c>
      <c r="Q65" s="2"/>
      <c r="R65" s="7">
        <f t="shared" si="44"/>
        <v>-4.4328278680498735E-5</v>
      </c>
      <c r="S65" s="2"/>
      <c r="T65" s="6"/>
      <c r="U65" s="2"/>
      <c r="V65" s="7">
        <f t="shared" si="45"/>
        <v>0</v>
      </c>
      <c r="W65" s="2"/>
      <c r="X65" s="6">
        <f t="shared" si="46"/>
        <v>-5.41</v>
      </c>
      <c r="Y65" s="2"/>
      <c r="Z65" s="7">
        <f t="shared" si="47"/>
        <v>0</v>
      </c>
    </row>
    <row r="66" spans="1:26" s="26" customFormat="1" outlineLevel="1" collapsed="1" x14ac:dyDescent="0.25">
      <c r="A66" s="27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SUM(OSRRefD22_10x_0)</f>
        <v>455</v>
      </c>
      <c r="E66" s="1"/>
      <c r="F66" s="5">
        <f t="shared" si="40"/>
        <v>7.0925755698338895E-3</v>
      </c>
      <c r="G66" s="1"/>
      <c r="H66" s="1">
        <f>SUM(OSRRefH22_10x_0)</f>
        <v>21958.7</v>
      </c>
      <c r="I66" s="1"/>
      <c r="J66" s="5">
        <f t="shared" si="41"/>
        <v>3.9256749226447875E-2</v>
      </c>
      <c r="K66" s="1"/>
      <c r="L66" s="1">
        <f t="shared" si="42"/>
        <v>-21503.7</v>
      </c>
      <c r="M66" s="1"/>
      <c r="N66" s="5">
        <f t="shared" si="43"/>
        <v>-0.97927928338198522</v>
      </c>
      <c r="O66" s="13"/>
      <c r="P66" s="1">
        <f>SUM(OSRRefP22_10x_0)</f>
        <v>4221.45</v>
      </c>
      <c r="Q66" s="1"/>
      <c r="R66" s="5">
        <f t="shared" si="44"/>
        <v>3.4589577086098222E-2</v>
      </c>
      <c r="S66" s="1"/>
      <c r="T66" s="1">
        <f>SUM(OSRRefT22_10x_0)</f>
        <v>61077.19</v>
      </c>
      <c r="U66" s="1"/>
      <c r="V66" s="5">
        <f t="shared" si="45"/>
        <v>2.287218661782808E-2</v>
      </c>
      <c r="W66" s="1"/>
      <c r="X66" s="1">
        <f t="shared" si="46"/>
        <v>-56855.740000000005</v>
      </c>
      <c r="Y66" s="1"/>
      <c r="Z66" s="5">
        <f t="shared" si="47"/>
        <v>-0.93088336251225712</v>
      </c>
    </row>
    <row r="67" spans="1:26" s="24" customFormat="1" hidden="1" outlineLevel="2" x14ac:dyDescent="0.25">
      <c r="A67" s="25"/>
      <c r="B67" s="11" t="str">
        <f>CONCATENATE("          ", "6269", " - ", "ENTERTAINMENT")</f>
        <v xml:space="preserve">          6269 - ENTERTAINMENT</v>
      </c>
      <c r="C67" s="11"/>
      <c r="D67" s="6"/>
      <c r="E67" s="2"/>
      <c r="F67" s="7">
        <f t="shared" si="40"/>
        <v>0</v>
      </c>
      <c r="G67" s="2"/>
      <c r="H67" s="6">
        <v>600</v>
      </c>
      <c r="I67" s="2"/>
      <c r="J67" s="7">
        <f t="shared" si="41"/>
        <v>1.072652276130587E-3</v>
      </c>
      <c r="K67" s="2"/>
      <c r="L67" s="6">
        <f t="shared" si="42"/>
        <v>-600</v>
      </c>
      <c r="M67" s="2"/>
      <c r="N67" s="7">
        <f t="shared" si="43"/>
        <v>-1</v>
      </c>
      <c r="O67" s="11"/>
      <c r="P67" s="6"/>
      <c r="Q67" s="2"/>
      <c r="R67" s="7">
        <f t="shared" si="44"/>
        <v>0</v>
      </c>
      <c r="S67" s="2"/>
      <c r="T67" s="6">
        <v>6100</v>
      </c>
      <c r="U67" s="2"/>
      <c r="V67" s="7">
        <f t="shared" si="45"/>
        <v>2.2843280505987795E-3</v>
      </c>
      <c r="W67" s="2"/>
      <c r="X67" s="6">
        <f t="shared" si="46"/>
        <v>-6100</v>
      </c>
      <c r="Y67" s="2"/>
      <c r="Z67" s="7">
        <f t="shared" si="47"/>
        <v>-1</v>
      </c>
    </row>
    <row r="68" spans="1:26" s="24" customFormat="1" hidden="1" outlineLevel="2" x14ac:dyDescent="0.25">
      <c r="A68" s="25"/>
      <c r="B68" s="11" t="str">
        <f>CONCATENATE("          ", "6279", " - ", "GENERAL EXPENSE")</f>
        <v xml:space="preserve">          6279 - GENERAL EXPENSE</v>
      </c>
      <c r="C68" s="11"/>
      <c r="D68" s="6">
        <v>455</v>
      </c>
      <c r="E68" s="2"/>
      <c r="F68" s="7">
        <f t="shared" si="40"/>
        <v>7.0925755698338895E-3</v>
      </c>
      <c r="G68" s="2"/>
      <c r="H68" s="6">
        <v>21358.7</v>
      </c>
      <c r="I68" s="2"/>
      <c r="J68" s="7">
        <f t="shared" si="41"/>
        <v>3.8184096950317284E-2</v>
      </c>
      <c r="K68" s="2"/>
      <c r="L68" s="6">
        <f t="shared" si="42"/>
        <v>-20903.7</v>
      </c>
      <c r="M68" s="2"/>
      <c r="N68" s="7">
        <f t="shared" si="43"/>
        <v>-0.97869720535425841</v>
      </c>
      <c r="O68" s="11"/>
      <c r="P68" s="6">
        <v>4221.45</v>
      </c>
      <c r="Q68" s="2"/>
      <c r="R68" s="7">
        <f t="shared" si="44"/>
        <v>3.4589577086098222E-2</v>
      </c>
      <c r="S68" s="2"/>
      <c r="T68" s="6">
        <v>54977.19</v>
      </c>
      <c r="U68" s="2"/>
      <c r="V68" s="7">
        <f t="shared" si="45"/>
        <v>2.0587858567229299E-2</v>
      </c>
      <c r="W68" s="2"/>
      <c r="X68" s="6">
        <f t="shared" si="46"/>
        <v>-50755.740000000005</v>
      </c>
      <c r="Y68" s="2"/>
      <c r="Z68" s="7">
        <f t="shared" si="47"/>
        <v>-0.9232145186030789</v>
      </c>
    </row>
    <row r="69" spans="1:26" s="26" customFormat="1" outlineLevel="1" collapsed="1" x14ac:dyDescent="0.25">
      <c r="A69" s="27"/>
      <c r="B69" s="13" t="str">
        <f>CONCATENATE("     ","Insurance                                         ")</f>
        <v xml:space="preserve">     Insurance                                         </v>
      </c>
      <c r="C69" s="13"/>
      <c r="D69" s="1">
        <f>SUM(OSRRefD22_11x_0)</f>
        <v>4240.13</v>
      </c>
      <c r="E69" s="1"/>
      <c r="F69" s="5">
        <f t="shared" ref="F69:F80" si="48">IF(D$12=0,0,D69/D$12)</f>
        <v>6.6095477914109385E-2</v>
      </c>
      <c r="G69" s="1"/>
      <c r="H69" s="1">
        <f>SUM(OSRRefH22_11x_0)</f>
        <v>4240.13</v>
      </c>
      <c r="I69" s="1"/>
      <c r="J69" s="5">
        <f t="shared" ref="J69:J80" si="49">IF(H$12=0,0,H69/H$12)</f>
        <v>7.5803084926493102E-3</v>
      </c>
      <c r="K69" s="1"/>
      <c r="L69" s="1">
        <f t="shared" ref="L69:L80" si="50">+D69-H69</f>
        <v>0</v>
      </c>
      <c r="M69" s="1"/>
      <c r="N69" s="5">
        <f t="shared" ref="N69:N80" si="51">IF(H69=0,0,L69/H69)</f>
        <v>0</v>
      </c>
      <c r="O69" s="13"/>
      <c r="P69" s="1">
        <f>SUM(OSRRefP22_11x_0)</f>
        <v>27312.649999999998</v>
      </c>
      <c r="Q69" s="1"/>
      <c r="R69" s="5">
        <f t="shared" ref="R69:R80" si="52">IF(P$12=0,0,P69/P$12)</f>
        <v>0.22379348626671416</v>
      </c>
      <c r="S69" s="1"/>
      <c r="T69" s="1">
        <f>SUM(OSRRefT22_11x_0)</f>
        <v>21200.649999999998</v>
      </c>
      <c r="U69" s="1"/>
      <c r="V69" s="5">
        <f t="shared" ref="V69:V80" si="53">IF(T$12=0,0,T69/T$12)</f>
        <v>7.9392195878568873E-3</v>
      </c>
      <c r="W69" s="1"/>
      <c r="X69" s="1">
        <f t="shared" ref="X69:X80" si="54">+P69-T69</f>
        <v>6112</v>
      </c>
      <c r="Y69" s="1"/>
      <c r="Z69" s="5">
        <f t="shared" ref="Z69:Z80" si="55">IF(T69=0,0,X69/T69)</f>
        <v>0.28829304761882302</v>
      </c>
    </row>
    <row r="70" spans="1:26" s="24" customFormat="1" hidden="1" outlineLevel="2" x14ac:dyDescent="0.25">
      <c r="A70" s="25"/>
      <c r="B70" s="11" t="str">
        <f>CONCATENATE("          ", "6314", " - ", "LIABILITY INSURANCE")</f>
        <v xml:space="preserve">          6314 - LIABILITY INSURANCE</v>
      </c>
      <c r="C70" s="11"/>
      <c r="D70" s="6">
        <v>4240.13</v>
      </c>
      <c r="E70" s="2"/>
      <c r="F70" s="7">
        <f t="shared" si="48"/>
        <v>6.6095477914109385E-2</v>
      </c>
      <c r="G70" s="2"/>
      <c r="H70" s="6">
        <v>4240.13</v>
      </c>
      <c r="I70" s="2"/>
      <c r="J70" s="7">
        <f t="shared" si="49"/>
        <v>7.5803084926493102E-3</v>
      </c>
      <c r="K70" s="2"/>
      <c r="L70" s="6">
        <f t="shared" si="50"/>
        <v>0</v>
      </c>
      <c r="M70" s="2"/>
      <c r="N70" s="7">
        <f t="shared" si="51"/>
        <v>0</v>
      </c>
      <c r="O70" s="11"/>
      <c r="P70" s="6">
        <v>27312.649999999998</v>
      </c>
      <c r="Q70" s="2"/>
      <c r="R70" s="7">
        <f t="shared" si="52"/>
        <v>0.22379348626671416</v>
      </c>
      <c r="S70" s="2"/>
      <c r="T70" s="6">
        <v>21200.649999999998</v>
      </c>
      <c r="U70" s="2"/>
      <c r="V70" s="7">
        <f t="shared" si="53"/>
        <v>7.9392195878568873E-3</v>
      </c>
      <c r="W70" s="2"/>
      <c r="X70" s="6">
        <f t="shared" si="54"/>
        <v>6112</v>
      </c>
      <c r="Y70" s="2"/>
      <c r="Z70" s="7">
        <f t="shared" si="55"/>
        <v>0.28829304761882302</v>
      </c>
    </row>
    <row r="71" spans="1:26" s="26" customFormat="1" outlineLevel="1" collapsed="1" x14ac:dyDescent="0.25">
      <c r="A71" s="27"/>
      <c r="B71" s="13" t="str">
        <f>CONCATENATE("     ","Interest                                          ")</f>
        <v xml:space="preserve">     Interest                                          </v>
      </c>
      <c r="C71" s="13"/>
      <c r="D71" s="1">
        <f>SUM(OSRRefD22_12x_0)</f>
        <v>7510</v>
      </c>
      <c r="E71" s="1"/>
      <c r="F71" s="5">
        <f t="shared" si="48"/>
        <v>0.11706646709769782</v>
      </c>
      <c r="G71" s="1"/>
      <c r="H71" s="1">
        <f>SUM(OSRRefH22_12x_0)</f>
        <v>7754</v>
      </c>
      <c r="I71" s="1"/>
      <c r="J71" s="5">
        <f t="shared" si="49"/>
        <v>1.3862242915194287E-2</v>
      </c>
      <c r="K71" s="1"/>
      <c r="L71" s="1">
        <f t="shared" si="50"/>
        <v>-244</v>
      </c>
      <c r="M71" s="1"/>
      <c r="N71" s="5">
        <f t="shared" si="51"/>
        <v>-3.1467629610523601E-2</v>
      </c>
      <c r="O71" s="13"/>
      <c r="P71" s="1">
        <f>SUM(OSRRefP22_12x_0)</f>
        <v>37063.15</v>
      </c>
      <c r="Q71" s="1"/>
      <c r="R71" s="5">
        <f t="shared" si="52"/>
        <v>0.30368680997728775</v>
      </c>
      <c r="S71" s="1"/>
      <c r="T71" s="1">
        <f>SUM(OSRRefT22_12x_0)</f>
        <v>38377.049999999996</v>
      </c>
      <c r="U71" s="1"/>
      <c r="V71" s="5">
        <f t="shared" si="53"/>
        <v>1.4371438002333096E-2</v>
      </c>
      <c r="W71" s="1"/>
      <c r="X71" s="1">
        <f t="shared" si="54"/>
        <v>-1313.8999999999942</v>
      </c>
      <c r="Y71" s="1"/>
      <c r="Z71" s="5">
        <f t="shared" si="55"/>
        <v>-3.423660755581772E-2</v>
      </c>
    </row>
    <row r="72" spans="1:26" s="24" customFormat="1" hidden="1" outlineLevel="2" x14ac:dyDescent="0.25">
      <c r="A72" s="25"/>
      <c r="B72" s="11" t="str">
        <f>CONCATENATE("          ", "6401", " - ", "INTEREST EXPENSE")</f>
        <v xml:space="preserve">          6401 - INTEREST EXPENSE</v>
      </c>
      <c r="C72" s="11"/>
      <c r="D72" s="6">
        <v>7510</v>
      </c>
      <c r="E72" s="2"/>
      <c r="F72" s="7">
        <f t="shared" si="48"/>
        <v>0.11706646709769782</v>
      </c>
      <c r="G72" s="2"/>
      <c r="H72" s="6">
        <v>7754</v>
      </c>
      <c r="I72" s="2"/>
      <c r="J72" s="7">
        <f t="shared" si="49"/>
        <v>1.3862242915194287E-2</v>
      </c>
      <c r="K72" s="2"/>
      <c r="L72" s="6">
        <f t="shared" si="50"/>
        <v>-244</v>
      </c>
      <c r="M72" s="2"/>
      <c r="N72" s="7">
        <f t="shared" si="51"/>
        <v>-3.1467629610523601E-2</v>
      </c>
      <c r="O72" s="11"/>
      <c r="P72" s="6">
        <v>37063.15</v>
      </c>
      <c r="Q72" s="2"/>
      <c r="R72" s="7">
        <f t="shared" si="52"/>
        <v>0.30368680997728775</v>
      </c>
      <c r="S72" s="2"/>
      <c r="T72" s="6">
        <v>38377.049999999996</v>
      </c>
      <c r="U72" s="2"/>
      <c r="V72" s="7">
        <f t="shared" si="53"/>
        <v>1.4371438002333096E-2</v>
      </c>
      <c r="W72" s="2"/>
      <c r="X72" s="6">
        <f t="shared" si="54"/>
        <v>-1313.8999999999942</v>
      </c>
      <c r="Y72" s="2"/>
      <c r="Z72" s="7">
        <f t="shared" si="55"/>
        <v>-3.423660755581772E-2</v>
      </c>
    </row>
    <row r="73" spans="1:26" s="26" customFormat="1" outlineLevel="1" collapsed="1" x14ac:dyDescent="0.25">
      <c r="A73" s="27"/>
      <c r="B73" s="13" t="str">
        <f>CONCATENATE("     ","Professional Services                             ")</f>
        <v xml:space="preserve">     Professional Services                             </v>
      </c>
      <c r="C73" s="13"/>
      <c r="D73" s="1">
        <f>SUM(OSRRefD22_13x_0)</f>
        <v>0</v>
      </c>
      <c r="E73" s="1"/>
      <c r="F73" s="5">
        <f t="shared" si="48"/>
        <v>0</v>
      </c>
      <c r="G73" s="1"/>
      <c r="H73" s="1">
        <f>SUM(OSRRefH22_13x_0)</f>
        <v>0</v>
      </c>
      <c r="I73" s="1"/>
      <c r="J73" s="5">
        <f t="shared" si="49"/>
        <v>0</v>
      </c>
      <c r="K73" s="1"/>
      <c r="L73" s="1">
        <f t="shared" si="50"/>
        <v>0</v>
      </c>
      <c r="M73" s="1"/>
      <c r="N73" s="5">
        <f t="shared" si="51"/>
        <v>0</v>
      </c>
      <c r="O73" s="13"/>
      <c r="P73" s="1">
        <f>SUM(OSRRefP22_13x_0)</f>
        <v>0</v>
      </c>
      <c r="Q73" s="1"/>
      <c r="R73" s="5">
        <f t="shared" si="52"/>
        <v>0</v>
      </c>
      <c r="S73" s="1"/>
      <c r="T73" s="1">
        <f>SUM(OSRRefT22_13x_0)</f>
        <v>125</v>
      </c>
      <c r="U73" s="1"/>
      <c r="V73" s="5">
        <f t="shared" si="53"/>
        <v>4.6810001036860241E-5</v>
      </c>
      <c r="W73" s="1"/>
      <c r="X73" s="1">
        <f t="shared" si="54"/>
        <v>-125</v>
      </c>
      <c r="Y73" s="1"/>
      <c r="Z73" s="5">
        <f t="shared" si="55"/>
        <v>-1</v>
      </c>
    </row>
    <row r="74" spans="1:26" s="24" customFormat="1" hidden="1" outlineLevel="2" x14ac:dyDescent="0.25">
      <c r="A74" s="25"/>
      <c r="B74" s="11" t="str">
        <f>CONCATENATE("          ", "6336", " - ", "PROFESSIONAL SERVICES")</f>
        <v xml:space="preserve">          6336 - PROFESSIONAL SERVICES</v>
      </c>
      <c r="C74" s="11"/>
      <c r="D74" s="6"/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0</v>
      </c>
      <c r="M74" s="2"/>
      <c r="N74" s="7">
        <f t="shared" si="51"/>
        <v>0</v>
      </c>
      <c r="O74" s="11"/>
      <c r="P74" s="6"/>
      <c r="Q74" s="2"/>
      <c r="R74" s="7">
        <f t="shared" si="52"/>
        <v>0</v>
      </c>
      <c r="S74" s="2"/>
      <c r="T74" s="6">
        <v>125</v>
      </c>
      <c r="U74" s="2"/>
      <c r="V74" s="7">
        <f t="shared" si="53"/>
        <v>4.6810001036860241E-5</v>
      </c>
      <c r="W74" s="2"/>
      <c r="X74" s="6">
        <f t="shared" si="54"/>
        <v>-125</v>
      </c>
      <c r="Y74" s="2"/>
      <c r="Z74" s="7">
        <f t="shared" si="55"/>
        <v>-1</v>
      </c>
    </row>
    <row r="75" spans="1:26" s="26" customFormat="1" outlineLevel="1" collapsed="1" x14ac:dyDescent="0.25">
      <c r="A75" s="27"/>
      <c r="B75" s="13" t="str">
        <f>CONCATENATE("     ","Rent                                              ")</f>
        <v xml:space="preserve">     Rent                                              </v>
      </c>
      <c r="C75" s="13"/>
      <c r="D75" s="1">
        <f>SUM(OSRRefD22_14x_0)</f>
        <v>0</v>
      </c>
      <c r="E75" s="1"/>
      <c r="F75" s="5">
        <f t="shared" si="48"/>
        <v>0</v>
      </c>
      <c r="G75" s="1"/>
      <c r="H75" s="1">
        <f>SUM(OSRRefH22_14x_0)</f>
        <v>1850</v>
      </c>
      <c r="I75" s="1"/>
      <c r="J75" s="5">
        <f t="shared" si="49"/>
        <v>3.3073445180693104E-3</v>
      </c>
      <c r="K75" s="1"/>
      <c r="L75" s="1">
        <f t="shared" si="50"/>
        <v>-1850</v>
      </c>
      <c r="M75" s="1"/>
      <c r="N75" s="5">
        <f t="shared" si="51"/>
        <v>-1</v>
      </c>
      <c r="O75" s="13"/>
      <c r="P75" s="1">
        <f>SUM(OSRRefP22_14x_0)</f>
        <v>5550</v>
      </c>
      <c r="Q75" s="1"/>
      <c r="R75" s="5">
        <f t="shared" si="52"/>
        <v>4.5475406040068014E-2</v>
      </c>
      <c r="S75" s="1"/>
      <c r="T75" s="1">
        <f>SUM(OSRRefT22_14x_0)</f>
        <v>9250</v>
      </c>
      <c r="U75" s="1"/>
      <c r="V75" s="5">
        <f t="shared" si="53"/>
        <v>3.4639400767276576E-3</v>
      </c>
      <c r="W75" s="1"/>
      <c r="X75" s="1">
        <f t="shared" si="54"/>
        <v>-3700</v>
      </c>
      <c r="Y75" s="1"/>
      <c r="Z75" s="5">
        <f t="shared" si="55"/>
        <v>-0.4</v>
      </c>
    </row>
    <row r="76" spans="1:26" s="24" customFormat="1" hidden="1" outlineLevel="2" x14ac:dyDescent="0.25">
      <c r="A76" s="25"/>
      <c r="B76" s="11" t="str">
        <f>CONCATENATE("          ", "6273", " - ", "RENT")</f>
        <v xml:space="preserve">          6273 - RENT</v>
      </c>
      <c r="C76" s="11"/>
      <c r="D76" s="6"/>
      <c r="E76" s="2"/>
      <c r="F76" s="7">
        <f t="shared" si="48"/>
        <v>0</v>
      </c>
      <c r="G76" s="2"/>
      <c r="H76" s="6">
        <v>1850</v>
      </c>
      <c r="I76" s="2"/>
      <c r="J76" s="7">
        <f t="shared" si="49"/>
        <v>3.3073445180693104E-3</v>
      </c>
      <c r="K76" s="2"/>
      <c r="L76" s="6">
        <f t="shared" si="50"/>
        <v>-1850</v>
      </c>
      <c r="M76" s="2"/>
      <c r="N76" s="7">
        <f t="shared" si="51"/>
        <v>-1</v>
      </c>
      <c r="O76" s="11"/>
      <c r="P76" s="6">
        <v>5550</v>
      </c>
      <c r="Q76" s="2"/>
      <c r="R76" s="7">
        <f t="shared" si="52"/>
        <v>4.5475406040068014E-2</v>
      </c>
      <c r="S76" s="2"/>
      <c r="T76" s="6">
        <v>9250</v>
      </c>
      <c r="U76" s="2"/>
      <c r="V76" s="7">
        <f t="shared" si="53"/>
        <v>3.4639400767276576E-3</v>
      </c>
      <c r="W76" s="2"/>
      <c r="X76" s="6">
        <f t="shared" si="54"/>
        <v>-3700</v>
      </c>
      <c r="Y76" s="2"/>
      <c r="Z76" s="7">
        <f t="shared" si="55"/>
        <v>-0.4</v>
      </c>
    </row>
    <row r="77" spans="1:26" s="26" customFormat="1" outlineLevel="1" collapsed="1" x14ac:dyDescent="0.25">
      <c r="A77" s="27"/>
      <c r="B77" s="13" t="str">
        <f>CONCATENATE("     ","Repair and Maintenance                            ")</f>
        <v xml:space="preserve">     Repair and Maintenance                            </v>
      </c>
      <c r="C77" s="13"/>
      <c r="D77" s="1">
        <f>SUM(OSRRefD22_15x_0)</f>
        <v>3165.13</v>
      </c>
      <c r="E77" s="1"/>
      <c r="F77" s="5">
        <f t="shared" si="48"/>
        <v>4.9338293875490852E-2</v>
      </c>
      <c r="G77" s="1"/>
      <c r="H77" s="1">
        <f>SUM(OSRRefH22_15x_0)</f>
        <v>12607.89</v>
      </c>
      <c r="I77" s="1"/>
      <c r="J77" s="5">
        <f t="shared" si="49"/>
        <v>2.2539803176173445E-2</v>
      </c>
      <c r="K77" s="1"/>
      <c r="L77" s="1">
        <f t="shared" si="50"/>
        <v>-9442.7599999999984</v>
      </c>
      <c r="M77" s="1"/>
      <c r="N77" s="5">
        <f t="shared" si="51"/>
        <v>-0.74895640745596592</v>
      </c>
      <c r="O77" s="13"/>
      <c r="P77" s="1">
        <f>SUM(OSRRefP22_15x_0)</f>
        <v>18172.260000000002</v>
      </c>
      <c r="Q77" s="1"/>
      <c r="R77" s="5">
        <f t="shared" si="52"/>
        <v>0.14889926165147505</v>
      </c>
      <c r="S77" s="1"/>
      <c r="T77" s="1">
        <f>SUM(OSRRefT22_15x_0)</f>
        <v>118716.05</v>
      </c>
      <c r="U77" s="1"/>
      <c r="V77" s="5">
        <f t="shared" si="53"/>
        <v>4.4456787388735618E-2</v>
      </c>
      <c r="W77" s="1"/>
      <c r="X77" s="1">
        <f t="shared" si="54"/>
        <v>-100543.79000000001</v>
      </c>
      <c r="Y77" s="1"/>
      <c r="Z77" s="5">
        <f t="shared" si="55"/>
        <v>-0.8469266792485094</v>
      </c>
    </row>
    <row r="78" spans="1:26" s="24" customFormat="1" hidden="1" outlineLevel="2" x14ac:dyDescent="0.25">
      <c r="A78" s="25"/>
      <c r="B78" s="11" t="str">
        <f>CONCATENATE("          ", "6371", " - ", "COMPUTER SOFTWARE MAINTENANCE")</f>
        <v xml:space="preserve">          6371 - COMPUTER SOFTWARE MAINTENANCE</v>
      </c>
      <c r="C78" s="11"/>
      <c r="D78" s="6"/>
      <c r="E78" s="2"/>
      <c r="F78" s="7">
        <f t="shared" si="48"/>
        <v>0</v>
      </c>
      <c r="G78" s="2"/>
      <c r="H78" s="6"/>
      <c r="I78" s="2"/>
      <c r="J78" s="7">
        <f t="shared" si="49"/>
        <v>0</v>
      </c>
      <c r="K78" s="2"/>
      <c r="L78" s="6">
        <f t="shared" si="50"/>
        <v>0</v>
      </c>
      <c r="M78" s="2"/>
      <c r="N78" s="7">
        <f t="shared" si="51"/>
        <v>0</v>
      </c>
      <c r="O78" s="11"/>
      <c r="P78" s="6"/>
      <c r="Q78" s="2"/>
      <c r="R78" s="7">
        <f t="shared" si="52"/>
        <v>0</v>
      </c>
      <c r="S78" s="2"/>
      <c r="T78" s="6">
        <v>10932.69</v>
      </c>
      <c r="U78" s="2"/>
      <c r="V78" s="7">
        <f t="shared" si="53"/>
        <v>4.0940738418853723E-3</v>
      </c>
      <c r="W78" s="2"/>
      <c r="X78" s="6">
        <f t="shared" si="54"/>
        <v>-10932.69</v>
      </c>
      <c r="Y78" s="2"/>
      <c r="Z78" s="7">
        <f t="shared" si="55"/>
        <v>-1</v>
      </c>
    </row>
    <row r="79" spans="1:26" s="24" customFormat="1" hidden="1" outlineLevel="2" x14ac:dyDescent="0.25">
      <c r="A79" s="25"/>
      <c r="B79" s="11" t="str">
        <f>CONCATENATE("          ", "6373", " - ", "MAINTENANCE CONTRACTS")</f>
        <v xml:space="preserve">          6373 - MAINTENANCE CONTRACTS</v>
      </c>
      <c r="C79" s="11"/>
      <c r="D79" s="6">
        <v>900.01</v>
      </c>
      <c r="E79" s="2"/>
      <c r="F79" s="7">
        <f t="shared" si="48"/>
        <v>1.4029426238694942E-2</v>
      </c>
      <c r="G79" s="2"/>
      <c r="H79" s="6">
        <v>8621.15</v>
      </c>
      <c r="I79" s="2"/>
      <c r="J79" s="7">
        <f t="shared" si="49"/>
        <v>1.5412493617272018E-2</v>
      </c>
      <c r="K79" s="2"/>
      <c r="L79" s="6">
        <f t="shared" si="50"/>
        <v>-7721.1399999999994</v>
      </c>
      <c r="M79" s="2"/>
      <c r="N79" s="7">
        <f t="shared" si="51"/>
        <v>-0.89560441472425367</v>
      </c>
      <c r="O79" s="11"/>
      <c r="P79" s="6">
        <v>9777.19</v>
      </c>
      <c r="Q79" s="2"/>
      <c r="R79" s="7">
        <f t="shared" si="52"/>
        <v>8.0112015347908586E-2</v>
      </c>
      <c r="S79" s="2"/>
      <c r="T79" s="6">
        <v>41066.53</v>
      </c>
      <c r="U79" s="2"/>
      <c r="V79" s="7">
        <f t="shared" si="53"/>
        <v>1.5378594495042017E-2</v>
      </c>
      <c r="W79" s="2"/>
      <c r="X79" s="6">
        <f t="shared" si="54"/>
        <v>-31289.339999999997</v>
      </c>
      <c r="Y79" s="2"/>
      <c r="Z79" s="7">
        <f t="shared" si="55"/>
        <v>-0.76191828235792014</v>
      </c>
    </row>
    <row r="80" spans="1:26" s="24" customFormat="1" hidden="1" outlineLevel="2" x14ac:dyDescent="0.25">
      <c r="A80" s="25"/>
      <c r="B80" s="11" t="str">
        <f>CONCATENATE("          ", "6375", " - ", "OUTSIDE REPAIRS &amp; MAINTENANCE")</f>
        <v xml:space="preserve">          6375 - OUTSIDE REPAIRS &amp; MAINTENANCE</v>
      </c>
      <c r="C80" s="11"/>
      <c r="D80" s="6">
        <v>2265.12</v>
      </c>
      <c r="E80" s="2"/>
      <c r="F80" s="7">
        <f t="shared" si="48"/>
        <v>3.5308867636795908E-2</v>
      </c>
      <c r="G80" s="2"/>
      <c r="H80" s="6">
        <v>3986.74</v>
      </c>
      <c r="I80" s="2"/>
      <c r="J80" s="7">
        <f t="shared" si="49"/>
        <v>7.1273095589014278E-3</v>
      </c>
      <c r="K80" s="2"/>
      <c r="L80" s="6">
        <f t="shared" si="50"/>
        <v>-1721.62</v>
      </c>
      <c r="M80" s="2"/>
      <c r="N80" s="7">
        <f t="shared" si="51"/>
        <v>-0.43183653812388068</v>
      </c>
      <c r="O80" s="11"/>
      <c r="P80" s="6">
        <v>8395.07</v>
      </c>
      <c r="Q80" s="2"/>
      <c r="R80" s="7">
        <f t="shared" si="52"/>
        <v>6.8787246303566446E-2</v>
      </c>
      <c r="S80" s="2"/>
      <c r="T80" s="6">
        <v>66716.83</v>
      </c>
      <c r="U80" s="2"/>
      <c r="V80" s="7">
        <f t="shared" si="53"/>
        <v>2.4984119051808227E-2</v>
      </c>
      <c r="W80" s="2"/>
      <c r="X80" s="6">
        <f t="shared" si="54"/>
        <v>-58321.760000000002</v>
      </c>
      <c r="Y80" s="2"/>
      <c r="Z80" s="7">
        <f t="shared" si="55"/>
        <v>-0.87416863181299231</v>
      </c>
    </row>
    <row r="81" spans="1:26" s="26" customFormat="1" outlineLevel="1" collapsed="1" x14ac:dyDescent="0.25">
      <c r="A81" s="27"/>
      <c r="B81" s="13" t="str">
        <f>CONCATENATE("     ","Royalty &amp; Commissions                             ")</f>
        <v xml:space="preserve">     Royalty &amp; Commissions                             </v>
      </c>
      <c r="C81" s="13"/>
      <c r="D81" s="1">
        <f>SUM(OSRRefD22_16x_0)</f>
        <v>0</v>
      </c>
      <c r="E81" s="1"/>
      <c r="F81" s="5">
        <f t="shared" ref="F81:F83" si="56">IF(D$12=0,0,D81/D$12)</f>
        <v>0</v>
      </c>
      <c r="G81" s="1"/>
      <c r="H81" s="1">
        <f>SUM(OSRRefH22_16x_0)</f>
        <v>22370.73</v>
      </c>
      <c r="I81" s="1"/>
      <c r="J81" s="5">
        <f t="shared" ref="J81:J83" si="57">IF(H$12=0,0,H81/H$12)</f>
        <v>3.9993357422004681E-2</v>
      </c>
      <c r="K81" s="1"/>
      <c r="L81" s="1">
        <f t="shared" ref="L81:L83" si="58">+D81-H81</f>
        <v>-22370.73</v>
      </c>
      <c r="M81" s="1"/>
      <c r="N81" s="5">
        <f t="shared" ref="N81:N83" si="59">IF(H81=0,0,L81/H81)</f>
        <v>-1</v>
      </c>
      <c r="O81" s="13"/>
      <c r="P81" s="1">
        <f>SUM(OSRRefP22_16x_0)</f>
        <v>0</v>
      </c>
      <c r="Q81" s="1"/>
      <c r="R81" s="5">
        <f t="shared" ref="R81:R83" si="60">IF(P$12=0,0,P81/P$12)</f>
        <v>0</v>
      </c>
      <c r="S81" s="1"/>
      <c r="T81" s="1">
        <f>SUM(OSRRefT22_16x_0)</f>
        <v>114719.6</v>
      </c>
      <c r="U81" s="1"/>
      <c r="V81" s="5">
        <f t="shared" ref="V81:V83" si="61">IF(T$12=0,0,T81/T$12)</f>
        <v>4.2960196759585539E-2</v>
      </c>
      <c r="W81" s="1"/>
      <c r="X81" s="1">
        <f t="shared" ref="X81:X83" si="62">+P81-T81</f>
        <v>-114719.6</v>
      </c>
      <c r="Y81" s="1"/>
      <c r="Z81" s="5">
        <f t="shared" ref="Z81:Z83" si="63">IF(T81=0,0,X81/T81)</f>
        <v>-1</v>
      </c>
    </row>
    <row r="82" spans="1:26" s="24" customFormat="1" hidden="1" outlineLevel="2" x14ac:dyDescent="0.25">
      <c r="A82" s="25"/>
      <c r="B82" s="11" t="str">
        <f>CONCATENATE("          ", "6254", " - ", "ROYALTY &amp; COMMISSIONS")</f>
        <v xml:space="preserve">          6254 - ROYALTY &amp; COMMISSIONS</v>
      </c>
      <c r="C82" s="11"/>
      <c r="D82" s="6"/>
      <c r="E82" s="2"/>
      <c r="F82" s="7">
        <f t="shared" si="56"/>
        <v>0</v>
      </c>
      <c r="G82" s="2"/>
      <c r="H82" s="6">
        <v>8007.21</v>
      </c>
      <c r="I82" s="2"/>
      <c r="J82" s="7">
        <f t="shared" si="57"/>
        <v>1.4314920053259331E-2</v>
      </c>
      <c r="K82" s="2"/>
      <c r="L82" s="6">
        <f t="shared" si="58"/>
        <v>-8007.21</v>
      </c>
      <c r="M82" s="2"/>
      <c r="N82" s="7">
        <f t="shared" si="59"/>
        <v>-1</v>
      </c>
      <c r="O82" s="11"/>
      <c r="P82" s="6"/>
      <c r="Q82" s="2"/>
      <c r="R82" s="7">
        <f t="shared" si="60"/>
        <v>0</v>
      </c>
      <c r="S82" s="2"/>
      <c r="T82" s="6">
        <v>52986.720000000001</v>
      </c>
      <c r="U82" s="2"/>
      <c r="V82" s="7">
        <f t="shared" si="61"/>
        <v>1.9842467345118586E-2</v>
      </c>
      <c r="W82" s="2"/>
      <c r="X82" s="6">
        <f t="shared" si="62"/>
        <v>-52986.720000000001</v>
      </c>
      <c r="Y82" s="2"/>
      <c r="Z82" s="7">
        <f t="shared" si="63"/>
        <v>-1</v>
      </c>
    </row>
    <row r="83" spans="1:26" s="24" customFormat="1" hidden="1" outlineLevel="2" x14ac:dyDescent="0.25">
      <c r="A83" s="25"/>
      <c r="B83" s="11" t="str">
        <f>CONCATENATE("          ", "6259", " - ", "ROYALTY &amp; COMMISSIONS")</f>
        <v xml:space="preserve">          6259 - ROYALTY &amp; COMMISSIONS</v>
      </c>
      <c r="C83" s="11"/>
      <c r="D83" s="6"/>
      <c r="E83" s="2"/>
      <c r="F83" s="7">
        <f t="shared" si="56"/>
        <v>0</v>
      </c>
      <c r="G83" s="2"/>
      <c r="H83" s="6">
        <v>14363.52</v>
      </c>
      <c r="I83" s="2"/>
      <c r="J83" s="7">
        <f t="shared" si="57"/>
        <v>2.5678437368745352E-2</v>
      </c>
      <c r="K83" s="2"/>
      <c r="L83" s="6">
        <f t="shared" si="58"/>
        <v>-14363.52</v>
      </c>
      <c r="M83" s="2"/>
      <c r="N83" s="7">
        <f t="shared" si="59"/>
        <v>-1</v>
      </c>
      <c r="O83" s="11"/>
      <c r="P83" s="6"/>
      <c r="Q83" s="2"/>
      <c r="R83" s="7">
        <f t="shared" si="60"/>
        <v>0</v>
      </c>
      <c r="S83" s="2"/>
      <c r="T83" s="6">
        <v>61732.88</v>
      </c>
      <c r="U83" s="2"/>
      <c r="V83" s="7">
        <f t="shared" si="61"/>
        <v>2.3117729414466947E-2</v>
      </c>
      <c r="W83" s="2"/>
      <c r="X83" s="6">
        <f t="shared" si="62"/>
        <v>-61732.88</v>
      </c>
      <c r="Y83" s="2"/>
      <c r="Z83" s="7">
        <f t="shared" si="63"/>
        <v>-1</v>
      </c>
    </row>
    <row r="84" spans="1:26" s="26" customFormat="1" outlineLevel="1" collapsed="1" x14ac:dyDescent="0.25">
      <c r="A84" s="27"/>
      <c r="B84" s="13" t="str">
        <f>CONCATENATE("     ","Services                                          ")</f>
        <v xml:space="preserve">     Services                                          </v>
      </c>
      <c r="C84" s="13"/>
      <c r="D84" s="1">
        <f>SUM(OSRRefD22_17x_0)</f>
        <v>8548.44</v>
      </c>
      <c r="E84" s="1"/>
      <c r="F84" s="5">
        <f t="shared" ref="F84:F89" si="64">IF(D$12=0,0,D84/D$12)</f>
        <v>0.13325375099822157</v>
      </c>
      <c r="G84" s="1"/>
      <c r="H84" s="1">
        <f>SUM(OSRRefH22_17x_0)</f>
        <v>21411.089999999997</v>
      </c>
      <c r="I84" s="1"/>
      <c r="J84" s="5">
        <f t="shared" ref="J84:J89" si="65">IF(H$12=0,0,H84/H$12)</f>
        <v>3.8277757371561416E-2</v>
      </c>
      <c r="K84" s="1"/>
      <c r="L84" s="1">
        <f t="shared" ref="L84:L89" si="66">+D84-H84</f>
        <v>-12862.649999999996</v>
      </c>
      <c r="M84" s="1"/>
      <c r="N84" s="5">
        <f t="shared" ref="N84:N89" si="67">IF(H84=0,0,L84/H84)</f>
        <v>-0.60074708947559408</v>
      </c>
      <c r="O84" s="13"/>
      <c r="P84" s="1">
        <f>SUM(OSRRefP22_17x_0)</f>
        <v>25529.23</v>
      </c>
      <c r="Q84" s="1"/>
      <c r="R84" s="5">
        <f t="shared" ref="R84:R89" si="68">IF(P$12=0,0,P84/P$12)</f>
        <v>0.20918055858383525</v>
      </c>
      <c r="S84" s="1"/>
      <c r="T84" s="1">
        <f>SUM(OSRRefT22_17x_0)</f>
        <v>103465.06</v>
      </c>
      <c r="U84" s="1"/>
      <c r="V84" s="5">
        <f t="shared" ref="V84:V89" si="69">IF(T$12=0,0,T84/T$12)</f>
        <v>3.8745596527030454E-2</v>
      </c>
      <c r="W84" s="1"/>
      <c r="X84" s="1">
        <f t="shared" ref="X84:X89" si="70">+P84-T84</f>
        <v>-77935.83</v>
      </c>
      <c r="Y84" s="1"/>
      <c r="Z84" s="5">
        <f t="shared" ref="Z84:Z89" si="71">IF(T84=0,0,X84/T84)</f>
        <v>-0.7532574764852985</v>
      </c>
    </row>
    <row r="85" spans="1:26" s="24" customFormat="1" hidden="1" outlineLevel="2" x14ac:dyDescent="0.25">
      <c r="A85" s="25"/>
      <c r="B85" s="11" t="str">
        <f>CONCATENATE("          ", "6282", " - ", "JANITORIAL/EXTERMINATOR EXPENS")</f>
        <v xml:space="preserve">          6282 - JANITORIAL/EXTERMINATOR EXPENS</v>
      </c>
      <c r="C85" s="11"/>
      <c r="D85" s="6"/>
      <c r="E85" s="2"/>
      <c r="F85" s="7">
        <f t="shared" si="64"/>
        <v>0</v>
      </c>
      <c r="G85" s="2"/>
      <c r="H85" s="6">
        <v>1277.57</v>
      </c>
      <c r="I85" s="2"/>
      <c r="J85" s="7">
        <f t="shared" si="65"/>
        <v>2.2839806140269236E-3</v>
      </c>
      <c r="K85" s="2"/>
      <c r="L85" s="6">
        <f t="shared" si="66"/>
        <v>-1277.57</v>
      </c>
      <c r="M85" s="2"/>
      <c r="N85" s="7">
        <f t="shared" si="67"/>
        <v>-1</v>
      </c>
      <c r="O85" s="11"/>
      <c r="P85" s="6">
        <v>1752.65</v>
      </c>
      <c r="Q85" s="2"/>
      <c r="R85" s="7">
        <f t="shared" si="68"/>
        <v>1.4360805476779316E-2</v>
      </c>
      <c r="S85" s="2"/>
      <c r="T85" s="6">
        <v>6387.85</v>
      </c>
      <c r="U85" s="2"/>
      <c r="V85" s="7">
        <f t="shared" si="69"/>
        <v>2.3921221209864617E-3</v>
      </c>
      <c r="W85" s="2"/>
      <c r="X85" s="6">
        <f t="shared" si="70"/>
        <v>-4635.2000000000007</v>
      </c>
      <c r="Y85" s="2"/>
      <c r="Z85" s="7">
        <f t="shared" si="71"/>
        <v>-0.72562755856821948</v>
      </c>
    </row>
    <row r="86" spans="1:26" s="24" customFormat="1" hidden="1" outlineLevel="2" x14ac:dyDescent="0.25">
      <c r="A86" s="25"/>
      <c r="B86" s="11" t="str">
        <f>CONCATENATE("          ", "6283", " - ", "PLANT SERVICE")</f>
        <v xml:space="preserve">          6283 - PLANT SERVICE</v>
      </c>
      <c r="C86" s="11"/>
      <c r="D86" s="6"/>
      <c r="E86" s="2"/>
      <c r="F86" s="7">
        <f t="shared" si="64"/>
        <v>0</v>
      </c>
      <c r="G86" s="2"/>
      <c r="H86" s="6">
        <v>199.78</v>
      </c>
      <c r="I86" s="2"/>
      <c r="J86" s="7">
        <f t="shared" si="65"/>
        <v>3.5715745287561449E-4</v>
      </c>
      <c r="K86" s="2"/>
      <c r="L86" s="6">
        <f t="shared" si="66"/>
        <v>-199.78</v>
      </c>
      <c r="M86" s="2"/>
      <c r="N86" s="7">
        <f t="shared" si="67"/>
        <v>-1</v>
      </c>
      <c r="O86" s="11"/>
      <c r="P86" s="6"/>
      <c r="Q86" s="2"/>
      <c r="R86" s="7">
        <f t="shared" si="68"/>
        <v>0</v>
      </c>
      <c r="S86" s="2"/>
      <c r="T86" s="6">
        <v>799.12</v>
      </c>
      <c r="U86" s="2"/>
      <c r="V86" s="7">
        <f t="shared" si="69"/>
        <v>2.9925446422860601E-4</v>
      </c>
      <c r="W86" s="2"/>
      <c r="X86" s="6">
        <f t="shared" si="70"/>
        <v>-799.12</v>
      </c>
      <c r="Y86" s="2"/>
      <c r="Z86" s="7">
        <f t="shared" si="71"/>
        <v>-1</v>
      </c>
    </row>
    <row r="87" spans="1:26" s="24" customFormat="1" hidden="1" outlineLevel="2" x14ac:dyDescent="0.25">
      <c r="A87" s="25"/>
      <c r="B87" s="11" t="str">
        <f>CONCATENATE("          ", "6284", " - ", "TRASH REMOVAL EXPENSE")</f>
        <v xml:space="preserve">          6284 - TRASH REMOVAL EXPENSE</v>
      </c>
      <c r="C87" s="11"/>
      <c r="D87" s="6">
        <v>5369</v>
      </c>
      <c r="E87" s="2"/>
      <c r="F87" s="7">
        <f t="shared" si="64"/>
        <v>8.3692391724039888E-2</v>
      </c>
      <c r="G87" s="2"/>
      <c r="H87" s="6">
        <v>4199</v>
      </c>
      <c r="I87" s="2"/>
      <c r="J87" s="7">
        <f t="shared" si="65"/>
        <v>7.5067781791205591E-3</v>
      </c>
      <c r="K87" s="2"/>
      <c r="L87" s="6">
        <f t="shared" si="66"/>
        <v>1170</v>
      </c>
      <c r="M87" s="2"/>
      <c r="N87" s="7">
        <f t="shared" si="67"/>
        <v>0.27863777089783281</v>
      </c>
      <c r="O87" s="11"/>
      <c r="P87" s="6">
        <v>13499</v>
      </c>
      <c r="Q87" s="2"/>
      <c r="R87" s="7">
        <f t="shared" si="68"/>
        <v>0.1106076587630411</v>
      </c>
      <c r="S87" s="2"/>
      <c r="T87" s="6">
        <v>13220</v>
      </c>
      <c r="U87" s="2"/>
      <c r="V87" s="7">
        <f t="shared" si="69"/>
        <v>4.9506257096583392E-3</v>
      </c>
      <c r="W87" s="2"/>
      <c r="X87" s="6">
        <f t="shared" si="70"/>
        <v>279</v>
      </c>
      <c r="Y87" s="2"/>
      <c r="Z87" s="7">
        <f t="shared" si="71"/>
        <v>2.1104387291981847E-2</v>
      </c>
    </row>
    <row r="88" spans="1:26" s="24" customFormat="1" hidden="1" outlineLevel="2" x14ac:dyDescent="0.25">
      <c r="A88" s="25"/>
      <c r="B88" s="11" t="str">
        <f>CONCATENATE("          ", "6285", " - ", "JANITORIAL SERVICES")</f>
        <v xml:space="preserve">          6285 - JANITORIAL SERVICES</v>
      </c>
      <c r="C88" s="11"/>
      <c r="D88" s="6">
        <v>3179.44</v>
      </c>
      <c r="E88" s="2"/>
      <c r="F88" s="7">
        <f t="shared" si="64"/>
        <v>4.956135927418167E-2</v>
      </c>
      <c r="G88" s="2"/>
      <c r="H88" s="6">
        <v>13319.46</v>
      </c>
      <c r="I88" s="2"/>
      <c r="J88" s="7">
        <f t="shared" si="65"/>
        <v>2.3811915143050515E-2</v>
      </c>
      <c r="K88" s="2"/>
      <c r="L88" s="6">
        <f t="shared" si="66"/>
        <v>-10140.019999999999</v>
      </c>
      <c r="M88" s="2"/>
      <c r="N88" s="7">
        <f t="shared" si="67"/>
        <v>-0.76129362601787154</v>
      </c>
      <c r="O88" s="11"/>
      <c r="P88" s="6">
        <v>9591.3700000000008</v>
      </c>
      <c r="Q88" s="2"/>
      <c r="R88" s="7">
        <f t="shared" si="68"/>
        <v>7.8589449591085977E-2</v>
      </c>
      <c r="S88" s="2"/>
      <c r="T88" s="6">
        <v>66327.3</v>
      </c>
      <c r="U88" s="2"/>
      <c r="V88" s="7">
        <f t="shared" si="69"/>
        <v>2.4838247854177122E-2</v>
      </c>
      <c r="W88" s="2"/>
      <c r="X88" s="6">
        <f t="shared" si="70"/>
        <v>-56735.93</v>
      </c>
      <c r="Y88" s="2"/>
      <c r="Z88" s="7">
        <f t="shared" si="71"/>
        <v>-0.85539332974506721</v>
      </c>
    </row>
    <row r="89" spans="1:26" s="24" customFormat="1" hidden="1" outlineLevel="2" x14ac:dyDescent="0.25">
      <c r="A89" s="25"/>
      <c r="B89" s="11" t="str">
        <f>CONCATENATE("          ", "6286", " - ", "LAUNDRY EXPENSE")</f>
        <v xml:space="preserve">          6286 - LAUNDRY EXPENSE</v>
      </c>
      <c r="C89" s="11"/>
      <c r="D89" s="6"/>
      <c r="E89" s="2"/>
      <c r="F89" s="7">
        <f t="shared" si="64"/>
        <v>0</v>
      </c>
      <c r="G89" s="2"/>
      <c r="H89" s="6">
        <v>2415.2800000000002</v>
      </c>
      <c r="I89" s="2"/>
      <c r="J89" s="7">
        <f t="shared" si="65"/>
        <v>4.3179259824878075E-3</v>
      </c>
      <c r="K89" s="2"/>
      <c r="L89" s="6">
        <f t="shared" si="66"/>
        <v>-2415.2800000000002</v>
      </c>
      <c r="M89" s="2"/>
      <c r="N89" s="7">
        <f t="shared" si="67"/>
        <v>-1</v>
      </c>
      <c r="O89" s="11"/>
      <c r="P89" s="6">
        <v>686.21</v>
      </c>
      <c r="Q89" s="2"/>
      <c r="R89" s="7">
        <f t="shared" si="68"/>
        <v>5.6226447529288421E-3</v>
      </c>
      <c r="S89" s="2"/>
      <c r="T89" s="6">
        <v>16730.79</v>
      </c>
      <c r="U89" s="2"/>
      <c r="V89" s="7">
        <f t="shared" si="69"/>
        <v>6.2653463779799275E-3</v>
      </c>
      <c r="W89" s="2"/>
      <c r="X89" s="6">
        <f t="shared" si="70"/>
        <v>-16044.580000000002</v>
      </c>
      <c r="Y89" s="2"/>
      <c r="Z89" s="7">
        <f t="shared" si="71"/>
        <v>-0.95898520034021117</v>
      </c>
    </row>
    <row r="90" spans="1:26" s="26" customFormat="1" outlineLevel="1" collapsed="1" x14ac:dyDescent="0.25">
      <c r="A90" s="27"/>
      <c r="B90" s="13" t="str">
        <f>CONCATENATE("     ","Subscriptions &amp; Dues                              ")</f>
        <v xml:space="preserve">     Subscriptions &amp; Dues                              </v>
      </c>
      <c r="C90" s="13"/>
      <c r="D90" s="1">
        <f>SUM(OSRRefD22_18x_0)</f>
        <v>0</v>
      </c>
      <c r="E90" s="1"/>
      <c r="F90" s="5">
        <f t="shared" ref="F90:F101" si="72">IF(D$12=0,0,D90/D$12)</f>
        <v>0</v>
      </c>
      <c r="G90" s="1"/>
      <c r="H90" s="1">
        <f>SUM(OSRRefH22_18x_0)</f>
        <v>454.78</v>
      </c>
      <c r="I90" s="1"/>
      <c r="J90" s="5">
        <f t="shared" ref="J90:J101" si="73">IF(H$12=0,0,H90/H$12)</f>
        <v>8.130346702311139E-4</v>
      </c>
      <c r="K90" s="1"/>
      <c r="L90" s="1">
        <f t="shared" ref="L90:L101" si="74">+D90-H90</f>
        <v>-454.78</v>
      </c>
      <c r="M90" s="1"/>
      <c r="N90" s="5">
        <f t="shared" ref="N90:N101" si="75">IF(H90=0,0,L90/H90)</f>
        <v>-1</v>
      </c>
      <c r="O90" s="13"/>
      <c r="P90" s="1">
        <f>SUM(OSRRefP22_18x_0)</f>
        <v>271.33</v>
      </c>
      <c r="Q90" s="1"/>
      <c r="R90" s="5">
        <f t="shared" ref="R90:R101" si="76">IF(P$12=0,0,P90/P$12)</f>
        <v>2.2232147605138115E-3</v>
      </c>
      <c r="S90" s="1"/>
      <c r="T90" s="1">
        <f>SUM(OSRRefT22_18x_0)</f>
        <v>2151.1799999999998</v>
      </c>
      <c r="U90" s="1"/>
      <c r="V90" s="5">
        <f t="shared" ref="V90:V101" si="77">IF(T$12=0,0,T90/T$12)</f>
        <v>8.0557390424378398E-4</v>
      </c>
      <c r="W90" s="1"/>
      <c r="X90" s="1">
        <f t="shared" ref="X90:X101" si="78">+P90-T90</f>
        <v>-1879.85</v>
      </c>
      <c r="Y90" s="1"/>
      <c r="Z90" s="5">
        <f t="shared" ref="Z90:Z101" si="79">IF(T90=0,0,X90/T90)</f>
        <v>-0.87386922526241417</v>
      </c>
    </row>
    <row r="91" spans="1:26" s="24" customFormat="1" hidden="1" outlineLevel="2" x14ac:dyDescent="0.25">
      <c r="A91" s="25"/>
      <c r="B91" s="11" t="str">
        <f>CONCATENATE("          ", "6275", " - ", "SUBSCRIPTIONS")</f>
        <v xml:space="preserve">          6275 - SUBSCRIPTIONS</v>
      </c>
      <c r="C91" s="11"/>
      <c r="D91" s="6"/>
      <c r="E91" s="2"/>
      <c r="F91" s="7">
        <f t="shared" si="72"/>
        <v>0</v>
      </c>
      <c r="G91" s="2"/>
      <c r="H91" s="6">
        <v>454.78</v>
      </c>
      <c r="I91" s="2"/>
      <c r="J91" s="7">
        <f t="shared" si="73"/>
        <v>8.130346702311139E-4</v>
      </c>
      <c r="K91" s="2"/>
      <c r="L91" s="6">
        <f t="shared" si="74"/>
        <v>-454.78</v>
      </c>
      <c r="M91" s="2"/>
      <c r="N91" s="7">
        <f t="shared" si="75"/>
        <v>-1</v>
      </c>
      <c r="O91" s="11"/>
      <c r="P91" s="6">
        <v>271.33</v>
      </c>
      <c r="Q91" s="2"/>
      <c r="R91" s="7">
        <f t="shared" si="76"/>
        <v>2.2232147605138115E-3</v>
      </c>
      <c r="S91" s="2"/>
      <c r="T91" s="6">
        <v>2151.1799999999998</v>
      </c>
      <c r="U91" s="2"/>
      <c r="V91" s="7">
        <f t="shared" si="77"/>
        <v>8.0557390424378398E-4</v>
      </c>
      <c r="W91" s="2"/>
      <c r="X91" s="6">
        <f t="shared" si="78"/>
        <v>-1879.85</v>
      </c>
      <c r="Y91" s="2"/>
      <c r="Z91" s="7">
        <f t="shared" si="79"/>
        <v>-0.87386922526241417</v>
      </c>
    </row>
    <row r="92" spans="1:26" s="26" customFormat="1" outlineLevel="1" collapsed="1" x14ac:dyDescent="0.25">
      <c r="A92" s="27"/>
      <c r="B92" s="13" t="str">
        <f>CONCATENATE("     ","Supplies                                          ")</f>
        <v xml:space="preserve">     Supplies                                          </v>
      </c>
      <c r="C92" s="13"/>
      <c r="D92" s="1">
        <f>SUM(OSRRefD22_19x_0)</f>
        <v>72</v>
      </c>
      <c r="E92" s="1"/>
      <c r="F92" s="5">
        <f t="shared" si="72"/>
        <v>1.1223416286330549E-3</v>
      </c>
      <c r="G92" s="1"/>
      <c r="H92" s="1">
        <f>SUM(OSRRefH22_19x_0)</f>
        <v>14200.770000000002</v>
      </c>
      <c r="I92" s="1"/>
      <c r="J92" s="5">
        <f t="shared" si="73"/>
        <v>2.5387480438844933E-2</v>
      </c>
      <c r="K92" s="1"/>
      <c r="L92" s="1">
        <f t="shared" si="74"/>
        <v>-14128.770000000002</v>
      </c>
      <c r="M92" s="1"/>
      <c r="N92" s="5">
        <f t="shared" si="75"/>
        <v>-0.99492985239532783</v>
      </c>
      <c r="O92" s="13"/>
      <c r="P92" s="1">
        <f>SUM(OSRRefP22_19x_0)</f>
        <v>-21570.68</v>
      </c>
      <c r="Q92" s="1"/>
      <c r="R92" s="5">
        <f t="shared" si="76"/>
        <v>-0.17674512280367105</v>
      </c>
      <c r="S92" s="1"/>
      <c r="T92" s="1">
        <f>SUM(OSRRefT22_19x_0)</f>
        <v>103744.29</v>
      </c>
      <c r="U92" s="1"/>
      <c r="V92" s="5">
        <f t="shared" si="77"/>
        <v>3.8850162579746633E-2</v>
      </c>
      <c r="W92" s="1"/>
      <c r="X92" s="1">
        <f t="shared" si="78"/>
        <v>-125314.97</v>
      </c>
      <c r="Y92" s="1"/>
      <c r="Z92" s="5">
        <f t="shared" si="79"/>
        <v>-1.2079216118785912</v>
      </c>
    </row>
    <row r="93" spans="1:26" s="24" customFormat="1" hidden="1" outlineLevel="2" x14ac:dyDescent="0.25">
      <c r="A93" s="25"/>
      <c r="B93" s="11" t="str">
        <f>CONCATENATE("          ", "6234", " - ", "EXPENDABLE SUPPLIES &amp; EQUIPMEN")</f>
        <v xml:space="preserve">          6234 - EXPENDABLE SUPPLIES &amp; EQUIPMEN</v>
      </c>
      <c r="C93" s="11"/>
      <c r="D93" s="6"/>
      <c r="E93" s="2"/>
      <c r="F93" s="7">
        <f t="shared" si="72"/>
        <v>0</v>
      </c>
      <c r="G93" s="2"/>
      <c r="H93" s="6">
        <v>555.83000000000004</v>
      </c>
      <c r="I93" s="2"/>
      <c r="J93" s="7">
        <f t="shared" si="73"/>
        <v>9.9368719106944048E-4</v>
      </c>
      <c r="K93" s="2"/>
      <c r="L93" s="6">
        <f t="shared" si="74"/>
        <v>-555.83000000000004</v>
      </c>
      <c r="M93" s="2"/>
      <c r="N93" s="7">
        <f t="shared" si="75"/>
        <v>-1</v>
      </c>
      <c r="O93" s="11"/>
      <c r="P93" s="6">
        <v>310.91000000000003</v>
      </c>
      <c r="Q93" s="2"/>
      <c r="R93" s="7">
        <f t="shared" si="76"/>
        <v>2.5475240525977562E-3</v>
      </c>
      <c r="S93" s="2"/>
      <c r="T93" s="6">
        <v>12202.72</v>
      </c>
      <c r="U93" s="2"/>
      <c r="V93" s="7">
        <f t="shared" si="77"/>
        <v>4.5696746868201209E-3</v>
      </c>
      <c r="W93" s="2"/>
      <c r="X93" s="6">
        <f t="shared" si="78"/>
        <v>-11891.81</v>
      </c>
      <c r="Y93" s="2"/>
      <c r="Z93" s="7">
        <f t="shared" si="79"/>
        <v>-0.97452125427773484</v>
      </c>
    </row>
    <row r="94" spans="1:26" s="24" customFormat="1" hidden="1" outlineLevel="2" x14ac:dyDescent="0.25">
      <c r="A94" s="25"/>
      <c r="B94" s="11" t="str">
        <f>CONCATENATE("          ", "6235", " - ", "COVID-19 EXPENSES")</f>
        <v xml:space="preserve">          6235 - COVID-19 EXPENSES</v>
      </c>
      <c r="C94" s="11"/>
      <c r="D94" s="6"/>
      <c r="E94" s="2"/>
      <c r="F94" s="7">
        <f t="shared" si="72"/>
        <v>0</v>
      </c>
      <c r="G94" s="2"/>
      <c r="H94" s="6"/>
      <c r="I94" s="2"/>
      <c r="J94" s="7">
        <f t="shared" si="73"/>
        <v>0</v>
      </c>
      <c r="K94" s="2"/>
      <c r="L94" s="6">
        <f t="shared" si="74"/>
        <v>0</v>
      </c>
      <c r="M94" s="2"/>
      <c r="N94" s="7">
        <f t="shared" si="75"/>
        <v>0</v>
      </c>
      <c r="O94" s="11"/>
      <c r="P94" s="6">
        <v>6881.86</v>
      </c>
      <c r="Q94" s="2"/>
      <c r="R94" s="7">
        <f t="shared" si="76"/>
        <v>5.6388356362324768E-2</v>
      </c>
      <c r="S94" s="2"/>
      <c r="T94" s="6"/>
      <c r="U94" s="2"/>
      <c r="V94" s="7">
        <f t="shared" si="77"/>
        <v>0</v>
      </c>
      <c r="W94" s="2"/>
      <c r="X94" s="6">
        <f t="shared" si="78"/>
        <v>6881.86</v>
      </c>
      <c r="Y94" s="2"/>
      <c r="Z94" s="7">
        <f t="shared" si="79"/>
        <v>0</v>
      </c>
    </row>
    <row r="95" spans="1:26" s="24" customFormat="1" hidden="1" outlineLevel="2" x14ac:dyDescent="0.25">
      <c r="A95" s="25"/>
      <c r="B95" s="11" t="str">
        <f>CONCATENATE("          ", "6237", " - ", "JANITORIAL SUPPLIES")</f>
        <v xml:space="preserve">          6237 - JANITORIAL SUPPLIES</v>
      </c>
      <c r="C95" s="11"/>
      <c r="D95" s="6">
        <v>72</v>
      </c>
      <c r="E95" s="2"/>
      <c r="F95" s="7">
        <f t="shared" si="72"/>
        <v>1.1223416286330549E-3</v>
      </c>
      <c r="G95" s="2"/>
      <c r="H95" s="6">
        <v>5188.66</v>
      </c>
      <c r="I95" s="2"/>
      <c r="J95" s="7">
        <f t="shared" si="73"/>
        <v>9.2760465984462193E-3</v>
      </c>
      <c r="K95" s="2"/>
      <c r="L95" s="6">
        <f t="shared" si="74"/>
        <v>-5116.66</v>
      </c>
      <c r="M95" s="2"/>
      <c r="N95" s="7">
        <f t="shared" si="75"/>
        <v>-0.98612358489475127</v>
      </c>
      <c r="O95" s="11"/>
      <c r="P95" s="6">
        <v>340.05</v>
      </c>
      <c r="Q95" s="2"/>
      <c r="R95" s="7">
        <f t="shared" si="76"/>
        <v>2.7862904187252483E-3</v>
      </c>
      <c r="S95" s="2"/>
      <c r="T95" s="6">
        <v>24384.76</v>
      </c>
      <c r="U95" s="2"/>
      <c r="V95" s="7">
        <f t="shared" si="77"/>
        <v>9.1316051270687038E-3</v>
      </c>
      <c r="W95" s="2"/>
      <c r="X95" s="6">
        <f t="shared" si="78"/>
        <v>-24044.71</v>
      </c>
      <c r="Y95" s="2"/>
      <c r="Z95" s="7">
        <f t="shared" si="79"/>
        <v>-0.98605481456450672</v>
      </c>
    </row>
    <row r="96" spans="1:26" s="24" customFormat="1" hidden="1" outlineLevel="2" x14ac:dyDescent="0.25">
      <c r="A96" s="25"/>
      <c r="B96" s="11" t="str">
        <f>CONCATENATE("          ", "6239", " - ", "KITCHEN SUPPLIES")</f>
        <v xml:space="preserve">          6239 - KITCHEN SUPPLIES</v>
      </c>
      <c r="C96" s="11"/>
      <c r="D96" s="6"/>
      <c r="E96" s="2"/>
      <c r="F96" s="7">
        <f t="shared" si="72"/>
        <v>0</v>
      </c>
      <c r="G96" s="2"/>
      <c r="H96" s="6">
        <v>2631.87</v>
      </c>
      <c r="I96" s="2"/>
      <c r="J96" s="7">
        <f t="shared" si="73"/>
        <v>4.705135576633014E-3</v>
      </c>
      <c r="K96" s="2"/>
      <c r="L96" s="6">
        <f t="shared" si="74"/>
        <v>-2631.87</v>
      </c>
      <c r="M96" s="2"/>
      <c r="N96" s="7">
        <f t="shared" si="75"/>
        <v>-1</v>
      </c>
      <c r="O96" s="11"/>
      <c r="P96" s="6">
        <v>19.829999999999998</v>
      </c>
      <c r="Q96" s="2"/>
      <c r="R96" s="7">
        <f t="shared" si="76"/>
        <v>1.6248239671613488E-4</v>
      </c>
      <c r="S96" s="2"/>
      <c r="T96" s="6">
        <v>30535.4</v>
      </c>
      <c r="U96" s="2"/>
      <c r="V96" s="7">
        <f t="shared" si="77"/>
        <v>1.1434896845287538E-2</v>
      </c>
      <c r="W96" s="2"/>
      <c r="X96" s="6">
        <f t="shared" si="78"/>
        <v>-30515.57</v>
      </c>
      <c r="Y96" s="2"/>
      <c r="Z96" s="7">
        <f t="shared" si="79"/>
        <v>-0.99935058980724012</v>
      </c>
    </row>
    <row r="97" spans="1:26" s="24" customFormat="1" hidden="1" outlineLevel="2" x14ac:dyDescent="0.25">
      <c r="A97" s="25"/>
      <c r="B97" s="11" t="str">
        <f>CONCATENATE("          ", "6241", " - ", "OFFICE EXPENSE")</f>
        <v xml:space="preserve">          6241 - OFFICE EXPENSE</v>
      </c>
      <c r="C97" s="11"/>
      <c r="D97" s="6"/>
      <c r="E97" s="2"/>
      <c r="F97" s="7">
        <f t="shared" si="72"/>
        <v>0</v>
      </c>
      <c r="G97" s="2"/>
      <c r="H97" s="6">
        <v>2130.4</v>
      </c>
      <c r="I97" s="2"/>
      <c r="J97" s="7">
        <f t="shared" si="73"/>
        <v>3.8086306817810048E-3</v>
      </c>
      <c r="K97" s="2"/>
      <c r="L97" s="6">
        <f t="shared" si="74"/>
        <v>-2130.4</v>
      </c>
      <c r="M97" s="2"/>
      <c r="N97" s="7">
        <f t="shared" si="75"/>
        <v>-1</v>
      </c>
      <c r="O97" s="11"/>
      <c r="P97" s="6">
        <v>-29123.329999999998</v>
      </c>
      <c r="Q97" s="2"/>
      <c r="R97" s="7">
        <f t="shared" si="76"/>
        <v>-0.23862977603403496</v>
      </c>
      <c r="S97" s="2"/>
      <c r="T97" s="6">
        <v>13151.64</v>
      </c>
      <c r="U97" s="2"/>
      <c r="V97" s="7">
        <f t="shared" si="77"/>
        <v>4.9250262562913006E-3</v>
      </c>
      <c r="W97" s="2"/>
      <c r="X97" s="6">
        <f t="shared" si="78"/>
        <v>-42274.97</v>
      </c>
      <c r="Y97" s="2"/>
      <c r="Z97" s="7">
        <f t="shared" si="79"/>
        <v>-3.2144257294147347</v>
      </c>
    </row>
    <row r="98" spans="1:26" s="24" customFormat="1" hidden="1" outlineLevel="2" x14ac:dyDescent="0.25">
      <c r="A98" s="25"/>
      <c r="B98" s="11" t="str">
        <f>CONCATENATE("          ", "6243", " - ", "PAPER SUPPLIES")</f>
        <v xml:space="preserve">          6243 - PAPER SUPPLIES</v>
      </c>
      <c r="C98" s="11"/>
      <c r="D98" s="6"/>
      <c r="E98" s="2"/>
      <c r="F98" s="7">
        <f t="shared" si="72"/>
        <v>0</v>
      </c>
      <c r="G98" s="2"/>
      <c r="H98" s="6">
        <v>2325.0500000000002</v>
      </c>
      <c r="I98" s="2"/>
      <c r="J98" s="7">
        <f t="shared" si="73"/>
        <v>4.1566169576957033E-3</v>
      </c>
      <c r="K98" s="2"/>
      <c r="L98" s="6">
        <f t="shared" si="74"/>
        <v>-2325.0500000000002</v>
      </c>
      <c r="M98" s="2"/>
      <c r="N98" s="7">
        <f t="shared" si="75"/>
        <v>-1</v>
      </c>
      <c r="O98" s="11"/>
      <c r="P98" s="6"/>
      <c r="Q98" s="2"/>
      <c r="R98" s="7">
        <f t="shared" si="76"/>
        <v>0</v>
      </c>
      <c r="S98" s="2"/>
      <c r="T98" s="6">
        <v>16564.86</v>
      </c>
      <c r="U98" s="2"/>
      <c r="V98" s="7">
        <f t="shared" si="77"/>
        <v>6.2032089102035575E-3</v>
      </c>
      <c r="W98" s="2"/>
      <c r="X98" s="6">
        <f t="shared" si="78"/>
        <v>-16564.86</v>
      </c>
      <c r="Y98" s="2"/>
      <c r="Z98" s="7">
        <f t="shared" si="79"/>
        <v>-1</v>
      </c>
    </row>
    <row r="99" spans="1:26" s="24" customFormat="1" hidden="1" outlineLevel="2" x14ac:dyDescent="0.25">
      <c r="A99" s="25"/>
      <c r="B99" s="11" t="str">
        <f>CONCATENATE("          ", "6245", " - ", "PRINTING")</f>
        <v xml:space="preserve">          6245 - PRINTING</v>
      </c>
      <c r="C99" s="11"/>
      <c r="D99" s="6"/>
      <c r="E99" s="2"/>
      <c r="F99" s="7">
        <f t="shared" si="72"/>
        <v>0</v>
      </c>
      <c r="G99" s="2"/>
      <c r="H99" s="6">
        <v>15.99</v>
      </c>
      <c r="I99" s="2"/>
      <c r="J99" s="7">
        <f t="shared" si="73"/>
        <v>2.8586183158880146E-5</v>
      </c>
      <c r="K99" s="2"/>
      <c r="L99" s="6">
        <f t="shared" si="74"/>
        <v>-15.99</v>
      </c>
      <c r="M99" s="2"/>
      <c r="N99" s="7">
        <f t="shared" si="75"/>
        <v>-1</v>
      </c>
      <c r="O99" s="11"/>
      <c r="P99" s="6"/>
      <c r="Q99" s="2"/>
      <c r="R99" s="7">
        <f t="shared" si="76"/>
        <v>0</v>
      </c>
      <c r="S99" s="2"/>
      <c r="T99" s="6">
        <v>270.89999999999998</v>
      </c>
      <c r="U99" s="2"/>
      <c r="V99" s="7">
        <f t="shared" si="77"/>
        <v>1.014466342470835E-4</v>
      </c>
      <c r="W99" s="2"/>
      <c r="X99" s="6">
        <f t="shared" si="78"/>
        <v>-270.89999999999998</v>
      </c>
      <c r="Y99" s="2"/>
      <c r="Z99" s="7">
        <f t="shared" si="79"/>
        <v>-1</v>
      </c>
    </row>
    <row r="100" spans="1:26" s="24" customFormat="1" hidden="1" outlineLevel="2" x14ac:dyDescent="0.25">
      <c r="A100" s="25"/>
      <c r="B100" s="11" t="str">
        <f>CONCATENATE("          ", "6247", " - ", "STORE SUPPLIES")</f>
        <v xml:space="preserve">          6247 - STORE SUPPLIES</v>
      </c>
      <c r="C100" s="11"/>
      <c r="D100" s="6"/>
      <c r="E100" s="2"/>
      <c r="F100" s="7">
        <f t="shared" si="72"/>
        <v>0</v>
      </c>
      <c r="G100" s="2"/>
      <c r="H100" s="6">
        <v>1102.46</v>
      </c>
      <c r="I100" s="2"/>
      <c r="J100" s="7">
        <f t="shared" si="73"/>
        <v>1.970927047238212E-3</v>
      </c>
      <c r="K100" s="2"/>
      <c r="L100" s="6">
        <f t="shared" si="74"/>
        <v>-1102.46</v>
      </c>
      <c r="M100" s="2"/>
      <c r="N100" s="7">
        <f t="shared" si="75"/>
        <v>-1</v>
      </c>
      <c r="O100" s="11"/>
      <c r="P100" s="6"/>
      <c r="Q100" s="2"/>
      <c r="R100" s="7">
        <f t="shared" si="76"/>
        <v>0</v>
      </c>
      <c r="S100" s="2"/>
      <c r="T100" s="6">
        <v>2900.26</v>
      </c>
      <c r="U100" s="2"/>
      <c r="V100" s="7">
        <f t="shared" si="77"/>
        <v>1.0860893888573143E-3</v>
      </c>
      <c r="W100" s="2"/>
      <c r="X100" s="6">
        <f t="shared" si="78"/>
        <v>-2900.26</v>
      </c>
      <c r="Y100" s="2"/>
      <c r="Z100" s="7">
        <f t="shared" si="79"/>
        <v>-1</v>
      </c>
    </row>
    <row r="101" spans="1:26" s="24" customFormat="1" hidden="1" outlineLevel="2" x14ac:dyDescent="0.25">
      <c r="A101" s="25"/>
      <c r="B101" s="11" t="str">
        <f>CONCATENATE("          ", "6248", " - ", "UNIFORMS")</f>
        <v xml:space="preserve">          6248 - UNIFORMS</v>
      </c>
      <c r="C101" s="11"/>
      <c r="D101" s="6"/>
      <c r="E101" s="2"/>
      <c r="F101" s="7">
        <f t="shared" si="72"/>
        <v>0</v>
      </c>
      <c r="G101" s="2"/>
      <c r="H101" s="6">
        <v>250.51</v>
      </c>
      <c r="I101" s="2"/>
      <c r="J101" s="7">
        <f t="shared" si="73"/>
        <v>4.4785020282245562E-4</v>
      </c>
      <c r="K101" s="2"/>
      <c r="L101" s="6">
        <f t="shared" si="74"/>
        <v>-250.51</v>
      </c>
      <c r="M101" s="2"/>
      <c r="N101" s="7">
        <f t="shared" si="75"/>
        <v>-1</v>
      </c>
      <c r="O101" s="11"/>
      <c r="P101" s="6"/>
      <c r="Q101" s="2"/>
      <c r="R101" s="7">
        <f t="shared" si="76"/>
        <v>0</v>
      </c>
      <c r="S101" s="2"/>
      <c r="T101" s="6">
        <v>3733.75</v>
      </c>
      <c r="U101" s="2"/>
      <c r="V101" s="7">
        <f t="shared" si="77"/>
        <v>1.3982147309710153E-3</v>
      </c>
      <c r="W101" s="2"/>
      <c r="X101" s="6">
        <f t="shared" si="78"/>
        <v>-3733.75</v>
      </c>
      <c r="Y101" s="2"/>
      <c r="Z101" s="7">
        <f t="shared" si="79"/>
        <v>-1</v>
      </c>
    </row>
    <row r="102" spans="1:26" s="26" customFormat="1" outlineLevel="1" collapsed="1" x14ac:dyDescent="0.25">
      <c r="A102" s="27"/>
      <c r="B102" s="13" t="str">
        <f>CONCATENATE("     ","Telephone/Data Lines                              ")</f>
        <v xml:space="preserve">     Telephone/Data Lines                              </v>
      </c>
      <c r="C102" s="13"/>
      <c r="D102" s="1">
        <f>SUM(OSRRefD22_20x_0)</f>
        <v>622.1</v>
      </c>
      <c r="E102" s="1"/>
      <c r="F102" s="5">
        <f t="shared" ref="F102:F109" si="80">IF(D$12=0,0,D102/D$12)</f>
        <v>9.6973434329531046E-3</v>
      </c>
      <c r="G102" s="1"/>
      <c r="H102" s="1">
        <f>SUM(OSRRefH22_20x_0)</f>
        <v>1444.77</v>
      </c>
      <c r="I102" s="1"/>
      <c r="J102" s="5">
        <f t="shared" ref="J102:J109" si="81">IF(H$12=0,0,H102/H$12)</f>
        <v>2.5828930483086472E-3</v>
      </c>
      <c r="K102" s="1"/>
      <c r="L102" s="1">
        <f t="shared" ref="L102:L109" si="82">+D102-H102</f>
        <v>-822.67</v>
      </c>
      <c r="M102" s="1"/>
      <c r="N102" s="5">
        <f t="shared" ref="N102:N109" si="83">IF(H102=0,0,L102/H102)</f>
        <v>-0.569412432428691</v>
      </c>
      <c r="O102" s="13"/>
      <c r="P102" s="1">
        <f>SUM(OSRRefP22_20x_0)</f>
        <v>4058.17</v>
      </c>
      <c r="Q102" s="1"/>
      <c r="R102" s="5">
        <f t="shared" ref="R102:R109" si="84">IF(P$12=0,0,P102/P$12)</f>
        <v>3.3251698834166274E-2</v>
      </c>
      <c r="S102" s="1"/>
      <c r="T102" s="1">
        <f>SUM(OSRRefT22_20x_0)</f>
        <v>8585.73</v>
      </c>
      <c r="U102" s="1"/>
      <c r="V102" s="5">
        <f t="shared" ref="V102:V109" si="85">IF(T$12=0,0,T102/T$12)</f>
        <v>3.2151842416176164E-3</v>
      </c>
      <c r="W102" s="1"/>
      <c r="X102" s="1">
        <f t="shared" ref="X102:X109" si="86">+P102-T102</f>
        <v>-4527.5599999999995</v>
      </c>
      <c r="Y102" s="1"/>
      <c r="Z102" s="5">
        <f t="shared" ref="Z102:Z109" si="87">IF(T102=0,0,X102/T102)</f>
        <v>-0.52733547409480608</v>
      </c>
    </row>
    <row r="103" spans="1:26" s="24" customFormat="1" hidden="1" outlineLevel="2" x14ac:dyDescent="0.25">
      <c r="A103" s="25"/>
      <c r="B103" s="11" t="str">
        <f>CONCATENATE("          ", "6309", " - ", "TELEPHONE")</f>
        <v xml:space="preserve">          6309 - TELEPHONE</v>
      </c>
      <c r="C103" s="11"/>
      <c r="D103" s="6">
        <v>622.1</v>
      </c>
      <c r="E103" s="2"/>
      <c r="F103" s="7">
        <f t="shared" si="80"/>
        <v>9.6973434329531046E-3</v>
      </c>
      <c r="G103" s="2"/>
      <c r="H103" s="6">
        <v>1444.77</v>
      </c>
      <c r="I103" s="2"/>
      <c r="J103" s="7">
        <f t="shared" si="81"/>
        <v>2.5828930483086472E-3</v>
      </c>
      <c r="K103" s="2"/>
      <c r="L103" s="6">
        <f t="shared" si="82"/>
        <v>-822.67</v>
      </c>
      <c r="M103" s="2"/>
      <c r="N103" s="7">
        <f t="shared" si="83"/>
        <v>-0.569412432428691</v>
      </c>
      <c r="O103" s="11"/>
      <c r="P103" s="6">
        <v>4058.17</v>
      </c>
      <c r="Q103" s="2"/>
      <c r="R103" s="7">
        <f t="shared" si="84"/>
        <v>3.3251698834166274E-2</v>
      </c>
      <c r="S103" s="2"/>
      <c r="T103" s="6">
        <v>8585.73</v>
      </c>
      <c r="U103" s="2"/>
      <c r="V103" s="7">
        <f t="shared" si="85"/>
        <v>3.2151842416176164E-3</v>
      </c>
      <c r="W103" s="2"/>
      <c r="X103" s="6">
        <f t="shared" si="86"/>
        <v>-4527.5599999999995</v>
      </c>
      <c r="Y103" s="2"/>
      <c r="Z103" s="7">
        <f t="shared" si="87"/>
        <v>-0.52733547409480608</v>
      </c>
    </row>
    <row r="104" spans="1:26" s="26" customFormat="1" outlineLevel="1" collapsed="1" x14ac:dyDescent="0.25">
      <c r="A104" s="27"/>
      <c r="B104" s="13" t="str">
        <f>CONCATENATE("     ","Training                                          ")</f>
        <v xml:space="preserve">     Training                                          </v>
      </c>
      <c r="C104" s="13"/>
      <c r="D104" s="1">
        <f>SUM(OSRRefD22_21x_0)</f>
        <v>400</v>
      </c>
      <c r="E104" s="1"/>
      <c r="F104" s="5">
        <f t="shared" si="80"/>
        <v>6.2352312701836384E-3</v>
      </c>
      <c r="G104" s="1"/>
      <c r="H104" s="1">
        <f>SUM(OSRRefH22_21x_0)</f>
        <v>85</v>
      </c>
      <c r="I104" s="1"/>
      <c r="J104" s="5">
        <f t="shared" si="81"/>
        <v>1.5195907245183317E-4</v>
      </c>
      <c r="K104" s="1"/>
      <c r="L104" s="1">
        <f t="shared" si="82"/>
        <v>315</v>
      </c>
      <c r="M104" s="1"/>
      <c r="N104" s="5">
        <f t="shared" si="83"/>
        <v>3.7058823529411766</v>
      </c>
      <c r="O104" s="13"/>
      <c r="P104" s="1">
        <f>SUM(OSRRefP22_21x_0)</f>
        <v>400</v>
      </c>
      <c r="Q104" s="1"/>
      <c r="R104" s="5">
        <f t="shared" si="84"/>
        <v>3.2775067416265236E-3</v>
      </c>
      <c r="S104" s="1"/>
      <c r="T104" s="1">
        <f>SUM(OSRRefT22_21x_0)</f>
        <v>1652.5</v>
      </c>
      <c r="U104" s="1"/>
      <c r="V104" s="5">
        <f t="shared" si="85"/>
        <v>6.188282137072924E-4</v>
      </c>
      <c r="W104" s="1"/>
      <c r="X104" s="1">
        <f t="shared" si="86"/>
        <v>-1252.5</v>
      </c>
      <c r="Y104" s="1"/>
      <c r="Z104" s="5">
        <f t="shared" si="87"/>
        <v>-0.75794251134644475</v>
      </c>
    </row>
    <row r="105" spans="1:26" s="24" customFormat="1" hidden="1" outlineLevel="2" x14ac:dyDescent="0.25">
      <c r="A105" s="25"/>
      <c r="B105" s="11" t="str">
        <f>CONCATENATE("          ", "6376", " - ", "TRAINING")</f>
        <v xml:space="preserve">          6376 - TRAINING</v>
      </c>
      <c r="C105" s="11"/>
      <c r="D105" s="6">
        <v>400</v>
      </c>
      <c r="E105" s="2"/>
      <c r="F105" s="7">
        <f t="shared" si="80"/>
        <v>6.2352312701836384E-3</v>
      </c>
      <c r="G105" s="2"/>
      <c r="H105" s="6">
        <v>85</v>
      </c>
      <c r="I105" s="2"/>
      <c r="J105" s="7">
        <f t="shared" si="81"/>
        <v>1.5195907245183317E-4</v>
      </c>
      <c r="K105" s="2"/>
      <c r="L105" s="6">
        <f t="shared" si="82"/>
        <v>315</v>
      </c>
      <c r="M105" s="2"/>
      <c r="N105" s="7">
        <f t="shared" si="83"/>
        <v>3.7058823529411766</v>
      </c>
      <c r="O105" s="11"/>
      <c r="P105" s="6">
        <v>400</v>
      </c>
      <c r="Q105" s="2"/>
      <c r="R105" s="7">
        <f t="shared" si="84"/>
        <v>3.2775067416265236E-3</v>
      </c>
      <c r="S105" s="2"/>
      <c r="T105" s="6">
        <v>1652.5</v>
      </c>
      <c r="U105" s="2"/>
      <c r="V105" s="7">
        <f t="shared" si="85"/>
        <v>6.188282137072924E-4</v>
      </c>
      <c r="W105" s="2"/>
      <c r="X105" s="6">
        <f t="shared" si="86"/>
        <v>-1252.5</v>
      </c>
      <c r="Y105" s="2"/>
      <c r="Z105" s="7">
        <f t="shared" si="87"/>
        <v>-0.75794251134644475</v>
      </c>
    </row>
    <row r="106" spans="1:26" s="26" customFormat="1" outlineLevel="1" collapsed="1" x14ac:dyDescent="0.25">
      <c r="A106" s="27"/>
      <c r="B106" s="13" t="str">
        <f>CONCATENATE("     ","Travel                                            ")</f>
        <v xml:space="preserve">     Travel                                            </v>
      </c>
      <c r="C106" s="13"/>
      <c r="D106" s="1">
        <f>SUM(OSRRefD22_22x_0)</f>
        <v>0</v>
      </c>
      <c r="E106" s="1"/>
      <c r="F106" s="5">
        <f t="shared" si="80"/>
        <v>0</v>
      </c>
      <c r="G106" s="1"/>
      <c r="H106" s="1">
        <f>SUM(OSRRefH22_22x_0)</f>
        <v>301.73</v>
      </c>
      <c r="I106" s="1"/>
      <c r="J106" s="5">
        <f t="shared" si="81"/>
        <v>5.3941895212813681E-4</v>
      </c>
      <c r="K106" s="1"/>
      <c r="L106" s="1">
        <f t="shared" si="82"/>
        <v>-301.73</v>
      </c>
      <c r="M106" s="1"/>
      <c r="N106" s="5">
        <f t="shared" si="83"/>
        <v>-1</v>
      </c>
      <c r="O106" s="13"/>
      <c r="P106" s="1">
        <f>SUM(OSRRefP22_22x_0)</f>
        <v>332.21</v>
      </c>
      <c r="Q106" s="1"/>
      <c r="R106" s="5">
        <f t="shared" si="84"/>
        <v>2.7220512865893682E-3</v>
      </c>
      <c r="S106" s="1"/>
      <c r="T106" s="1">
        <f>SUM(OSRRefT22_22x_0)</f>
        <v>1402.9099999999999</v>
      </c>
      <c r="U106" s="1"/>
      <c r="V106" s="5">
        <f t="shared" si="85"/>
        <v>5.2536174843697268E-4</v>
      </c>
      <c r="W106" s="1"/>
      <c r="X106" s="1">
        <f t="shared" si="86"/>
        <v>-1070.6999999999998</v>
      </c>
      <c r="Y106" s="1"/>
      <c r="Z106" s="5">
        <f t="shared" si="87"/>
        <v>-0.7631993499226607</v>
      </c>
    </row>
    <row r="107" spans="1:26" s="24" customFormat="1" hidden="1" outlineLevel="2" x14ac:dyDescent="0.25">
      <c r="A107" s="25"/>
      <c r="B107" s="11" t="str">
        <f>CONCATENATE("          ", "6292", " - ", "TRAVEL/CONFERENCE")</f>
        <v xml:space="preserve">          6292 - TRAVEL/CONFERENCE</v>
      </c>
      <c r="C107" s="11"/>
      <c r="D107" s="6"/>
      <c r="E107" s="2"/>
      <c r="F107" s="7">
        <f t="shared" si="80"/>
        <v>0</v>
      </c>
      <c r="G107" s="2"/>
      <c r="H107" s="6">
        <v>153.68</v>
      </c>
      <c r="I107" s="2"/>
      <c r="J107" s="7">
        <f t="shared" si="81"/>
        <v>2.7474200299291437E-4</v>
      </c>
      <c r="K107" s="2"/>
      <c r="L107" s="6">
        <f t="shared" si="82"/>
        <v>-153.68</v>
      </c>
      <c r="M107" s="2"/>
      <c r="N107" s="7">
        <f t="shared" si="83"/>
        <v>-1</v>
      </c>
      <c r="O107" s="11"/>
      <c r="P107" s="6"/>
      <c r="Q107" s="2"/>
      <c r="R107" s="7">
        <f t="shared" si="84"/>
        <v>0</v>
      </c>
      <c r="S107" s="2"/>
      <c r="T107" s="6">
        <v>699.37</v>
      </c>
      <c r="U107" s="2"/>
      <c r="V107" s="7">
        <f t="shared" si="85"/>
        <v>2.6190008340119158E-4</v>
      </c>
      <c r="W107" s="2"/>
      <c r="X107" s="6">
        <f t="shared" si="86"/>
        <v>-699.37</v>
      </c>
      <c r="Y107" s="2"/>
      <c r="Z107" s="7">
        <f t="shared" si="87"/>
        <v>-1</v>
      </c>
    </row>
    <row r="108" spans="1:26" s="24" customFormat="1" hidden="1" outlineLevel="2" x14ac:dyDescent="0.25">
      <c r="A108" s="25"/>
      <c r="B108" s="11" t="str">
        <f>CONCATENATE("          ", "6294", " - ", "TRAVEL OPERATIONAL")</f>
        <v xml:space="preserve">          6294 - TRAVEL OPERATIONAL</v>
      </c>
      <c r="C108" s="11"/>
      <c r="D108" s="6"/>
      <c r="E108" s="2"/>
      <c r="F108" s="7">
        <f t="shared" si="80"/>
        <v>0</v>
      </c>
      <c r="G108" s="2"/>
      <c r="H108" s="6"/>
      <c r="I108" s="2"/>
      <c r="J108" s="7">
        <f t="shared" si="81"/>
        <v>0</v>
      </c>
      <c r="K108" s="2"/>
      <c r="L108" s="6">
        <f t="shared" si="82"/>
        <v>0</v>
      </c>
      <c r="M108" s="2"/>
      <c r="N108" s="7">
        <f t="shared" si="83"/>
        <v>0</v>
      </c>
      <c r="O108" s="11"/>
      <c r="P108" s="6"/>
      <c r="Q108" s="2"/>
      <c r="R108" s="7">
        <f t="shared" si="84"/>
        <v>0</v>
      </c>
      <c r="S108" s="2"/>
      <c r="T108" s="6">
        <v>45.49</v>
      </c>
      <c r="U108" s="2"/>
      <c r="V108" s="7">
        <f t="shared" si="85"/>
        <v>1.7035095577334179E-5</v>
      </c>
      <c r="W108" s="2"/>
      <c r="X108" s="6">
        <f t="shared" si="86"/>
        <v>-45.49</v>
      </c>
      <c r="Y108" s="2"/>
      <c r="Z108" s="7">
        <f t="shared" si="87"/>
        <v>-1</v>
      </c>
    </row>
    <row r="109" spans="1:26" s="24" customFormat="1" hidden="1" outlineLevel="2" x14ac:dyDescent="0.25">
      <c r="A109" s="25"/>
      <c r="B109" s="11" t="str">
        <f>CONCATENATE("          ", "6298", " - ", "VEHICLE MILEAGE")</f>
        <v xml:space="preserve">          6298 - VEHICLE MILEAGE</v>
      </c>
      <c r="C109" s="11"/>
      <c r="D109" s="6"/>
      <c r="E109" s="2"/>
      <c r="F109" s="7">
        <f t="shared" si="80"/>
        <v>0</v>
      </c>
      <c r="G109" s="2"/>
      <c r="H109" s="6">
        <v>148.05000000000001</v>
      </c>
      <c r="I109" s="2"/>
      <c r="J109" s="7">
        <f t="shared" si="81"/>
        <v>2.6467694913522239E-4</v>
      </c>
      <c r="K109" s="2"/>
      <c r="L109" s="6">
        <f t="shared" si="82"/>
        <v>-148.05000000000001</v>
      </c>
      <c r="M109" s="2"/>
      <c r="N109" s="7">
        <f t="shared" si="83"/>
        <v>-1</v>
      </c>
      <c r="O109" s="11"/>
      <c r="P109" s="6">
        <v>332.21</v>
      </c>
      <c r="Q109" s="2"/>
      <c r="R109" s="7">
        <f t="shared" si="84"/>
        <v>2.7220512865893682E-3</v>
      </c>
      <c r="S109" s="2"/>
      <c r="T109" s="6">
        <v>658.05</v>
      </c>
      <c r="U109" s="2"/>
      <c r="V109" s="7">
        <f t="shared" si="85"/>
        <v>2.4642656945844703E-4</v>
      </c>
      <c r="W109" s="2"/>
      <c r="X109" s="6">
        <f t="shared" si="86"/>
        <v>-325.83999999999997</v>
      </c>
      <c r="Y109" s="2"/>
      <c r="Z109" s="7">
        <f t="shared" si="87"/>
        <v>-0.49515994225362814</v>
      </c>
    </row>
    <row r="110" spans="1:26" s="26" customFormat="1" outlineLevel="1" collapsed="1" x14ac:dyDescent="0.25">
      <c r="A110" s="27"/>
      <c r="B110" s="13" t="str">
        <f>CONCATENATE("     ","Utilities                                         ")</f>
        <v xml:space="preserve">     Utilities                                         </v>
      </c>
      <c r="C110" s="13"/>
      <c r="D110" s="1">
        <f>SUM(OSRRefD22_23x_0)</f>
        <v>3660</v>
      </c>
      <c r="E110" s="1"/>
      <c r="F110" s="5">
        <f t="shared" ref="F110:F111" si="88">IF(D$12=0,0,D110/D$12)</f>
        <v>5.7052366122180294E-2</v>
      </c>
      <c r="G110" s="1"/>
      <c r="H110" s="1">
        <f>SUM(OSRRefH22_23x_0)</f>
        <v>13691</v>
      </c>
      <c r="I110" s="1"/>
      <c r="J110" s="5">
        <f t="shared" ref="J110:J111" si="89">IF(H$12=0,0,H110/H$12)</f>
        <v>2.4476137187506446E-2</v>
      </c>
      <c r="K110" s="1"/>
      <c r="L110" s="1">
        <f t="shared" ref="L110:L111" si="90">+D110-H110</f>
        <v>-10031</v>
      </c>
      <c r="M110" s="1"/>
      <c r="N110" s="5">
        <f t="shared" ref="N110:N111" si="91">IF(H110=0,0,L110/H110)</f>
        <v>-0.73267109780147543</v>
      </c>
      <c r="O110" s="13"/>
      <c r="P110" s="1">
        <f>SUM(OSRRefP22_23x_0)</f>
        <v>-2668</v>
      </c>
      <c r="Q110" s="1"/>
      <c r="R110" s="5">
        <f t="shared" ref="R110:R111" si="92">IF(P$12=0,0,P110/P$12)</f>
        <v>-2.1860969966648911E-2</v>
      </c>
      <c r="S110" s="1"/>
      <c r="T110" s="1">
        <f>SUM(OSRRefT22_23x_0)</f>
        <v>58340</v>
      </c>
      <c r="U110" s="1"/>
      <c r="V110" s="5">
        <f t="shared" ref="V110:V111" si="93">IF(T$12=0,0,T110/T$12)</f>
        <v>2.184716368392341E-2</v>
      </c>
      <c r="W110" s="1"/>
      <c r="X110" s="1">
        <f t="shared" ref="X110:X111" si="94">+P110-T110</f>
        <v>-61008</v>
      </c>
      <c r="Y110" s="1"/>
      <c r="Z110" s="5">
        <f t="shared" ref="Z110:Z111" si="95">IF(T110=0,0,X110/T110)</f>
        <v>-1.0457319163524168</v>
      </c>
    </row>
    <row r="111" spans="1:26" s="24" customFormat="1" hidden="1" outlineLevel="2" x14ac:dyDescent="0.25">
      <c r="A111" s="25"/>
      <c r="B111" s="11" t="str">
        <f>CONCATENATE("          ", "6274", " - ", "UTILITIES")</f>
        <v xml:space="preserve">          6274 - UTILITIES</v>
      </c>
      <c r="C111" s="11"/>
      <c r="D111" s="6">
        <v>3660</v>
      </c>
      <c r="E111" s="2"/>
      <c r="F111" s="7">
        <f t="shared" si="88"/>
        <v>5.7052366122180294E-2</v>
      </c>
      <c r="G111" s="2"/>
      <c r="H111" s="6">
        <v>13691</v>
      </c>
      <c r="I111" s="2"/>
      <c r="J111" s="7">
        <f t="shared" si="89"/>
        <v>2.4476137187506446E-2</v>
      </c>
      <c r="K111" s="2"/>
      <c r="L111" s="6">
        <f t="shared" si="90"/>
        <v>-10031</v>
      </c>
      <c r="M111" s="2"/>
      <c r="N111" s="7">
        <f t="shared" si="91"/>
        <v>-0.73267109780147543</v>
      </c>
      <c r="O111" s="11"/>
      <c r="P111" s="6">
        <v>-2668</v>
      </c>
      <c r="Q111" s="2"/>
      <c r="R111" s="7">
        <f t="shared" si="92"/>
        <v>-2.1860969966648911E-2</v>
      </c>
      <c r="S111" s="2"/>
      <c r="T111" s="6">
        <v>58340</v>
      </c>
      <c r="U111" s="2"/>
      <c r="V111" s="7">
        <f t="shared" si="93"/>
        <v>2.184716368392341E-2</v>
      </c>
      <c r="W111" s="2"/>
      <c r="X111" s="6">
        <f t="shared" si="94"/>
        <v>-61008</v>
      </c>
      <c r="Y111" s="2"/>
      <c r="Z111" s="7">
        <f t="shared" si="95"/>
        <v>-1.0457319163524168</v>
      </c>
    </row>
    <row r="112" spans="1:26" s="53" customFormat="1" x14ac:dyDescent="0.25">
      <c r="A112" s="37"/>
      <c r="B112" s="37"/>
      <c r="C112" s="37"/>
      <c r="D112" s="1"/>
      <c r="E112" s="1"/>
      <c r="F112" s="5"/>
      <c r="G112" s="1"/>
      <c r="H112" s="1"/>
      <c r="I112" s="1"/>
      <c r="J112" s="5"/>
      <c r="K112" s="1"/>
      <c r="L112" s="1"/>
      <c r="M112" s="1"/>
      <c r="N112" s="5"/>
      <c r="O112" s="37"/>
      <c r="P112" s="1"/>
      <c r="Q112" s="1"/>
      <c r="R112" s="5"/>
      <c r="S112" s="1"/>
      <c r="T112" s="1"/>
      <c r="U112" s="1"/>
      <c r="V112" s="5"/>
      <c r="W112" s="1"/>
      <c r="X112" s="1"/>
      <c r="Y112" s="1"/>
      <c r="Z112" s="5"/>
    </row>
    <row r="113" spans="1:26" s="23" customFormat="1" collapsed="1" x14ac:dyDescent="0.25">
      <c r="A113" s="10"/>
      <c r="B113" s="29" t="s">
        <v>0</v>
      </c>
      <c r="C113" s="10"/>
      <c r="D113" s="4">
        <f>SUM(OSRRefD25x_0)</f>
        <v>173.47</v>
      </c>
      <c r="E113" s="4"/>
      <c r="F113" s="12">
        <f t="shared" ref="F113:F116" si="96">IF(D$12=0,0,D113/D$12)</f>
        <v>2.7040639210968893E-3</v>
      </c>
      <c r="G113" s="4"/>
      <c r="H113" s="4">
        <f>SUM(OSRRefH25x_0)</f>
        <v>66542.63</v>
      </c>
      <c r="I113" s="4"/>
      <c r="J113" s="12">
        <f t="shared" ref="J113:J116" si="97">IF(H$12=0,0,H113/H$12)</f>
        <v>0.11896183921535916</v>
      </c>
      <c r="K113" s="4"/>
      <c r="L113" s="4">
        <f t="shared" ref="L113:L116" si="98">+D113-H113</f>
        <v>-66369.16</v>
      </c>
      <c r="M113" s="4"/>
      <c r="N113" s="12">
        <f t="shared" ref="N113:N116" si="99">IF(H113=0,0,L113/H113)</f>
        <v>-0.99739309973170576</v>
      </c>
      <c r="O113" s="10"/>
      <c r="P113" s="4">
        <f>SUM(OSRRefP25x_0)</f>
        <v>4250.67</v>
      </c>
      <c r="Q113" s="4"/>
      <c r="R113" s="12">
        <f t="shared" ref="R113:R116" si="100">IF(P$12=0,0,P113/P$12)</f>
        <v>3.4828998953574039E-2</v>
      </c>
      <c r="S113" s="4"/>
      <c r="T113" s="4">
        <f>SUM(OSRRefT25x_0)</f>
        <v>493067.26</v>
      </c>
      <c r="U113" s="4"/>
      <c r="V113" s="12">
        <f t="shared" ref="V113:V116" si="101">IF(T$12=0,0,T113/T$12)</f>
        <v>0.18464383161473469</v>
      </c>
      <c r="W113" s="4"/>
      <c r="X113" s="4">
        <f t="shared" ref="X113:X116" si="102">+P113-T113</f>
        <v>-488816.59</v>
      </c>
      <c r="Y113" s="4"/>
      <c r="Z113" s="12">
        <f t="shared" ref="Z113:Z116" si="103">IF(T113=0,0,X113/T113)</f>
        <v>-0.99137912746427337</v>
      </c>
    </row>
    <row r="114" spans="1:26" s="24" customFormat="1" hidden="1" outlineLevel="1" x14ac:dyDescent="0.25">
      <c r="A114" s="44"/>
      <c r="B114" s="11" t="str">
        <f>CONCATENATE("          ", "9150", " - ", "MISC. INCOME")</f>
        <v xml:space="preserve">          9150 - MISC. INCOME</v>
      </c>
      <c r="C114" s="11"/>
      <c r="D114" s="2">
        <f t="shared" ref="D114:D115" si="104">0</f>
        <v>0</v>
      </c>
      <c r="E114" s="2"/>
      <c r="F114" s="19">
        <f t="shared" si="96"/>
        <v>0</v>
      </c>
      <c r="G114" s="2"/>
      <c r="H114" s="2">
        <f>--48346.26</f>
        <v>48346.26</v>
      </c>
      <c r="I114" s="2"/>
      <c r="J114" s="19">
        <f t="shared" si="97"/>
        <v>8.6431209719001936E-2</v>
      </c>
      <c r="K114" s="2"/>
      <c r="L114" s="2">
        <f t="shared" si="98"/>
        <v>-48346.26</v>
      </c>
      <c r="M114" s="2"/>
      <c r="N114" s="19">
        <f t="shared" si="99"/>
        <v>-1</v>
      </c>
      <c r="O114" s="11"/>
      <c r="P114" s="2">
        <f>--923.77</f>
        <v>923.77</v>
      </c>
      <c r="Q114" s="2"/>
      <c r="R114" s="19">
        <f t="shared" si="100"/>
        <v>7.5691560067808342E-3</v>
      </c>
      <c r="S114" s="2"/>
      <c r="T114" s="2">
        <f>--165642.94</f>
        <v>165642.94</v>
      </c>
      <c r="U114" s="2"/>
      <c r="V114" s="19">
        <f t="shared" si="101"/>
        <v>6.2029969545188628E-2</v>
      </c>
      <c r="W114" s="2"/>
      <c r="X114" s="2">
        <f t="shared" si="102"/>
        <v>-164719.17000000001</v>
      </c>
      <c r="Y114" s="2"/>
      <c r="Z114" s="19">
        <f t="shared" si="103"/>
        <v>-0.99442312482500017</v>
      </c>
    </row>
    <row r="115" spans="1:26" s="24" customFormat="1" hidden="1" outlineLevel="1" x14ac:dyDescent="0.25">
      <c r="A115" s="44"/>
      <c r="B115" s="11" t="str">
        <f>CONCATENATE("          ", "9160", " - ", "MISC. INCOME")</f>
        <v xml:space="preserve">          9160 - MISC. INCOME</v>
      </c>
      <c r="C115" s="11"/>
      <c r="D115" s="2">
        <f t="shared" si="104"/>
        <v>0</v>
      </c>
      <c r="E115" s="2"/>
      <c r="F115" s="19">
        <f t="shared" si="96"/>
        <v>0</v>
      </c>
      <c r="G115" s="2"/>
      <c r="H115" s="2">
        <f>--7692.32</f>
        <v>7692.32</v>
      </c>
      <c r="I115" s="2"/>
      <c r="J115" s="19">
        <f t="shared" si="97"/>
        <v>1.3751974261208062E-2</v>
      </c>
      <c r="K115" s="2"/>
      <c r="L115" s="2">
        <f t="shared" si="98"/>
        <v>-7692.32</v>
      </c>
      <c r="M115" s="2"/>
      <c r="N115" s="19">
        <f t="shared" si="99"/>
        <v>-1</v>
      </c>
      <c r="O115" s="11"/>
      <c r="P115" s="2">
        <f>--2328.25</f>
        <v>2328.25</v>
      </c>
      <c r="Q115" s="2"/>
      <c r="R115" s="19">
        <f t="shared" si="100"/>
        <v>1.9077137677979885E-2</v>
      </c>
      <c r="S115" s="2"/>
      <c r="T115" s="2">
        <f>--104050.2</f>
        <v>104050.2</v>
      </c>
      <c r="U115" s="2"/>
      <c r="V115" s="19">
        <f t="shared" si="101"/>
        <v>3.8964719759084124E-2</v>
      </c>
      <c r="W115" s="2"/>
      <c r="X115" s="2">
        <f t="shared" si="102"/>
        <v>-101721.95</v>
      </c>
      <c r="Y115" s="2"/>
      <c r="Z115" s="19">
        <f t="shared" si="103"/>
        <v>-0.97762378159772878</v>
      </c>
    </row>
    <row r="116" spans="1:26" s="24" customFormat="1" hidden="1" outlineLevel="1" x14ac:dyDescent="0.25">
      <c r="A116" s="44"/>
      <c r="B116" s="11" t="str">
        <f>CONCATENATE("          ", "9165", " - ", "OTHER INCOME")</f>
        <v xml:space="preserve">          9165 - OTHER INCOME</v>
      </c>
      <c r="C116" s="11"/>
      <c r="D116" s="2">
        <f>--173.47</f>
        <v>173.47</v>
      </c>
      <c r="E116" s="2"/>
      <c r="F116" s="19">
        <f t="shared" si="96"/>
        <v>2.7040639210968893E-3</v>
      </c>
      <c r="G116" s="2"/>
      <c r="H116" s="2">
        <f>--10504.05</f>
        <v>10504.05</v>
      </c>
      <c r="I116" s="2"/>
      <c r="J116" s="19">
        <f t="shared" si="97"/>
        <v>1.8778655235149155E-2</v>
      </c>
      <c r="K116" s="2"/>
      <c r="L116" s="2">
        <f t="shared" si="98"/>
        <v>-10330.58</v>
      </c>
      <c r="M116" s="2"/>
      <c r="N116" s="19">
        <f t="shared" si="99"/>
        <v>-0.9834854175294292</v>
      </c>
      <c r="O116" s="11"/>
      <c r="P116" s="2">
        <f>--998.65</f>
        <v>998.65</v>
      </c>
      <c r="Q116" s="2"/>
      <c r="R116" s="19">
        <f t="shared" si="100"/>
        <v>8.182705268813319E-3</v>
      </c>
      <c r="S116" s="2"/>
      <c r="T116" s="2">
        <f>--223374.12</f>
        <v>223374.12</v>
      </c>
      <c r="U116" s="2"/>
      <c r="V116" s="19">
        <f t="shared" si="101"/>
        <v>8.3649142310461944E-2</v>
      </c>
      <c r="W116" s="2"/>
      <c r="X116" s="2">
        <f t="shared" si="102"/>
        <v>-222375.47</v>
      </c>
      <c r="Y116" s="2"/>
      <c r="Z116" s="19">
        <f t="shared" si="103"/>
        <v>-0.99552924931500575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10"/>
      <c r="B118" s="28" t="s">
        <v>3</v>
      </c>
      <c r="C118" s="28"/>
      <c r="D118" s="20">
        <f>+D27-D29+D113</f>
        <v>-50395.870000000017</v>
      </c>
      <c r="E118" s="14"/>
      <c r="F118" s="22">
        <f>IF(D$12=0,0,D118/D$12)</f>
        <v>-0.78557476128027415</v>
      </c>
      <c r="G118" s="14"/>
      <c r="H118" s="20">
        <f>+H27-H29+H113</f>
        <v>-26680.800000000221</v>
      </c>
      <c r="I118" s="14"/>
      <c r="J118" s="22">
        <f>IF(H$12=0,0,H118/H$12)</f>
        <v>-4.7698701414975342E-2</v>
      </c>
      <c r="K118" s="15"/>
      <c r="L118" s="20">
        <f>+D118-H118</f>
        <v>-23715.069999999796</v>
      </c>
      <c r="M118" s="15"/>
      <c r="N118" s="22">
        <f>IF(H118=0,0,L118/H118)</f>
        <v>0.88884403766002518</v>
      </c>
      <c r="O118" s="29"/>
      <c r="P118" s="20">
        <f>+P27-P29+P113</f>
        <v>-447594.77000000008</v>
      </c>
      <c r="Q118" s="14"/>
      <c r="R118" s="22">
        <f>IF(P$12=0,0,P118/P$12)</f>
        <v>-3.6674871904794339</v>
      </c>
      <c r="S118" s="14"/>
      <c r="T118" s="20">
        <f>+T27-T29+T113</f>
        <v>-104391.78999999911</v>
      </c>
      <c r="U118" s="14"/>
      <c r="V118" s="22">
        <f>IF(T$12=0,0,T118/T$12)</f>
        <v>-3.9092638385117236E-2</v>
      </c>
      <c r="W118" s="15"/>
      <c r="X118" s="20">
        <f>+P118-T118</f>
        <v>-343202.98000000097</v>
      </c>
      <c r="Y118" s="15"/>
      <c r="Z118" s="22">
        <f>IF(T118=0,0,X118/T118)</f>
        <v>3.2876434056739896</v>
      </c>
    </row>
    <row r="119" spans="1:26" x14ac:dyDescent="0.25">
      <c r="A119" s="9"/>
      <c r="B119" s="10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51"/>
      <c r="B120" s="10" t="s">
        <v>13</v>
      </c>
      <c r="C120" s="10"/>
      <c r="D120" s="4">
        <v>6852.04</v>
      </c>
      <c r="E120" s="4"/>
      <c r="F120" s="12">
        <f>IF(D$12=0,0,D120/D$12)</f>
        <v>0.10681013518137275</v>
      </c>
      <c r="G120" s="4"/>
      <c r="H120" s="4">
        <v>70274.59</v>
      </c>
      <c r="I120" s="4"/>
      <c r="J120" s="12">
        <f>IF(H$12=0,0,H120/H$12)</f>
        <v>0.12563366486273966</v>
      </c>
      <c r="K120" s="4"/>
      <c r="L120" s="4">
        <f>+D120-H120</f>
        <v>-63422.549999999996</v>
      </c>
      <c r="M120" s="4"/>
      <c r="N120" s="12">
        <f>IF(H120=0,0,L120/H120)</f>
        <v>-0.90249619385897517</v>
      </c>
      <c r="O120" s="10"/>
      <c r="P120" s="4">
        <v>19392.79</v>
      </c>
      <c r="Q120" s="4"/>
      <c r="R120" s="12">
        <f>IF(P$12=0,0,P120/P$12)</f>
        <v>0.15889999990986858</v>
      </c>
      <c r="S120" s="4"/>
      <c r="T120" s="4">
        <v>282774.08</v>
      </c>
      <c r="U120" s="4"/>
      <c r="V120" s="12">
        <f>IF(T$12=0,0,T120/T$12)</f>
        <v>0.10589323982397761</v>
      </c>
      <c r="W120" s="4"/>
      <c r="X120" s="4">
        <f>+P120-T120</f>
        <v>-263381.29000000004</v>
      </c>
      <c r="Y120" s="4"/>
      <c r="Z120" s="12">
        <f>IF(T120=0,0,X120/T120)</f>
        <v>-0.93141949219673892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8" t="s">
        <v>4</v>
      </c>
      <c r="C122" s="28"/>
      <c r="D122" s="31">
        <f>+D118-D120</f>
        <v>-57247.910000000018</v>
      </c>
      <c r="E122" s="14"/>
      <c r="F122" s="34">
        <f>IF(D$12=0,0,D122/D$12)</f>
        <v>-0.89238489646164687</v>
      </c>
      <c r="G122" s="14"/>
      <c r="H122" s="31">
        <f>+H118-H120</f>
        <v>-96955.390000000218</v>
      </c>
      <c r="I122" s="14"/>
      <c r="J122" s="34">
        <f>IF(H$12=0,0,H122/H$12)</f>
        <v>-0.17333236627771501</v>
      </c>
      <c r="K122" s="15"/>
      <c r="L122" s="31">
        <f>D122-H122</f>
        <v>39707.4800000002</v>
      </c>
      <c r="M122" s="15"/>
      <c r="N122" s="34">
        <f>IF(H122=0,0,L122/H122)</f>
        <v>-0.40954381184996635</v>
      </c>
      <c r="O122" s="29"/>
      <c r="P122" s="31">
        <f>+P118-P120</f>
        <v>-466987.56000000006</v>
      </c>
      <c r="Q122" s="14"/>
      <c r="R122" s="34">
        <f>IF(P$12=0,0,P122/P$12)</f>
        <v>-3.8263871903893021</v>
      </c>
      <c r="S122" s="14"/>
      <c r="T122" s="31">
        <f>+T118-T120</f>
        <v>-387165.86999999912</v>
      </c>
      <c r="U122" s="14"/>
      <c r="V122" s="34">
        <f>IF(T$12=0,0,T122/T$12)</f>
        <v>-0.14498587820909484</v>
      </c>
      <c r="W122" s="15"/>
      <c r="X122" s="31">
        <f>P122-T122</f>
        <v>-79821.690000000934</v>
      </c>
      <c r="Y122" s="15"/>
      <c r="Z122" s="34">
        <f>IF(T122=0,0,X122/T122)</f>
        <v>0.20616923180754831</v>
      </c>
    </row>
    <row r="123" spans="1:26" ht="15.75" thickTop="1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8" t="s">
        <v>5</v>
      </c>
      <c r="C125" s="28"/>
      <c r="D125" s="32">
        <f>SUM(D122:D124)</f>
        <v>-57247.910000000018</v>
      </c>
      <c r="E125" s="14"/>
      <c r="F125" s="30">
        <f>IF(D$12=0,0,D125/D$12)</f>
        <v>-0.89238489646164687</v>
      </c>
      <c r="G125" s="14"/>
      <c r="H125" s="32">
        <f>SUM(H122:H124)</f>
        <v>-96955.390000000218</v>
      </c>
      <c r="I125" s="14"/>
      <c r="J125" s="30">
        <f>IF(H$12=0,0,H125/H$12)</f>
        <v>-0.17333236627771501</v>
      </c>
      <c r="K125" s="15"/>
      <c r="L125" s="32">
        <f>+D125-H125</f>
        <v>39707.4800000002</v>
      </c>
      <c r="M125" s="15"/>
      <c r="N125" s="30">
        <f>IF(H125=0,0,L125/H125)</f>
        <v>-0.40954381184996635</v>
      </c>
      <c r="O125" s="29"/>
      <c r="P125" s="32">
        <f>SUM(P122:P124)</f>
        <v>-466987.56000000006</v>
      </c>
      <c r="Q125" s="14"/>
      <c r="R125" s="30">
        <f>IF(P$12=0,0,P125/P$12)</f>
        <v>-3.8263871903893021</v>
      </c>
      <c r="S125" s="14"/>
      <c r="T125" s="32">
        <f>SUM(T122:T124)</f>
        <v>-387165.86999999912</v>
      </c>
      <c r="U125" s="14"/>
      <c r="V125" s="30">
        <f>IF(T$12=0,0,T125/T$12)</f>
        <v>-0.14498587820909484</v>
      </c>
      <c r="W125" s="15"/>
      <c r="X125" s="32">
        <f>+P125-T125</f>
        <v>-79821.690000000934</v>
      </c>
      <c r="Y125" s="15"/>
      <c r="Z125" s="30">
        <f>IF(T125=0,0,X125/T125)</f>
        <v>0.20616923180754831</v>
      </c>
    </row>
    <row r="126" spans="1:26" ht="15.75" thickTop="1" x14ac:dyDescent="0.25">
      <c r="A126" s="9"/>
      <c r="C126" s="9"/>
      <c r="D126" s="17"/>
      <c r="E126" s="17"/>
      <c r="G126" s="17"/>
      <c r="H126" s="17"/>
      <c r="I126" s="17"/>
      <c r="J126" s="43"/>
      <c r="K126" s="17"/>
      <c r="L126" s="17"/>
      <c r="M126" s="17"/>
      <c r="P126" s="17"/>
      <c r="Q126" s="17"/>
      <c r="R126" s="43"/>
      <c r="S126" s="17"/>
      <c r="T126" s="17"/>
      <c r="U126" s="17"/>
      <c r="V126" s="43"/>
      <c r="W126" s="17"/>
      <c r="X126" s="17"/>
    </row>
    <row r="127" spans="1:26" x14ac:dyDescent="0.25">
      <c r="A127" s="9"/>
      <c r="B127" s="54">
        <v>44174.685247719906</v>
      </c>
      <c r="D127" s="17"/>
      <c r="E127" s="17"/>
      <c r="G127" s="17"/>
      <c r="H127" s="17"/>
      <c r="I127" s="17"/>
      <c r="J127" s="43"/>
      <c r="K127" s="17"/>
      <c r="L127" s="17"/>
      <c r="M127" s="17"/>
      <c r="P127" s="17"/>
      <c r="Q127" s="17"/>
      <c r="R127" s="43"/>
      <c r="S127" s="17"/>
      <c r="T127" s="17"/>
      <c r="U127" s="17"/>
      <c r="V127" s="43"/>
      <c r="W127" s="17"/>
      <c r="X127" s="17"/>
    </row>
    <row r="128" spans="1:26" x14ac:dyDescent="0.25">
      <c r="A128" s="9"/>
      <c r="B128" s="56" t="s">
        <v>313</v>
      </c>
      <c r="D128" s="17"/>
      <c r="E128" s="17"/>
      <c r="G128" s="17"/>
      <c r="H128" s="17"/>
      <c r="I128" s="17"/>
      <c r="J128" s="43"/>
      <c r="K128" s="17"/>
      <c r="L128" s="17"/>
      <c r="M128" s="17"/>
      <c r="P128" s="17"/>
      <c r="Q128" s="17"/>
      <c r="R128" s="43"/>
      <c r="S128" s="17"/>
      <c r="T128" s="17"/>
      <c r="U128" s="17"/>
      <c r="V128" s="43"/>
      <c r="W128" s="17"/>
      <c r="X128" s="17"/>
    </row>
    <row r="129" spans="1:24" x14ac:dyDescent="0.25">
      <c r="A129" s="9"/>
      <c r="B129" s="61"/>
      <c r="D129" s="17"/>
      <c r="E129" s="17"/>
      <c r="G129" s="17"/>
      <c r="H129" s="17"/>
      <c r="I129" s="17"/>
      <c r="J129" s="43"/>
      <c r="K129" s="17"/>
      <c r="L129" s="17"/>
      <c r="M129" s="17"/>
      <c r="P129" s="17"/>
      <c r="Q129" s="17"/>
      <c r="R129" s="43"/>
      <c r="S129" s="17"/>
      <c r="T129" s="17"/>
      <c r="U129" s="17"/>
      <c r="V129" s="43"/>
      <c r="W129" s="17"/>
      <c r="X129" s="17"/>
    </row>
    <row r="130" spans="1:24" x14ac:dyDescent="0.25">
      <c r="D130" s="17"/>
      <c r="E130" s="17"/>
      <c r="G130" s="17"/>
      <c r="H130" s="17"/>
      <c r="I130" s="17"/>
      <c r="J130" s="43"/>
      <c r="K130" s="17"/>
      <c r="L130" s="17"/>
      <c r="M130" s="17"/>
      <c r="P130" s="17"/>
      <c r="Q130" s="17"/>
      <c r="R130" s="43"/>
      <c r="S130" s="17"/>
      <c r="T130" s="17"/>
      <c r="U130" s="17"/>
      <c r="V130" s="43"/>
      <c r="W130" s="17"/>
      <c r="X130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","405", " - ", "Library Starbucks")</f>
        <v>Department 405 - Library Starbucks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99022.48</v>
      </c>
      <c r="I12" s="4"/>
      <c r="J12" s="12"/>
      <c r="K12" s="4"/>
      <c r="L12" s="4">
        <f t="shared" ref="L12:L14" si="0">+D12-H12</f>
        <v>-99022.48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424855.71</v>
      </c>
      <c r="U12" s="4"/>
      <c r="V12" s="12"/>
      <c r="W12" s="4"/>
      <c r="X12" s="4">
        <f t="shared" ref="X12:X14" si="2">+P12-T12</f>
        <v>-424855.71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--20274.14</f>
        <v>20274.14</v>
      </c>
      <c r="I13" s="2"/>
      <c r="J13" s="19"/>
      <c r="K13" s="2"/>
      <c r="L13" s="2">
        <f t="shared" si="0"/>
        <v>-20274.14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--94686.93</f>
        <v>94686.93</v>
      </c>
      <c r="U13" s="2"/>
      <c r="V13" s="19"/>
      <c r="W13" s="2"/>
      <c r="X13" s="2">
        <f t="shared" si="2"/>
        <v>-94686.93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--78748.34</f>
        <v>78748.34</v>
      </c>
      <c r="I14" s="2"/>
      <c r="J14" s="19"/>
      <c r="K14" s="2"/>
      <c r="L14" s="2">
        <f t="shared" si="0"/>
        <v>-78748.34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--330168.78</f>
        <v>330168.78000000003</v>
      </c>
      <c r="U14" s="2"/>
      <c r="V14" s="19"/>
      <c r="W14" s="2"/>
      <c r="X14" s="2">
        <f t="shared" si="2"/>
        <v>-330168.78000000003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38412.68</v>
      </c>
      <c r="I16" s="4"/>
      <c r="J16" s="12">
        <f t="shared" ref="J16:J18" si="7">IF(H$12=0,0,H16/H$12)</f>
        <v>0.38791878369436922</v>
      </c>
      <c r="K16" s="4"/>
      <c r="L16" s="4">
        <f t="shared" ref="L16:L18" si="8">+D16-H16</f>
        <v>-38412.68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163453.42000000001</v>
      </c>
      <c r="U16" s="4"/>
      <c r="V16" s="12">
        <f t="shared" ref="V16:V18" si="11">IF(T$12=0,0,T16/T$12)</f>
        <v>0.38472689939838633</v>
      </c>
      <c r="W16" s="4"/>
      <c r="X16" s="4">
        <f t="shared" ref="X16:X18" si="12">+P16-T16</f>
        <v>-163453.42000000001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36925.68</v>
      </c>
      <c r="I17" s="2"/>
      <c r="J17" s="19">
        <f t="shared" si="7"/>
        <v>0.37290199154777787</v>
      </c>
      <c r="K17" s="2"/>
      <c r="L17" s="2">
        <f t="shared" si="8"/>
        <v>-36925.68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170765.42</v>
      </c>
      <c r="U17" s="2"/>
      <c r="V17" s="19">
        <f t="shared" si="11"/>
        <v>0.40193744836335143</v>
      </c>
      <c r="W17" s="2"/>
      <c r="X17" s="2">
        <f t="shared" si="12"/>
        <v>-170765.42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1487</v>
      </c>
      <c r="I18" s="2"/>
      <c r="J18" s="19">
        <f t="shared" si="7"/>
        <v>1.501679214659136E-2</v>
      </c>
      <c r="K18" s="2"/>
      <c r="L18" s="2">
        <f t="shared" si="8"/>
        <v>-1487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-7312</v>
      </c>
      <c r="U18" s="2"/>
      <c r="V18" s="19">
        <f t="shared" si="11"/>
        <v>-1.7210548964965069E-2</v>
      </c>
      <c r="W18" s="2"/>
      <c r="X18" s="2">
        <f t="shared" si="12"/>
        <v>7312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60609.799999999996</v>
      </c>
      <c r="I20" s="14"/>
      <c r="J20" s="22">
        <f>IF(H$12=0,0,H20/H$12)</f>
        <v>0.61208121630563084</v>
      </c>
      <c r="K20" s="15"/>
      <c r="L20" s="20">
        <f>+D20-H20</f>
        <v>-60609.799999999996</v>
      </c>
      <c r="M20" s="15"/>
      <c r="N20" s="22">
        <f>IF(H20=0,0,L20/H20)</f>
        <v>-1</v>
      </c>
      <c r="O20" s="29"/>
      <c r="P20" s="20">
        <f>P12-P16</f>
        <v>0</v>
      </c>
      <c r="Q20" s="14"/>
      <c r="R20" s="22">
        <f>IF(P$12=0,0,P20/P$12)</f>
        <v>0</v>
      </c>
      <c r="S20" s="14"/>
      <c r="T20" s="20">
        <f>T12-T16</f>
        <v>261402.29</v>
      </c>
      <c r="U20" s="14"/>
      <c r="V20" s="22">
        <f>IF(T$12=0,0,T20/T$12)</f>
        <v>0.61527310060161367</v>
      </c>
      <c r="W20" s="15"/>
      <c r="X20" s="20">
        <f>+P20-T20</f>
        <v>-261402.29</v>
      </c>
      <c r="Y20" s="15"/>
      <c r="Z20" s="22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5768.84</v>
      </c>
      <c r="E22" s="21"/>
      <c r="F22" s="35">
        <f t="shared" ref="F22:F31" si="14">IF(D$12=0,0,D22/D$12)</f>
        <v>0</v>
      </c>
      <c r="G22" s="21"/>
      <c r="H22" s="21">
        <f>SUM(OSRRefH22x_0)</f>
        <v>56277.53</v>
      </c>
      <c r="I22" s="21"/>
      <c r="J22" s="35">
        <f t="shared" ref="J22:J31" si="15">IF(H$12=0,0,H22/H$12)</f>
        <v>0.56833084770246112</v>
      </c>
      <c r="K22" s="4"/>
      <c r="L22" s="21">
        <f t="shared" ref="L22:L31" si="16">+D22-H22</f>
        <v>-50508.69</v>
      </c>
      <c r="M22" s="4"/>
      <c r="N22" s="35">
        <f t="shared" ref="N22:N31" si="17">IF(H22=0,0,L22/H22)</f>
        <v>-0.89749301364150136</v>
      </c>
      <c r="O22" s="10"/>
      <c r="P22" s="21">
        <f>SUM(OSRRefP22x_0)</f>
        <v>33871.68</v>
      </c>
      <c r="Q22" s="21"/>
      <c r="R22" s="35">
        <f t="shared" ref="R22:R31" si="18">IF(P$12=0,0,P22/P$12)</f>
        <v>0</v>
      </c>
      <c r="S22" s="21"/>
      <c r="T22" s="21">
        <f>SUM(OSRRefT22x_0)</f>
        <v>282521.84000000003</v>
      </c>
      <c r="U22" s="21"/>
      <c r="V22" s="35">
        <f t="shared" ref="V22:V31" si="19">IF(T$12=0,0,T22/T$12)</f>
        <v>0.66498303624070398</v>
      </c>
      <c r="W22" s="4"/>
      <c r="X22" s="21">
        <f t="shared" ref="X22:X31" si="20">+P22-T22</f>
        <v>-248650.16000000003</v>
      </c>
      <c r="Y22" s="4"/>
      <c r="Z22" s="35">
        <f t="shared" ref="Z22:Z31" si="21">IF(T22=0,0,X22/T22)</f>
        <v>-0.88010951648906155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0.83</v>
      </c>
      <c r="E23" s="1"/>
      <c r="F23" s="5">
        <f t="shared" si="14"/>
        <v>0</v>
      </c>
      <c r="G23" s="1"/>
      <c r="H23" s="1">
        <f>SUM(OSRRefH22_0x_0)</f>
        <v>5308.42</v>
      </c>
      <c r="I23" s="1"/>
      <c r="J23" s="5">
        <f t="shared" si="15"/>
        <v>5.3608231181444865E-2</v>
      </c>
      <c r="K23" s="1"/>
      <c r="L23" s="1">
        <f t="shared" si="16"/>
        <v>-5307.59</v>
      </c>
      <c r="M23" s="1"/>
      <c r="N23" s="5">
        <f t="shared" si="17"/>
        <v>-0.99984364462495434</v>
      </c>
      <c r="O23" s="13"/>
      <c r="P23" s="1">
        <f>SUM(OSRRefP22_0x_0)</f>
        <v>0.83</v>
      </c>
      <c r="Q23" s="1"/>
      <c r="R23" s="5">
        <f t="shared" si="18"/>
        <v>0</v>
      </c>
      <c r="S23" s="1"/>
      <c r="T23" s="1">
        <f>SUM(OSRRefT22_0x_0)</f>
        <v>25834.22</v>
      </c>
      <c r="U23" s="1"/>
      <c r="V23" s="5">
        <f t="shared" si="19"/>
        <v>6.0807044349245068E-2</v>
      </c>
      <c r="W23" s="1"/>
      <c r="X23" s="1">
        <f t="shared" si="20"/>
        <v>-25833.39</v>
      </c>
      <c r="Y23" s="1"/>
      <c r="Z23" s="5">
        <f t="shared" si="21"/>
        <v>-0.99996787207045534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>
        <v>0.83</v>
      </c>
      <c r="E24" s="2"/>
      <c r="F24" s="7">
        <f t="shared" si="14"/>
        <v>0</v>
      </c>
      <c r="G24" s="2"/>
      <c r="H24" s="6">
        <v>761.34</v>
      </c>
      <c r="I24" s="2"/>
      <c r="J24" s="7">
        <f t="shared" si="15"/>
        <v>7.6885571841868641E-3</v>
      </c>
      <c r="K24" s="2"/>
      <c r="L24" s="6">
        <f t="shared" si="16"/>
        <v>-760.51</v>
      </c>
      <c r="M24" s="2"/>
      <c r="N24" s="7">
        <f t="shared" si="17"/>
        <v>-0.99890981690177838</v>
      </c>
      <c r="O24" s="11"/>
      <c r="P24" s="6">
        <v>0.83</v>
      </c>
      <c r="Q24" s="2"/>
      <c r="R24" s="7">
        <f t="shared" si="18"/>
        <v>0</v>
      </c>
      <c r="S24" s="2"/>
      <c r="T24" s="6">
        <v>5674.28</v>
      </c>
      <c r="U24" s="2"/>
      <c r="V24" s="7">
        <f t="shared" si="19"/>
        <v>1.3355781425180797E-2</v>
      </c>
      <c r="W24" s="2"/>
      <c r="X24" s="6">
        <f t="shared" si="20"/>
        <v>-5673.45</v>
      </c>
      <c r="Y24" s="2"/>
      <c r="Z24" s="7">
        <f t="shared" si="21"/>
        <v>-0.99985372593527289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1250.7</v>
      </c>
      <c r="I25" s="2"/>
      <c r="J25" s="7">
        <f t="shared" si="15"/>
        <v>1.2630465324641436E-2</v>
      </c>
      <c r="K25" s="2"/>
      <c r="L25" s="6">
        <f t="shared" si="16"/>
        <v>-1250.7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3631.89</v>
      </c>
      <c r="U25" s="2"/>
      <c r="V25" s="7">
        <f t="shared" si="19"/>
        <v>8.5485258042077381E-3</v>
      </c>
      <c r="W25" s="2"/>
      <c r="X25" s="6">
        <f t="shared" si="20"/>
        <v>-3631.89</v>
      </c>
      <c r="Y25" s="2"/>
      <c r="Z25" s="7">
        <f t="shared" si="21"/>
        <v>-1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1376.23</v>
      </c>
      <c r="I26" s="2"/>
      <c r="J26" s="7">
        <f t="shared" si="15"/>
        <v>1.3898157266915553E-2</v>
      </c>
      <c r="K26" s="2"/>
      <c r="L26" s="6">
        <f t="shared" si="16"/>
        <v>-1376.23</v>
      </c>
      <c r="M26" s="2"/>
      <c r="N26" s="7">
        <f t="shared" si="17"/>
        <v>-1</v>
      </c>
      <c r="O26" s="11"/>
      <c r="P26" s="6"/>
      <c r="Q26" s="2"/>
      <c r="R26" s="7">
        <f t="shared" si="18"/>
        <v>0</v>
      </c>
      <c r="S26" s="2"/>
      <c r="T26" s="6">
        <v>6881.15</v>
      </c>
      <c r="U26" s="2"/>
      <c r="V26" s="7">
        <f t="shared" si="19"/>
        <v>1.619643996311124E-2</v>
      </c>
      <c r="W26" s="2"/>
      <c r="X26" s="6">
        <f t="shared" si="20"/>
        <v>-6881.15</v>
      </c>
      <c r="Y26" s="2"/>
      <c r="Z26" s="7">
        <f t="shared" si="21"/>
        <v>-1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83.81</v>
      </c>
      <c r="I27" s="2"/>
      <c r="J27" s="7">
        <f t="shared" si="15"/>
        <v>8.4637346994339072E-4</v>
      </c>
      <c r="K27" s="2"/>
      <c r="L27" s="6">
        <f t="shared" si="16"/>
        <v>-83.81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347.49</v>
      </c>
      <c r="U27" s="2"/>
      <c r="V27" s="7">
        <f t="shared" si="19"/>
        <v>8.1790121168431515E-4</v>
      </c>
      <c r="W27" s="2"/>
      <c r="X27" s="6">
        <f t="shared" si="20"/>
        <v>-347.49</v>
      </c>
      <c r="Y27" s="2"/>
      <c r="Z27" s="7">
        <f t="shared" si="21"/>
        <v>-1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696.67</v>
      </c>
      <c r="I28" s="2"/>
      <c r="J28" s="7">
        <f t="shared" si="15"/>
        <v>7.035473157206323E-3</v>
      </c>
      <c r="K28" s="2"/>
      <c r="L28" s="6">
        <f t="shared" si="16"/>
        <v>-696.67</v>
      </c>
      <c r="M28" s="2"/>
      <c r="N28" s="7">
        <f t="shared" si="17"/>
        <v>-1</v>
      </c>
      <c r="O28" s="11"/>
      <c r="P28" s="6"/>
      <c r="Q28" s="2"/>
      <c r="R28" s="7">
        <f t="shared" si="18"/>
        <v>0</v>
      </c>
      <c r="S28" s="2"/>
      <c r="T28" s="6">
        <v>3483.35</v>
      </c>
      <c r="U28" s="2"/>
      <c r="V28" s="7">
        <f t="shared" si="19"/>
        <v>8.1989012222526084E-3</v>
      </c>
      <c r="W28" s="2"/>
      <c r="X28" s="6">
        <f t="shared" si="20"/>
        <v>-3483.35</v>
      </c>
      <c r="Y28" s="2"/>
      <c r="Z28" s="7">
        <f t="shared" si="21"/>
        <v>-1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384</v>
      </c>
      <c r="I29" s="2"/>
      <c r="J29" s="7">
        <f t="shared" si="15"/>
        <v>3.8779073196308555E-3</v>
      </c>
      <c r="K29" s="2"/>
      <c r="L29" s="6">
        <f t="shared" si="16"/>
        <v>-384</v>
      </c>
      <c r="M29" s="2"/>
      <c r="N29" s="7">
        <f t="shared" si="17"/>
        <v>-1</v>
      </c>
      <c r="O29" s="11"/>
      <c r="P29" s="6"/>
      <c r="Q29" s="2"/>
      <c r="R29" s="7">
        <f t="shared" si="18"/>
        <v>0</v>
      </c>
      <c r="S29" s="2"/>
      <c r="T29" s="6">
        <v>2112</v>
      </c>
      <c r="U29" s="2"/>
      <c r="V29" s="7">
        <f t="shared" si="19"/>
        <v>4.9710994822218585E-3</v>
      </c>
      <c r="W29" s="2"/>
      <c r="X29" s="6">
        <f t="shared" si="20"/>
        <v>-2112</v>
      </c>
      <c r="Y29" s="2"/>
      <c r="Z29" s="7">
        <f t="shared" si="21"/>
        <v>-1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460.04</v>
      </c>
      <c r="I30" s="2"/>
      <c r="J30" s="7">
        <f t="shared" si="15"/>
        <v>4.6458137586535908E-3</v>
      </c>
      <c r="K30" s="2"/>
      <c r="L30" s="6">
        <f t="shared" si="16"/>
        <v>-460.04</v>
      </c>
      <c r="M30" s="2"/>
      <c r="N30" s="7">
        <f t="shared" si="17"/>
        <v>-1</v>
      </c>
      <c r="O30" s="11"/>
      <c r="P30" s="6"/>
      <c r="Q30" s="2"/>
      <c r="R30" s="7">
        <f t="shared" si="18"/>
        <v>0</v>
      </c>
      <c r="S30" s="2"/>
      <c r="T30" s="6">
        <v>2530.2199999999998</v>
      </c>
      <c r="U30" s="2"/>
      <c r="V30" s="7">
        <f t="shared" si="19"/>
        <v>5.9554807442743314E-3</v>
      </c>
      <c r="W30" s="2"/>
      <c r="X30" s="6">
        <f t="shared" si="20"/>
        <v>-2530.2199999999998</v>
      </c>
      <c r="Y30" s="2"/>
      <c r="Z30" s="7">
        <f t="shared" si="21"/>
        <v>-1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295.63</v>
      </c>
      <c r="I31" s="2"/>
      <c r="J31" s="7">
        <f t="shared" si="15"/>
        <v>2.9854837002668486E-3</v>
      </c>
      <c r="K31" s="2"/>
      <c r="L31" s="6">
        <f t="shared" si="16"/>
        <v>-295.63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1173.8399999999999</v>
      </c>
      <c r="U31" s="2"/>
      <c r="V31" s="7">
        <f t="shared" si="19"/>
        <v>2.762914496312171E-3</v>
      </c>
      <c r="W31" s="2"/>
      <c r="X31" s="6">
        <f t="shared" si="20"/>
        <v>-1173.8399999999999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6" si="22">IF(D$12=0,0,D32/D$12)</f>
        <v>0</v>
      </c>
      <c r="G32" s="1"/>
      <c r="H32" s="1">
        <f>SUM(OSRRefH22_1x_0)</f>
        <v>26730.52</v>
      </c>
      <c r="I32" s="1"/>
      <c r="J32" s="5">
        <f t="shared" ref="J32:J36" si="23">IF(H$12=0,0,H32/H$12)</f>
        <v>0.26994395616025779</v>
      </c>
      <c r="K32" s="1"/>
      <c r="L32" s="1">
        <f t="shared" ref="L32:L36" si="24">+D32-H32</f>
        <v>-26730.52</v>
      </c>
      <c r="M32" s="1"/>
      <c r="N32" s="5">
        <f t="shared" ref="N32:N36" si="25">IF(H32=0,0,L32/H32)</f>
        <v>-1</v>
      </c>
      <c r="O32" s="13"/>
      <c r="P32" s="1">
        <f>SUM(OSRRefP22_1x_0)</f>
        <v>0</v>
      </c>
      <c r="Q32" s="1"/>
      <c r="R32" s="5">
        <f t="shared" ref="R32:R36" si="26">IF(P$12=0,0,P32/P$12)</f>
        <v>0</v>
      </c>
      <c r="S32" s="1"/>
      <c r="T32" s="1">
        <f>SUM(OSRRefT22_1x_0)</f>
        <v>133789.21</v>
      </c>
      <c r="U32" s="1"/>
      <c r="V32" s="5">
        <f t="shared" ref="V32:V36" si="27">IF(T$12=0,0,T32/T$12)</f>
        <v>0.31490505329444668</v>
      </c>
      <c r="W32" s="1"/>
      <c r="X32" s="1">
        <f t="shared" ref="X32:X36" si="28">+P32-T32</f>
        <v>-133789.21</v>
      </c>
      <c r="Y32" s="1"/>
      <c r="Z32" s="5">
        <f t="shared" ref="Z32:Z36" si="29">IF(T32=0,0,X32/T32)</f>
        <v>-1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8892.76</v>
      </c>
      <c r="I33" s="2"/>
      <c r="J33" s="7">
        <f t="shared" si="23"/>
        <v>8.9805466395105435E-2</v>
      </c>
      <c r="K33" s="2"/>
      <c r="L33" s="6">
        <f t="shared" si="24"/>
        <v>-8892.76</v>
      </c>
      <c r="M33" s="2"/>
      <c r="N33" s="7">
        <f t="shared" si="25"/>
        <v>-1</v>
      </c>
      <c r="O33" s="11"/>
      <c r="P33" s="6"/>
      <c r="Q33" s="2"/>
      <c r="R33" s="7">
        <f t="shared" si="26"/>
        <v>0</v>
      </c>
      <c r="S33" s="2"/>
      <c r="T33" s="6">
        <v>53068.85</v>
      </c>
      <c r="U33" s="2"/>
      <c r="V33" s="7">
        <f t="shared" si="27"/>
        <v>0.12491029013120712</v>
      </c>
      <c r="W33" s="2"/>
      <c r="X33" s="6">
        <f t="shared" si="28"/>
        <v>-53068.85</v>
      </c>
      <c r="Y33" s="2"/>
      <c r="Z33" s="7">
        <f t="shared" si="29"/>
        <v>-1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/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45.5</v>
      </c>
      <c r="U34" s="2"/>
      <c r="V34" s="7">
        <f t="shared" si="27"/>
        <v>1.070951829740031E-4</v>
      </c>
      <c r="W34" s="2"/>
      <c r="X34" s="6">
        <f t="shared" si="28"/>
        <v>-45.5</v>
      </c>
      <c r="Y34" s="2"/>
      <c r="Z34" s="7">
        <f t="shared" si="29"/>
        <v>-1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22"/>
        <v>0</v>
      </c>
      <c r="G35" s="2"/>
      <c r="H35" s="6">
        <v>16256.76</v>
      </c>
      <c r="I35" s="2"/>
      <c r="J35" s="7">
        <f t="shared" si="23"/>
        <v>0.16417241822260967</v>
      </c>
      <c r="K35" s="2"/>
      <c r="L35" s="6">
        <f t="shared" si="24"/>
        <v>-16256.76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77377.86</v>
      </c>
      <c r="U35" s="2"/>
      <c r="V35" s="7">
        <f t="shared" si="27"/>
        <v>0.18212738626014935</v>
      </c>
      <c r="W35" s="2"/>
      <c r="X35" s="6">
        <f t="shared" si="28"/>
        <v>-77377.86</v>
      </c>
      <c r="Y35" s="2"/>
      <c r="Z35" s="7">
        <f t="shared" si="29"/>
        <v>-1</v>
      </c>
    </row>
    <row r="36" spans="1:26" s="24" customFormat="1" hidden="1" outlineLevel="2" x14ac:dyDescent="0.25">
      <c r="A36" s="25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22"/>
        <v>0</v>
      </c>
      <c r="G36" s="2"/>
      <c r="H36" s="6">
        <v>1581</v>
      </c>
      <c r="I36" s="2"/>
      <c r="J36" s="7">
        <f t="shared" si="23"/>
        <v>1.5966071542542665E-2</v>
      </c>
      <c r="K36" s="2"/>
      <c r="L36" s="6">
        <f t="shared" si="24"/>
        <v>-1581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3297</v>
      </c>
      <c r="U36" s="2"/>
      <c r="V36" s="7">
        <f t="shared" si="27"/>
        <v>7.7602817201162244E-3</v>
      </c>
      <c r="W36" s="2"/>
      <c r="X36" s="6">
        <f t="shared" si="28"/>
        <v>-3297</v>
      </c>
      <c r="Y36" s="2"/>
      <c r="Z36" s="7">
        <f t="shared" si="29"/>
        <v>-1</v>
      </c>
    </row>
    <row r="37" spans="1:26" s="26" customFormat="1" outlineLevel="1" collapsed="1" x14ac:dyDescent="0.25">
      <c r="A37" s="27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45" si="30">IF(D$12=0,0,D37/D$12)</f>
        <v>0</v>
      </c>
      <c r="G37" s="1"/>
      <c r="H37" s="1">
        <f>SUM(OSRRefH22_2x_0)</f>
        <v>0</v>
      </c>
      <c r="I37" s="1"/>
      <c r="J37" s="5">
        <f t="shared" ref="J37:J45" si="31">IF(H$12=0,0,H37/H$12)</f>
        <v>0</v>
      </c>
      <c r="K37" s="1"/>
      <c r="L37" s="1">
        <f t="shared" ref="L37:L45" si="32">+D37-H37</f>
        <v>0</v>
      </c>
      <c r="M37" s="1"/>
      <c r="N37" s="5">
        <f t="shared" ref="N37:N45" si="33">IF(H37=0,0,L37/H37)</f>
        <v>0</v>
      </c>
      <c r="O37" s="13"/>
      <c r="P37" s="1">
        <f>SUM(OSRRefP22_2x_0)</f>
        <v>0</v>
      </c>
      <c r="Q37" s="1"/>
      <c r="R37" s="5">
        <f t="shared" ref="R37:R45" si="34">IF(P$12=0,0,P37/P$12)</f>
        <v>0</v>
      </c>
      <c r="S37" s="1"/>
      <c r="T37" s="1">
        <f>SUM(OSRRefT22_2x_0)</f>
        <v>464.94</v>
      </c>
      <c r="U37" s="1"/>
      <c r="V37" s="5">
        <f t="shared" ref="V37:V45" si="35">IF(T$12=0,0,T37/T$12)</f>
        <v>1.0943480081743516E-3</v>
      </c>
      <c r="W37" s="1"/>
      <c r="X37" s="1">
        <f t="shared" ref="X37:X45" si="36">+P37-T37</f>
        <v>-464.94</v>
      </c>
      <c r="Y37" s="1"/>
      <c r="Z37" s="5">
        <f t="shared" ref="Z37:Z45" si="37">IF(T37=0,0,X37/T37)</f>
        <v>-1</v>
      </c>
    </row>
    <row r="38" spans="1:26" s="24" customFormat="1" hidden="1" outlineLevel="2" x14ac:dyDescent="0.25">
      <c r="A38" s="25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30"/>
        <v>0</v>
      </c>
      <c r="G38" s="2"/>
      <c r="H38" s="6"/>
      <c r="I38" s="2"/>
      <c r="J38" s="7">
        <f t="shared" si="31"/>
        <v>0</v>
      </c>
      <c r="K38" s="2"/>
      <c r="L38" s="6">
        <f t="shared" si="32"/>
        <v>0</v>
      </c>
      <c r="M38" s="2"/>
      <c r="N38" s="7">
        <f t="shared" si="33"/>
        <v>0</v>
      </c>
      <c r="O38" s="11"/>
      <c r="P38" s="6"/>
      <c r="Q38" s="2"/>
      <c r="R38" s="7">
        <f t="shared" si="34"/>
        <v>0</v>
      </c>
      <c r="S38" s="2"/>
      <c r="T38" s="6">
        <v>464.94</v>
      </c>
      <c r="U38" s="2"/>
      <c r="V38" s="7">
        <f t="shared" si="35"/>
        <v>1.0943480081743516E-3</v>
      </c>
      <c r="W38" s="2"/>
      <c r="X38" s="6">
        <f t="shared" si="36"/>
        <v>-464.94</v>
      </c>
      <c r="Y38" s="2"/>
      <c r="Z38" s="7">
        <f t="shared" si="37"/>
        <v>-1</v>
      </c>
    </row>
    <row r="39" spans="1:26" s="26" customFormat="1" outlineLevel="1" collapsed="1" x14ac:dyDescent="0.25">
      <c r="A39" s="27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17.260000000000002</v>
      </c>
      <c r="I39" s="1"/>
      <c r="J39" s="5">
        <f t="shared" si="31"/>
        <v>1.7430385504382443E-4</v>
      </c>
      <c r="K39" s="1"/>
      <c r="L39" s="1">
        <f t="shared" si="32"/>
        <v>-17.260000000000002</v>
      </c>
      <c r="M39" s="1"/>
      <c r="N39" s="5">
        <f t="shared" si="33"/>
        <v>-1</v>
      </c>
      <c r="O39" s="13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11.32</v>
      </c>
      <c r="U39" s="1"/>
      <c r="V39" s="5">
        <f t="shared" si="35"/>
        <v>2.6644340027817915E-5</v>
      </c>
      <c r="W39" s="1"/>
      <c r="X39" s="1">
        <f t="shared" si="36"/>
        <v>-11.32</v>
      </c>
      <c r="Y39" s="1"/>
      <c r="Z39" s="5">
        <f t="shared" si="37"/>
        <v>-1</v>
      </c>
    </row>
    <row r="40" spans="1:26" s="24" customFormat="1" hidden="1" outlineLevel="2" x14ac:dyDescent="0.25">
      <c r="A40" s="25"/>
      <c r="B40" s="11" t="str">
        <f>CONCATENATE("          ", "6272", " - ", "CASH (OVER/SHORT)")</f>
        <v xml:space="preserve">          6272 - CASH (OVER/SHORT)</v>
      </c>
      <c r="C40" s="11"/>
      <c r="D40" s="6"/>
      <c r="E40" s="2"/>
      <c r="F40" s="7">
        <f t="shared" si="30"/>
        <v>0</v>
      </c>
      <c r="G40" s="2"/>
      <c r="H40" s="6">
        <v>17.260000000000002</v>
      </c>
      <c r="I40" s="2"/>
      <c r="J40" s="7">
        <f t="shared" si="31"/>
        <v>1.7430385504382443E-4</v>
      </c>
      <c r="K40" s="2"/>
      <c r="L40" s="6">
        <f t="shared" si="32"/>
        <v>-17.260000000000002</v>
      </c>
      <c r="M40" s="2"/>
      <c r="N40" s="7">
        <f t="shared" si="33"/>
        <v>-1</v>
      </c>
      <c r="O40" s="11"/>
      <c r="P40" s="6"/>
      <c r="Q40" s="2"/>
      <c r="R40" s="7">
        <f t="shared" si="34"/>
        <v>0</v>
      </c>
      <c r="S40" s="2"/>
      <c r="T40" s="6">
        <v>11.32</v>
      </c>
      <c r="U40" s="2"/>
      <c r="V40" s="7">
        <f t="shared" si="35"/>
        <v>2.6644340027817915E-5</v>
      </c>
      <c r="W40" s="2"/>
      <c r="X40" s="6">
        <f t="shared" si="36"/>
        <v>-11.32</v>
      </c>
      <c r="Y40" s="2"/>
      <c r="Z40" s="7">
        <f t="shared" si="37"/>
        <v>-1</v>
      </c>
    </row>
    <row r="41" spans="1:26" s="26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0</v>
      </c>
      <c r="E41" s="1"/>
      <c r="F41" s="5">
        <f t="shared" si="30"/>
        <v>0</v>
      </c>
      <c r="G41" s="1"/>
      <c r="H41" s="1">
        <f>SUM(OSRRefH22_4x_0)</f>
        <v>2480.62</v>
      </c>
      <c r="I41" s="1"/>
      <c r="J41" s="5">
        <f t="shared" si="31"/>
        <v>2.5051079310475764E-2</v>
      </c>
      <c r="K41" s="1"/>
      <c r="L41" s="1">
        <f t="shared" si="32"/>
        <v>-2480.62</v>
      </c>
      <c r="M41" s="1"/>
      <c r="N41" s="5">
        <f t="shared" si="33"/>
        <v>-1</v>
      </c>
      <c r="O41" s="13"/>
      <c r="P41" s="1">
        <f>SUM(OSRRefP22_4x_0)</f>
        <v>0</v>
      </c>
      <c r="Q41" s="1"/>
      <c r="R41" s="5">
        <f t="shared" si="34"/>
        <v>0</v>
      </c>
      <c r="S41" s="1"/>
      <c r="T41" s="1">
        <f>SUM(OSRRefT22_4x_0)</f>
        <v>12121.64</v>
      </c>
      <c r="U41" s="1"/>
      <c r="V41" s="5">
        <f t="shared" si="35"/>
        <v>2.8531192389999887E-2</v>
      </c>
      <c r="W41" s="1"/>
      <c r="X41" s="1">
        <f t="shared" si="36"/>
        <v>-12121.64</v>
      </c>
      <c r="Y41" s="1"/>
      <c r="Z41" s="5">
        <f t="shared" si="37"/>
        <v>-1</v>
      </c>
    </row>
    <row r="42" spans="1:26" s="24" customFormat="1" hidden="1" outlineLevel="2" x14ac:dyDescent="0.25">
      <c r="A42" s="25"/>
      <c r="B42" s="11" t="str">
        <f>CONCATENATE("          ", "6381", " - ", "BANK/CREDIT CARD FEES")</f>
        <v xml:space="preserve">          6381 - BANK/CREDIT CARD FEES</v>
      </c>
      <c r="C42" s="11"/>
      <c r="D42" s="6"/>
      <c r="E42" s="2"/>
      <c r="F42" s="7">
        <f t="shared" si="30"/>
        <v>0</v>
      </c>
      <c r="G42" s="2"/>
      <c r="H42" s="6">
        <v>2480.62</v>
      </c>
      <c r="I42" s="2"/>
      <c r="J42" s="7">
        <f t="shared" si="31"/>
        <v>2.5051079310475764E-2</v>
      </c>
      <c r="K42" s="2"/>
      <c r="L42" s="6">
        <f t="shared" si="32"/>
        <v>-2480.62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12121.64</v>
      </c>
      <c r="U42" s="2"/>
      <c r="V42" s="7">
        <f t="shared" si="35"/>
        <v>2.8531192389999887E-2</v>
      </c>
      <c r="W42" s="2"/>
      <c r="X42" s="6">
        <f t="shared" si="36"/>
        <v>-12121.64</v>
      </c>
      <c r="Y42" s="2"/>
      <c r="Z42" s="7">
        <f t="shared" si="37"/>
        <v>-1</v>
      </c>
    </row>
    <row r="43" spans="1:26" s="26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5233.01</v>
      </c>
      <c r="E43" s="1"/>
      <c r="F43" s="5">
        <f t="shared" si="30"/>
        <v>0</v>
      </c>
      <c r="G43" s="1"/>
      <c r="H43" s="1">
        <f>SUM(OSRRefH22_5x_0)</f>
        <v>5612.57</v>
      </c>
      <c r="I43" s="1"/>
      <c r="J43" s="5">
        <f t="shared" si="31"/>
        <v>5.667975595036602E-2</v>
      </c>
      <c r="K43" s="1"/>
      <c r="L43" s="1">
        <f t="shared" si="32"/>
        <v>-379.55999999999949</v>
      </c>
      <c r="M43" s="1"/>
      <c r="N43" s="5">
        <f t="shared" si="33"/>
        <v>-6.7626773474540103E-2</v>
      </c>
      <c r="O43" s="13"/>
      <c r="P43" s="1">
        <f>SUM(OSRRefP22_5x_0)</f>
        <v>26456.17</v>
      </c>
      <c r="Q43" s="1"/>
      <c r="R43" s="5">
        <f t="shared" si="34"/>
        <v>0</v>
      </c>
      <c r="S43" s="1"/>
      <c r="T43" s="1">
        <f>SUM(OSRRefT22_5x_0)</f>
        <v>28062.85</v>
      </c>
      <c r="U43" s="1"/>
      <c r="V43" s="5">
        <f t="shared" si="35"/>
        <v>6.605266056092314E-2</v>
      </c>
      <c r="W43" s="1"/>
      <c r="X43" s="1">
        <f t="shared" si="36"/>
        <v>-1606.6800000000003</v>
      </c>
      <c r="Y43" s="1"/>
      <c r="Z43" s="5">
        <f t="shared" si="37"/>
        <v>-5.7252916221980317E-2</v>
      </c>
    </row>
    <row r="44" spans="1:26" s="24" customFormat="1" hidden="1" outlineLevel="2" x14ac:dyDescent="0.25">
      <c r="A44" s="25"/>
      <c r="B44" s="11" t="str">
        <f>CONCATENATE("          ", "6321", " - ", "BUILDING DEPRECIATION")</f>
        <v xml:space="preserve">          6321 - BUILDING DEPRECIATION</v>
      </c>
      <c r="C44" s="11"/>
      <c r="D44" s="6">
        <v>4626.5</v>
      </c>
      <c r="E44" s="2"/>
      <c r="F44" s="7">
        <f t="shared" si="30"/>
        <v>0</v>
      </c>
      <c r="G44" s="2"/>
      <c r="H44" s="6">
        <v>4626.5</v>
      </c>
      <c r="I44" s="2"/>
      <c r="J44" s="7">
        <f t="shared" si="31"/>
        <v>4.6721714099667071E-2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>
        <v>23132.5</v>
      </c>
      <c r="Q44" s="2"/>
      <c r="R44" s="7">
        <f t="shared" si="34"/>
        <v>0</v>
      </c>
      <c r="S44" s="2"/>
      <c r="T44" s="6">
        <v>23132.5</v>
      </c>
      <c r="U44" s="2"/>
      <c r="V44" s="7">
        <f t="shared" si="35"/>
        <v>5.4447897146068715E-2</v>
      </c>
      <c r="W44" s="2"/>
      <c r="X44" s="6">
        <f t="shared" si="36"/>
        <v>0</v>
      </c>
      <c r="Y44" s="2"/>
      <c r="Z44" s="7">
        <f t="shared" si="37"/>
        <v>0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606.51</v>
      </c>
      <c r="E45" s="2"/>
      <c r="F45" s="7">
        <f t="shared" si="30"/>
        <v>0</v>
      </c>
      <c r="G45" s="2"/>
      <c r="H45" s="6">
        <v>986.07</v>
      </c>
      <c r="I45" s="2"/>
      <c r="J45" s="7">
        <f t="shared" si="31"/>
        <v>9.9580418506989531E-3</v>
      </c>
      <c r="K45" s="2"/>
      <c r="L45" s="6">
        <f t="shared" si="32"/>
        <v>-379.56000000000006</v>
      </c>
      <c r="M45" s="2"/>
      <c r="N45" s="7">
        <f t="shared" si="33"/>
        <v>-0.38492196294380726</v>
      </c>
      <c r="O45" s="11"/>
      <c r="P45" s="6">
        <v>3323.67</v>
      </c>
      <c r="Q45" s="2"/>
      <c r="R45" s="7">
        <f t="shared" si="34"/>
        <v>0</v>
      </c>
      <c r="S45" s="2"/>
      <c r="T45" s="6">
        <v>4930.3500000000004</v>
      </c>
      <c r="U45" s="2"/>
      <c r="V45" s="7">
        <f t="shared" si="35"/>
        <v>1.1604763414854422E-2</v>
      </c>
      <c r="W45" s="2"/>
      <c r="X45" s="6">
        <f t="shared" si="36"/>
        <v>-1606.6800000000003</v>
      </c>
      <c r="Y45" s="2"/>
      <c r="Z45" s="7">
        <f t="shared" si="37"/>
        <v>-0.32587544494812742</v>
      </c>
    </row>
    <row r="46" spans="1:26" s="26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ref="F46:F56" si="38">IF(D$12=0,0,D46/D$12)</f>
        <v>0</v>
      </c>
      <c r="G46" s="1"/>
      <c r="H46" s="1">
        <f>SUM(OSRRefH22_6x_0)</f>
        <v>186.48</v>
      </c>
      <c r="I46" s="1"/>
      <c r="J46" s="5">
        <f t="shared" ref="J46:J56" si="39">IF(H$12=0,0,H46/H$12)</f>
        <v>1.8832087420957342E-3</v>
      </c>
      <c r="K46" s="1"/>
      <c r="L46" s="1">
        <f t="shared" ref="L46:L56" si="40">+D46-H46</f>
        <v>-186.48</v>
      </c>
      <c r="M46" s="1"/>
      <c r="N46" s="5">
        <f t="shared" ref="N46:N56" si="41">IF(H46=0,0,L46/H46)</f>
        <v>-1</v>
      </c>
      <c r="O46" s="13"/>
      <c r="P46" s="1">
        <f>SUM(OSRRefP22_6x_0)</f>
        <v>0</v>
      </c>
      <c r="Q46" s="1"/>
      <c r="R46" s="5">
        <f t="shared" ref="R46:R56" si="42">IF(P$12=0,0,P46/P$12)</f>
        <v>0</v>
      </c>
      <c r="S46" s="1"/>
      <c r="T46" s="1">
        <f>SUM(OSRRefT22_6x_0)</f>
        <v>186.48</v>
      </c>
      <c r="U46" s="1"/>
      <c r="V46" s="5">
        <f t="shared" ref="V46:V56" si="43">IF(T$12=0,0,T46/T$12)</f>
        <v>4.3892548837345268E-4</v>
      </c>
      <c r="W46" s="1"/>
      <c r="X46" s="1">
        <f t="shared" ref="X46:X56" si="44">+P46-T46</f>
        <v>-186.48</v>
      </c>
      <c r="Y46" s="1"/>
      <c r="Z46" s="5">
        <f t="shared" ref="Z46:Z56" si="45">IF(T46=0,0,X46/T46)</f>
        <v>-1</v>
      </c>
    </row>
    <row r="47" spans="1:26" s="24" customFormat="1" hidden="1" outlineLevel="2" x14ac:dyDescent="0.25">
      <c r="A47" s="25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38"/>
        <v>0</v>
      </c>
      <c r="G47" s="2"/>
      <c r="H47" s="6">
        <v>186.48</v>
      </c>
      <c r="I47" s="2"/>
      <c r="J47" s="7">
        <f t="shared" si="39"/>
        <v>1.8832087420957342E-3</v>
      </c>
      <c r="K47" s="2"/>
      <c r="L47" s="6">
        <f t="shared" si="40"/>
        <v>-186.48</v>
      </c>
      <c r="M47" s="2"/>
      <c r="N47" s="7">
        <f t="shared" si="41"/>
        <v>-1</v>
      </c>
      <c r="O47" s="11"/>
      <c r="P47" s="6"/>
      <c r="Q47" s="2"/>
      <c r="R47" s="7">
        <f t="shared" si="42"/>
        <v>0</v>
      </c>
      <c r="S47" s="2"/>
      <c r="T47" s="6">
        <v>186.48</v>
      </c>
      <c r="U47" s="2"/>
      <c r="V47" s="7">
        <f t="shared" si="43"/>
        <v>4.3892548837345268E-4</v>
      </c>
      <c r="W47" s="2"/>
      <c r="X47" s="6">
        <f t="shared" si="44"/>
        <v>-186.48</v>
      </c>
      <c r="Y47" s="2"/>
      <c r="Z47" s="7">
        <f t="shared" si="45"/>
        <v>-1</v>
      </c>
    </row>
    <row r="48" spans="1:26" s="26" customFormat="1" outlineLevel="1" collapsed="1" x14ac:dyDescent="0.25">
      <c r="A48" s="27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0</v>
      </c>
      <c r="E48" s="1"/>
      <c r="F48" s="5">
        <f t="shared" si="38"/>
        <v>0</v>
      </c>
      <c r="G48" s="1"/>
      <c r="H48" s="1">
        <f>SUM(OSRRefH22_7x_0)</f>
        <v>327.23</v>
      </c>
      <c r="I48" s="1"/>
      <c r="J48" s="5">
        <f t="shared" si="39"/>
        <v>3.3046031567781379E-3</v>
      </c>
      <c r="K48" s="1"/>
      <c r="L48" s="1">
        <f t="shared" si="40"/>
        <v>-327.23</v>
      </c>
      <c r="M48" s="1"/>
      <c r="N48" s="5">
        <f t="shared" si="41"/>
        <v>-1</v>
      </c>
      <c r="O48" s="13"/>
      <c r="P48" s="1">
        <f>SUM(OSRRefP22_7x_0)</f>
        <v>96.3</v>
      </c>
      <c r="Q48" s="1"/>
      <c r="R48" s="5">
        <f t="shared" si="42"/>
        <v>0</v>
      </c>
      <c r="S48" s="1"/>
      <c r="T48" s="1">
        <f>SUM(OSRRefT22_7x_0)</f>
        <v>1935.51</v>
      </c>
      <c r="U48" s="1"/>
      <c r="V48" s="5">
        <f t="shared" si="43"/>
        <v>4.5556878592969835E-3</v>
      </c>
      <c r="W48" s="1"/>
      <c r="X48" s="1">
        <f t="shared" si="44"/>
        <v>-1839.21</v>
      </c>
      <c r="Y48" s="1"/>
      <c r="Z48" s="5">
        <f t="shared" si="45"/>
        <v>-0.95024567168343232</v>
      </c>
    </row>
    <row r="49" spans="1:26" s="24" customFormat="1" hidden="1" outlineLevel="2" x14ac:dyDescent="0.25">
      <c r="A49" s="25"/>
      <c r="B49" s="11" t="str">
        <f>CONCATENATE("          ", "6351", " - ", "EQUIPMENT RENTAL")</f>
        <v xml:space="preserve">          6351 - EQUIPMENT RENTAL</v>
      </c>
      <c r="C49" s="11"/>
      <c r="D49" s="6"/>
      <c r="E49" s="2"/>
      <c r="F49" s="7">
        <f t="shared" si="38"/>
        <v>0</v>
      </c>
      <c r="G49" s="2"/>
      <c r="H49" s="6">
        <v>327.23</v>
      </c>
      <c r="I49" s="2"/>
      <c r="J49" s="7">
        <f t="shared" si="39"/>
        <v>3.3046031567781379E-3</v>
      </c>
      <c r="K49" s="2"/>
      <c r="L49" s="6">
        <f t="shared" si="40"/>
        <v>-327.23</v>
      </c>
      <c r="M49" s="2"/>
      <c r="N49" s="7">
        <f t="shared" si="41"/>
        <v>-1</v>
      </c>
      <c r="O49" s="11"/>
      <c r="P49" s="6">
        <v>96.3</v>
      </c>
      <c r="Q49" s="2"/>
      <c r="R49" s="7">
        <f t="shared" si="42"/>
        <v>0</v>
      </c>
      <c r="S49" s="2"/>
      <c r="T49" s="6">
        <v>1935.51</v>
      </c>
      <c r="U49" s="2"/>
      <c r="V49" s="7">
        <f t="shared" si="43"/>
        <v>4.5556878592969835E-3</v>
      </c>
      <c r="W49" s="2"/>
      <c r="X49" s="6">
        <f t="shared" si="44"/>
        <v>-1839.21</v>
      </c>
      <c r="Y49" s="2"/>
      <c r="Z49" s="7">
        <f t="shared" si="45"/>
        <v>-0.95024567168343232</v>
      </c>
    </row>
    <row r="50" spans="1:26" s="26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0</v>
      </c>
      <c r="E50" s="1"/>
      <c r="F50" s="5">
        <f t="shared" si="38"/>
        <v>0</v>
      </c>
      <c r="G50" s="1"/>
      <c r="H50" s="1">
        <f>SUM(OSRRefH22_8x_0)</f>
        <v>1033.96</v>
      </c>
      <c r="I50" s="1"/>
      <c r="J50" s="5">
        <f t="shared" si="39"/>
        <v>1.0441669406785207E-2</v>
      </c>
      <c r="K50" s="1"/>
      <c r="L50" s="1">
        <f t="shared" si="40"/>
        <v>-1033.96</v>
      </c>
      <c r="M50" s="1"/>
      <c r="N50" s="5">
        <f t="shared" si="41"/>
        <v>-1</v>
      </c>
      <c r="O50" s="13"/>
      <c r="P50" s="1">
        <f>SUM(OSRRefP22_8x_0)</f>
        <v>0</v>
      </c>
      <c r="Q50" s="1"/>
      <c r="R50" s="5">
        <f t="shared" si="42"/>
        <v>0</v>
      </c>
      <c r="S50" s="1"/>
      <c r="T50" s="1">
        <f>SUM(OSRRefT22_8x_0)</f>
        <v>5721.78</v>
      </c>
      <c r="U50" s="1"/>
      <c r="V50" s="5">
        <f t="shared" si="43"/>
        <v>1.3467584088725086E-2</v>
      </c>
      <c r="W50" s="1"/>
      <c r="X50" s="1">
        <f t="shared" si="44"/>
        <v>-5721.78</v>
      </c>
      <c r="Y50" s="1"/>
      <c r="Z50" s="5">
        <f t="shared" si="45"/>
        <v>-1</v>
      </c>
    </row>
    <row r="51" spans="1:26" s="24" customFormat="1" hidden="1" outlineLevel="2" x14ac:dyDescent="0.25">
      <c r="A51" s="25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38"/>
        <v>0</v>
      </c>
      <c r="G51" s="2"/>
      <c r="H51" s="6">
        <v>1033.96</v>
      </c>
      <c r="I51" s="2"/>
      <c r="J51" s="7">
        <f t="shared" si="39"/>
        <v>1.0441669406785207E-2</v>
      </c>
      <c r="K51" s="2"/>
      <c r="L51" s="6">
        <f t="shared" si="40"/>
        <v>-1033.96</v>
      </c>
      <c r="M51" s="2"/>
      <c r="N51" s="7">
        <f t="shared" si="41"/>
        <v>-1</v>
      </c>
      <c r="O51" s="11"/>
      <c r="P51" s="6">
        <v>0</v>
      </c>
      <c r="Q51" s="2"/>
      <c r="R51" s="7">
        <f t="shared" si="42"/>
        <v>0</v>
      </c>
      <c r="S51" s="2"/>
      <c r="T51" s="6">
        <v>5721.78</v>
      </c>
      <c r="U51" s="2"/>
      <c r="V51" s="7">
        <f t="shared" si="43"/>
        <v>1.3467584088725086E-2</v>
      </c>
      <c r="W51" s="2"/>
      <c r="X51" s="6">
        <f t="shared" si="44"/>
        <v>-5721.78</v>
      </c>
      <c r="Y51" s="2"/>
      <c r="Z51" s="7">
        <f t="shared" si="45"/>
        <v>-1</v>
      </c>
    </row>
    <row r="52" spans="1:26" s="26" customFormat="1" outlineLevel="1" collapsed="1" x14ac:dyDescent="0.25">
      <c r="A52" s="27"/>
      <c r="B52" s="13" t="str">
        <f>CONCATENATE("     ","Rent                                              ")</f>
        <v xml:space="preserve">     Rent                                              </v>
      </c>
      <c r="C52" s="13"/>
      <c r="D52" s="1">
        <f>SUM(OSRRefD22_9x_0)</f>
        <v>0</v>
      </c>
      <c r="E52" s="1"/>
      <c r="F52" s="5">
        <f t="shared" si="38"/>
        <v>0</v>
      </c>
      <c r="G52" s="1"/>
      <c r="H52" s="1">
        <f>SUM(OSRRefH22_9x_0)</f>
        <v>1850</v>
      </c>
      <c r="I52" s="1"/>
      <c r="J52" s="5">
        <f t="shared" si="39"/>
        <v>1.8682626409679905E-2</v>
      </c>
      <c r="K52" s="1"/>
      <c r="L52" s="1">
        <f t="shared" si="40"/>
        <v>-1850</v>
      </c>
      <c r="M52" s="1"/>
      <c r="N52" s="5">
        <f t="shared" si="41"/>
        <v>-1</v>
      </c>
      <c r="O52" s="13"/>
      <c r="P52" s="1">
        <f>SUM(OSRRefP22_9x_0)</f>
        <v>5550</v>
      </c>
      <c r="Q52" s="1"/>
      <c r="R52" s="5">
        <f t="shared" si="42"/>
        <v>0</v>
      </c>
      <c r="S52" s="1"/>
      <c r="T52" s="1">
        <f>SUM(OSRRefT22_9x_0)</f>
        <v>9250</v>
      </c>
      <c r="U52" s="1"/>
      <c r="V52" s="5">
        <f t="shared" si="43"/>
        <v>2.1772097637572058E-2</v>
      </c>
      <c r="W52" s="1"/>
      <c r="X52" s="1">
        <f t="shared" si="44"/>
        <v>-3700</v>
      </c>
      <c r="Y52" s="1"/>
      <c r="Z52" s="5">
        <f t="shared" si="45"/>
        <v>-0.4</v>
      </c>
    </row>
    <row r="53" spans="1:26" s="24" customFormat="1" hidden="1" outlineLevel="2" x14ac:dyDescent="0.25">
      <c r="A53" s="25"/>
      <c r="B53" s="11" t="str">
        <f>CONCATENATE("          ", "6273", " - ", "RENT")</f>
        <v xml:space="preserve">          6273 - RENT</v>
      </c>
      <c r="C53" s="11"/>
      <c r="D53" s="6"/>
      <c r="E53" s="2"/>
      <c r="F53" s="7">
        <f t="shared" si="38"/>
        <v>0</v>
      </c>
      <c r="G53" s="2"/>
      <c r="H53" s="6">
        <v>1850</v>
      </c>
      <c r="I53" s="2"/>
      <c r="J53" s="7">
        <f t="shared" si="39"/>
        <v>1.8682626409679905E-2</v>
      </c>
      <c r="K53" s="2"/>
      <c r="L53" s="6">
        <f t="shared" si="40"/>
        <v>-1850</v>
      </c>
      <c r="M53" s="2"/>
      <c r="N53" s="7">
        <f t="shared" si="41"/>
        <v>-1</v>
      </c>
      <c r="O53" s="11"/>
      <c r="P53" s="6">
        <v>5550</v>
      </c>
      <c r="Q53" s="2"/>
      <c r="R53" s="7">
        <f t="shared" si="42"/>
        <v>0</v>
      </c>
      <c r="S53" s="2"/>
      <c r="T53" s="6">
        <v>9250</v>
      </c>
      <c r="U53" s="2"/>
      <c r="V53" s="7">
        <f t="shared" si="43"/>
        <v>2.1772097637572058E-2</v>
      </c>
      <c r="W53" s="2"/>
      <c r="X53" s="6">
        <f t="shared" si="44"/>
        <v>-3700</v>
      </c>
      <c r="Y53" s="2"/>
      <c r="Z53" s="7">
        <f t="shared" si="45"/>
        <v>-0.4</v>
      </c>
    </row>
    <row r="54" spans="1:26" s="26" customFormat="1" outlineLevel="1" collapsed="1" x14ac:dyDescent="0.25">
      <c r="A54" s="27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SUM(OSRRefD22_10x_0)</f>
        <v>0</v>
      </c>
      <c r="E54" s="1"/>
      <c r="F54" s="5">
        <f t="shared" si="38"/>
        <v>0</v>
      </c>
      <c r="G54" s="1"/>
      <c r="H54" s="1">
        <f>SUM(OSRRefH22_10x_0)</f>
        <v>2586.9499999999998</v>
      </c>
      <c r="I54" s="1"/>
      <c r="J54" s="5">
        <f t="shared" si="39"/>
        <v>2.6124875886768338E-2</v>
      </c>
      <c r="K54" s="1"/>
      <c r="L54" s="1">
        <f t="shared" si="40"/>
        <v>-2586.9499999999998</v>
      </c>
      <c r="M54" s="1"/>
      <c r="N54" s="5">
        <f t="shared" si="41"/>
        <v>-1</v>
      </c>
      <c r="O54" s="13"/>
      <c r="P54" s="1">
        <f>SUM(OSRRefP22_10x_0)</f>
        <v>692.95</v>
      </c>
      <c r="Q54" s="1"/>
      <c r="R54" s="5">
        <f t="shared" si="42"/>
        <v>0</v>
      </c>
      <c r="S54" s="1"/>
      <c r="T54" s="1">
        <f>SUM(OSRRefT22_10x_0)</f>
        <v>15691.619999999999</v>
      </c>
      <c r="U54" s="1"/>
      <c r="V54" s="5">
        <f t="shared" si="43"/>
        <v>3.6933998133154428E-2</v>
      </c>
      <c r="W54" s="1"/>
      <c r="X54" s="1">
        <f t="shared" si="44"/>
        <v>-14998.669999999998</v>
      </c>
      <c r="Y54" s="1"/>
      <c r="Z54" s="5">
        <f t="shared" si="45"/>
        <v>-0.95583948629905635</v>
      </c>
    </row>
    <row r="55" spans="1:26" s="24" customFormat="1" hidden="1" outlineLevel="2" x14ac:dyDescent="0.25">
      <c r="A55" s="25"/>
      <c r="B55" s="11" t="str">
        <f>CONCATENATE("          ", "6373", " - ", "MAINTENANCE CONTRACTS")</f>
        <v xml:space="preserve">          6373 - MAINTENANCE CONTRACTS</v>
      </c>
      <c r="C55" s="11"/>
      <c r="D55" s="6"/>
      <c r="E55" s="2"/>
      <c r="F55" s="7">
        <f t="shared" si="38"/>
        <v>0</v>
      </c>
      <c r="G55" s="2"/>
      <c r="H55" s="6">
        <v>1799</v>
      </c>
      <c r="I55" s="2"/>
      <c r="J55" s="7">
        <f t="shared" si="39"/>
        <v>1.8167591843791429E-2</v>
      </c>
      <c r="K55" s="2"/>
      <c r="L55" s="6">
        <f t="shared" si="40"/>
        <v>-1799</v>
      </c>
      <c r="M55" s="2"/>
      <c r="N55" s="7">
        <f t="shared" si="41"/>
        <v>-1</v>
      </c>
      <c r="O55" s="11"/>
      <c r="P55" s="6">
        <v>150.94999999999999</v>
      </c>
      <c r="Q55" s="2"/>
      <c r="R55" s="7">
        <f t="shared" si="42"/>
        <v>0</v>
      </c>
      <c r="S55" s="2"/>
      <c r="T55" s="6">
        <v>9051.06</v>
      </c>
      <c r="U55" s="2"/>
      <c r="V55" s="7">
        <f t="shared" si="43"/>
        <v>2.1303844545245722E-2</v>
      </c>
      <c r="W55" s="2"/>
      <c r="X55" s="6">
        <f t="shared" si="44"/>
        <v>-8900.1099999999988</v>
      </c>
      <c r="Y55" s="2"/>
      <c r="Z55" s="7">
        <f t="shared" si="45"/>
        <v>-0.98332239538794342</v>
      </c>
    </row>
    <row r="56" spans="1:26" s="24" customFormat="1" hidden="1" outlineLevel="2" x14ac:dyDescent="0.25">
      <c r="A56" s="25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38"/>
        <v>0</v>
      </c>
      <c r="G56" s="2"/>
      <c r="H56" s="6">
        <v>787.95</v>
      </c>
      <c r="I56" s="2"/>
      <c r="J56" s="7">
        <f t="shared" si="39"/>
        <v>7.9572840429769087E-3</v>
      </c>
      <c r="K56" s="2"/>
      <c r="L56" s="6">
        <f t="shared" si="40"/>
        <v>-787.95</v>
      </c>
      <c r="M56" s="2"/>
      <c r="N56" s="7">
        <f t="shared" si="41"/>
        <v>-1</v>
      </c>
      <c r="O56" s="11"/>
      <c r="P56" s="6">
        <v>542</v>
      </c>
      <c r="Q56" s="2"/>
      <c r="R56" s="7">
        <f t="shared" si="42"/>
        <v>0</v>
      </c>
      <c r="S56" s="2"/>
      <c r="T56" s="6">
        <v>6640.56</v>
      </c>
      <c r="U56" s="2"/>
      <c r="V56" s="7">
        <f t="shared" si="43"/>
        <v>1.5630153587908705E-2</v>
      </c>
      <c r="W56" s="2"/>
      <c r="X56" s="6">
        <f t="shared" si="44"/>
        <v>-6098.56</v>
      </c>
      <c r="Y56" s="2"/>
      <c r="Z56" s="7">
        <f t="shared" si="45"/>
        <v>-0.9183803775585192</v>
      </c>
    </row>
    <row r="57" spans="1:26" s="26" customFormat="1" outlineLevel="1" collapsed="1" x14ac:dyDescent="0.25">
      <c r="A57" s="27"/>
      <c r="B57" s="13" t="str">
        <f>CONCATENATE("     ","Royalty &amp; Commissions                             ")</f>
        <v xml:space="preserve">     Royalty &amp; Commissions                             </v>
      </c>
      <c r="C57" s="13"/>
      <c r="D57" s="1">
        <f>SUM(OSRRefD22_11x_0)</f>
        <v>0</v>
      </c>
      <c r="E57" s="1"/>
      <c r="F57" s="5">
        <f t="shared" ref="F57:F62" si="46">IF(D$12=0,0,D57/D$12)</f>
        <v>0</v>
      </c>
      <c r="G57" s="1"/>
      <c r="H57" s="1">
        <f>SUM(OSRRefH22_11x_0)</f>
        <v>7977.68</v>
      </c>
      <c r="I57" s="1"/>
      <c r="J57" s="5">
        <f t="shared" ref="J57:J62" si="47">IF(H$12=0,0,H57/H$12)</f>
        <v>8.0564332462689292E-2</v>
      </c>
      <c r="K57" s="1"/>
      <c r="L57" s="1">
        <f t="shared" ref="L57:L62" si="48">+D57-H57</f>
        <v>-7977.68</v>
      </c>
      <c r="M57" s="1"/>
      <c r="N57" s="5">
        <f t="shared" ref="N57:N62" si="49">IF(H57=0,0,L57/H57)</f>
        <v>-1</v>
      </c>
      <c r="O57" s="13"/>
      <c r="P57" s="1">
        <f>SUM(OSRRefP22_11x_0)</f>
        <v>0</v>
      </c>
      <c r="Q57" s="1"/>
      <c r="R57" s="5">
        <f t="shared" ref="R57:R62" si="50">IF(P$12=0,0,P57/P$12)</f>
        <v>0</v>
      </c>
      <c r="S57" s="1"/>
      <c r="T57" s="1">
        <f>SUM(OSRRefT22_11x_0)</f>
        <v>36817.519999999997</v>
      </c>
      <c r="U57" s="1"/>
      <c r="V57" s="5">
        <f t="shared" ref="V57:V62" si="51">IF(T$12=0,0,T57/T$12)</f>
        <v>8.6658880023055343E-2</v>
      </c>
      <c r="W57" s="1"/>
      <c r="X57" s="1">
        <f t="shared" ref="X57:X62" si="52">+P57-T57</f>
        <v>-36817.519999999997</v>
      </c>
      <c r="Y57" s="1"/>
      <c r="Z57" s="5">
        <f t="shared" ref="Z57:Z62" si="53">IF(T57=0,0,X57/T57)</f>
        <v>-1</v>
      </c>
    </row>
    <row r="58" spans="1:26" s="24" customFormat="1" hidden="1" outlineLevel="2" x14ac:dyDescent="0.25">
      <c r="A58" s="25"/>
      <c r="B58" s="11" t="str">
        <f>CONCATENATE("          ", "6259", " - ", "ROYALTY &amp; COMMISSIONS")</f>
        <v xml:space="preserve">          6259 - ROYALTY &amp; COMMISSIONS</v>
      </c>
      <c r="C58" s="11"/>
      <c r="D58" s="6"/>
      <c r="E58" s="2"/>
      <c r="F58" s="7">
        <f t="shared" si="46"/>
        <v>0</v>
      </c>
      <c r="G58" s="2"/>
      <c r="H58" s="6">
        <v>7977.68</v>
      </c>
      <c r="I58" s="2"/>
      <c r="J58" s="7">
        <f t="shared" si="47"/>
        <v>8.0564332462689292E-2</v>
      </c>
      <c r="K58" s="2"/>
      <c r="L58" s="6">
        <f t="shared" si="48"/>
        <v>-7977.68</v>
      </c>
      <c r="M58" s="2"/>
      <c r="N58" s="7">
        <f t="shared" si="49"/>
        <v>-1</v>
      </c>
      <c r="O58" s="11"/>
      <c r="P58" s="6"/>
      <c r="Q58" s="2"/>
      <c r="R58" s="7">
        <f t="shared" si="50"/>
        <v>0</v>
      </c>
      <c r="S58" s="2"/>
      <c r="T58" s="6">
        <v>36817.519999999997</v>
      </c>
      <c r="U58" s="2"/>
      <c r="V58" s="7">
        <f t="shared" si="51"/>
        <v>8.6658880023055343E-2</v>
      </c>
      <c r="W58" s="2"/>
      <c r="X58" s="6">
        <f t="shared" si="52"/>
        <v>-36817.519999999997</v>
      </c>
      <c r="Y58" s="2"/>
      <c r="Z58" s="7">
        <f t="shared" si="53"/>
        <v>-1</v>
      </c>
    </row>
    <row r="59" spans="1:26" s="26" customFormat="1" outlineLevel="1" collapsed="1" x14ac:dyDescent="0.25">
      <c r="A59" s="27"/>
      <c r="B59" s="13" t="str">
        <f>CONCATENATE("     ","Services                                          ")</f>
        <v xml:space="preserve">     Services                                          </v>
      </c>
      <c r="C59" s="13"/>
      <c r="D59" s="1">
        <f>SUM(OSRRefD22_12x_0)</f>
        <v>115</v>
      </c>
      <c r="E59" s="1"/>
      <c r="F59" s="5">
        <f t="shared" si="46"/>
        <v>0</v>
      </c>
      <c r="G59" s="1"/>
      <c r="H59" s="1">
        <f>SUM(OSRRefH22_12x_0)</f>
        <v>574.30999999999995</v>
      </c>
      <c r="I59" s="1"/>
      <c r="J59" s="5">
        <f t="shared" si="47"/>
        <v>5.7997941477531158E-3</v>
      </c>
      <c r="K59" s="1"/>
      <c r="L59" s="1">
        <f t="shared" si="48"/>
        <v>-459.30999999999995</v>
      </c>
      <c r="M59" s="1"/>
      <c r="N59" s="5">
        <f t="shared" si="49"/>
        <v>-0.79975971165398474</v>
      </c>
      <c r="O59" s="13"/>
      <c r="P59" s="1">
        <f>SUM(OSRRefP22_12x_0)</f>
        <v>230</v>
      </c>
      <c r="Q59" s="1"/>
      <c r="R59" s="5">
        <f t="shared" si="50"/>
        <v>0</v>
      </c>
      <c r="S59" s="1"/>
      <c r="T59" s="1">
        <f>SUM(OSRRefT22_12x_0)</f>
        <v>2068.8599999999997</v>
      </c>
      <c r="U59" s="1"/>
      <c r="V59" s="5">
        <f t="shared" si="51"/>
        <v>4.8695591263207914E-3</v>
      </c>
      <c r="W59" s="1"/>
      <c r="X59" s="1">
        <f t="shared" si="52"/>
        <v>-1838.8599999999997</v>
      </c>
      <c r="Y59" s="1"/>
      <c r="Z59" s="5">
        <f t="shared" si="53"/>
        <v>-0.88882766354417408</v>
      </c>
    </row>
    <row r="60" spans="1:26" s="24" customFormat="1" hidden="1" outlineLevel="2" x14ac:dyDescent="0.25">
      <c r="A60" s="25"/>
      <c r="B60" s="11" t="str">
        <f>CONCATENATE("          ", "6282", " - ", "JANITORIAL/EXTERMINATOR EXPENS")</f>
        <v xml:space="preserve">          6282 - JANITORIAL/EXTERMINATOR EXPENS</v>
      </c>
      <c r="C60" s="11"/>
      <c r="D60" s="6"/>
      <c r="E60" s="2"/>
      <c r="F60" s="7">
        <f t="shared" si="46"/>
        <v>0</v>
      </c>
      <c r="G60" s="2"/>
      <c r="H60" s="6">
        <v>96.96</v>
      </c>
      <c r="I60" s="2"/>
      <c r="J60" s="7">
        <f t="shared" si="47"/>
        <v>9.7917159820679099E-4</v>
      </c>
      <c r="K60" s="2"/>
      <c r="L60" s="6">
        <f t="shared" si="48"/>
        <v>-96.96</v>
      </c>
      <c r="M60" s="2"/>
      <c r="N60" s="7">
        <f t="shared" si="49"/>
        <v>-1</v>
      </c>
      <c r="O60" s="11"/>
      <c r="P60" s="6"/>
      <c r="Q60" s="2"/>
      <c r="R60" s="7">
        <f t="shared" si="50"/>
        <v>0</v>
      </c>
      <c r="S60" s="2"/>
      <c r="T60" s="6">
        <v>484.8</v>
      </c>
      <c r="U60" s="2"/>
      <c r="V60" s="7">
        <f t="shared" si="51"/>
        <v>1.1410932902372901E-3</v>
      </c>
      <c r="W60" s="2"/>
      <c r="X60" s="6">
        <f t="shared" si="52"/>
        <v>-484.8</v>
      </c>
      <c r="Y60" s="2"/>
      <c r="Z60" s="7">
        <f t="shared" si="53"/>
        <v>-1</v>
      </c>
    </row>
    <row r="61" spans="1:26" s="24" customFormat="1" hidden="1" outlineLevel="2" x14ac:dyDescent="0.25">
      <c r="A61" s="25"/>
      <c r="B61" s="11" t="str">
        <f>CONCATENATE("          ", "6284", " - ", "TRASH REMOVAL EXPENSE")</f>
        <v xml:space="preserve">          6284 - TRASH REMOVAL EXPENSE</v>
      </c>
      <c r="C61" s="11"/>
      <c r="D61" s="6">
        <v>115</v>
      </c>
      <c r="E61" s="2"/>
      <c r="F61" s="7">
        <f t="shared" si="46"/>
        <v>0</v>
      </c>
      <c r="G61" s="2"/>
      <c r="H61" s="6">
        <v>94</v>
      </c>
      <c r="I61" s="2"/>
      <c r="J61" s="7">
        <f t="shared" si="47"/>
        <v>9.4927939595130324E-4</v>
      </c>
      <c r="K61" s="2"/>
      <c r="L61" s="6">
        <f t="shared" si="48"/>
        <v>21</v>
      </c>
      <c r="M61" s="2"/>
      <c r="N61" s="7">
        <f t="shared" si="49"/>
        <v>0.22340425531914893</v>
      </c>
      <c r="O61" s="11"/>
      <c r="P61" s="6">
        <v>230</v>
      </c>
      <c r="Q61" s="2"/>
      <c r="R61" s="7">
        <f t="shared" si="50"/>
        <v>0</v>
      </c>
      <c r="S61" s="2"/>
      <c r="T61" s="6">
        <v>282</v>
      </c>
      <c r="U61" s="2"/>
      <c r="V61" s="7">
        <f t="shared" si="51"/>
        <v>6.6375476041030494E-4</v>
      </c>
      <c r="W61" s="2"/>
      <c r="X61" s="6">
        <f t="shared" si="52"/>
        <v>-52</v>
      </c>
      <c r="Y61" s="2"/>
      <c r="Z61" s="7">
        <f t="shared" si="53"/>
        <v>-0.18439716312056736</v>
      </c>
    </row>
    <row r="62" spans="1:26" s="24" customFormat="1" hidden="1" outlineLevel="2" x14ac:dyDescent="0.25">
      <c r="A62" s="25"/>
      <c r="B62" s="11" t="str">
        <f>CONCATENATE("          ", "6286", " - ", "LAUNDRY EXPENSE")</f>
        <v xml:space="preserve">          6286 - LAUNDRY EXPENSE</v>
      </c>
      <c r="C62" s="11"/>
      <c r="D62" s="6"/>
      <c r="E62" s="2"/>
      <c r="F62" s="7">
        <f t="shared" si="46"/>
        <v>0</v>
      </c>
      <c r="G62" s="2"/>
      <c r="H62" s="6">
        <v>383.35</v>
      </c>
      <c r="I62" s="2"/>
      <c r="J62" s="7">
        <f t="shared" si="47"/>
        <v>3.8713431535950223E-3</v>
      </c>
      <c r="K62" s="2"/>
      <c r="L62" s="6">
        <f t="shared" si="48"/>
        <v>-383.35</v>
      </c>
      <c r="M62" s="2"/>
      <c r="N62" s="7">
        <f t="shared" si="49"/>
        <v>-1</v>
      </c>
      <c r="O62" s="11"/>
      <c r="P62" s="6"/>
      <c r="Q62" s="2"/>
      <c r="R62" s="7">
        <f t="shared" si="50"/>
        <v>0</v>
      </c>
      <c r="S62" s="2"/>
      <c r="T62" s="6">
        <v>1302.06</v>
      </c>
      <c r="U62" s="2"/>
      <c r="V62" s="7">
        <f t="shared" si="51"/>
        <v>3.0647110756731972E-3</v>
      </c>
      <c r="W62" s="2"/>
      <c r="X62" s="6">
        <f t="shared" si="52"/>
        <v>-1302.06</v>
      </c>
      <c r="Y62" s="2"/>
      <c r="Z62" s="7">
        <f t="shared" si="53"/>
        <v>-1</v>
      </c>
    </row>
    <row r="63" spans="1:26" s="26" customFormat="1" outlineLevel="1" collapsed="1" x14ac:dyDescent="0.25">
      <c r="A63" s="27"/>
      <c r="B63" s="13" t="str">
        <f>CONCATENATE("     ","Subscriptions &amp; Dues                              ")</f>
        <v xml:space="preserve">     Subscriptions &amp; Dues                              </v>
      </c>
      <c r="C63" s="13"/>
      <c r="D63" s="1">
        <f>SUM(OSRRefD22_13x_0)</f>
        <v>0</v>
      </c>
      <c r="E63" s="1"/>
      <c r="F63" s="5">
        <f t="shared" ref="F63:F72" si="54">IF(D$12=0,0,D63/D$12)</f>
        <v>0</v>
      </c>
      <c r="G63" s="1"/>
      <c r="H63" s="1">
        <f>SUM(OSRRefH22_13x_0)</f>
        <v>30.68</v>
      </c>
      <c r="I63" s="1"/>
      <c r="J63" s="5">
        <f t="shared" ref="J63:J72" si="55">IF(H$12=0,0,H63/H$12)</f>
        <v>3.0982863689134023E-4</v>
      </c>
      <c r="K63" s="1"/>
      <c r="L63" s="1">
        <f t="shared" ref="L63:L72" si="56">+D63-H63</f>
        <v>-30.68</v>
      </c>
      <c r="M63" s="1"/>
      <c r="N63" s="5">
        <f t="shared" ref="N63:N72" si="57">IF(H63=0,0,L63/H63)</f>
        <v>-1</v>
      </c>
      <c r="O63" s="13"/>
      <c r="P63" s="1">
        <f>SUM(OSRRefP22_13x_0)</f>
        <v>0</v>
      </c>
      <c r="Q63" s="1"/>
      <c r="R63" s="5">
        <f t="shared" ref="R63:R72" si="58">IF(P$12=0,0,P63/P$12)</f>
        <v>0</v>
      </c>
      <c r="S63" s="1"/>
      <c r="T63" s="1">
        <f>SUM(OSRRefT22_13x_0)</f>
        <v>92.04</v>
      </c>
      <c r="U63" s="1"/>
      <c r="V63" s="5">
        <f t="shared" ref="V63:V72" si="59">IF(T$12=0,0,T63/T$12)</f>
        <v>2.1663825584455486E-4</v>
      </c>
      <c r="W63" s="1"/>
      <c r="X63" s="1">
        <f t="shared" ref="X63:X72" si="60">+P63-T63</f>
        <v>-92.04</v>
      </c>
      <c r="Y63" s="1"/>
      <c r="Z63" s="5">
        <f t="shared" ref="Z63:Z72" si="61">IF(T63=0,0,X63/T63)</f>
        <v>-1</v>
      </c>
    </row>
    <row r="64" spans="1:26" s="24" customFormat="1" hidden="1" outlineLevel="2" x14ac:dyDescent="0.25">
      <c r="A64" s="25"/>
      <c r="B64" s="11" t="str">
        <f>CONCATENATE("          ", "6275", " - ", "SUBSCRIPTIONS")</f>
        <v xml:space="preserve">          6275 - SUBSCRIPTIONS</v>
      </c>
      <c r="C64" s="11"/>
      <c r="D64" s="6"/>
      <c r="E64" s="2"/>
      <c r="F64" s="7">
        <f t="shared" si="54"/>
        <v>0</v>
      </c>
      <c r="G64" s="2"/>
      <c r="H64" s="6">
        <v>30.68</v>
      </c>
      <c r="I64" s="2"/>
      <c r="J64" s="7">
        <f t="shared" si="55"/>
        <v>3.0982863689134023E-4</v>
      </c>
      <c r="K64" s="2"/>
      <c r="L64" s="6">
        <f t="shared" si="56"/>
        <v>-30.68</v>
      </c>
      <c r="M64" s="2"/>
      <c r="N64" s="7">
        <f t="shared" si="57"/>
        <v>-1</v>
      </c>
      <c r="O64" s="11"/>
      <c r="P64" s="6"/>
      <c r="Q64" s="2"/>
      <c r="R64" s="7">
        <f t="shared" si="58"/>
        <v>0</v>
      </c>
      <c r="S64" s="2"/>
      <c r="T64" s="6">
        <v>92.04</v>
      </c>
      <c r="U64" s="2"/>
      <c r="V64" s="7">
        <f t="shared" si="59"/>
        <v>2.1663825584455486E-4</v>
      </c>
      <c r="W64" s="2"/>
      <c r="X64" s="6">
        <f t="shared" si="60"/>
        <v>-92.04</v>
      </c>
      <c r="Y64" s="2"/>
      <c r="Z64" s="7">
        <f t="shared" si="61"/>
        <v>-1</v>
      </c>
    </row>
    <row r="65" spans="1:26" s="26" customFormat="1" outlineLevel="1" collapsed="1" x14ac:dyDescent="0.25">
      <c r="A65" s="27"/>
      <c r="B65" s="13" t="str">
        <f>CONCATENATE("     ","Supplies                                          ")</f>
        <v xml:space="preserve">     Supplies                                          </v>
      </c>
      <c r="C65" s="13"/>
      <c r="D65" s="1">
        <f>SUM(OSRRefD22_14x_0)</f>
        <v>72</v>
      </c>
      <c r="E65" s="1"/>
      <c r="F65" s="5">
        <f t="shared" si="54"/>
        <v>0</v>
      </c>
      <c r="G65" s="1"/>
      <c r="H65" s="1">
        <f>SUM(OSRRefH22_14x_0)</f>
        <v>1096.6499999999999</v>
      </c>
      <c r="I65" s="1"/>
      <c r="J65" s="5">
        <f t="shared" si="55"/>
        <v>1.10747579741489E-2</v>
      </c>
      <c r="K65" s="1"/>
      <c r="L65" s="1">
        <f t="shared" si="56"/>
        <v>-1024.6499999999999</v>
      </c>
      <c r="M65" s="1"/>
      <c r="N65" s="5">
        <f t="shared" si="57"/>
        <v>-0.93434550677061956</v>
      </c>
      <c r="O65" s="13"/>
      <c r="P65" s="1">
        <f>SUM(OSRRefP22_14x_0)</f>
        <v>72</v>
      </c>
      <c r="Q65" s="1"/>
      <c r="R65" s="5">
        <f t="shared" si="58"/>
        <v>0</v>
      </c>
      <c r="S65" s="1"/>
      <c r="T65" s="1">
        <f>SUM(OSRRefT22_14x_0)</f>
        <v>8270.9</v>
      </c>
      <c r="U65" s="1"/>
      <c r="V65" s="5">
        <f t="shared" si="59"/>
        <v>1.9467550524388619E-2</v>
      </c>
      <c r="W65" s="1"/>
      <c r="X65" s="1">
        <f t="shared" si="60"/>
        <v>-8198.9</v>
      </c>
      <c r="Y65" s="1"/>
      <c r="Z65" s="5">
        <f t="shared" si="61"/>
        <v>-0.99129478049547204</v>
      </c>
    </row>
    <row r="66" spans="1:26" s="24" customFormat="1" hidden="1" outlineLevel="2" x14ac:dyDescent="0.25">
      <c r="A66" s="25"/>
      <c r="B66" s="11" t="str">
        <f>CONCATENATE("          ", "6237", " - ", "JANITORIAL SUPPLIES")</f>
        <v xml:space="preserve">          6237 - JANITORIAL SUPPLIES</v>
      </c>
      <c r="C66" s="11"/>
      <c r="D66" s="6">
        <v>72</v>
      </c>
      <c r="E66" s="2"/>
      <c r="F66" s="7">
        <f t="shared" si="54"/>
        <v>0</v>
      </c>
      <c r="G66" s="2"/>
      <c r="H66" s="6">
        <v>312.95999999999998</v>
      </c>
      <c r="I66" s="2"/>
      <c r="J66" s="7">
        <f t="shared" si="55"/>
        <v>3.1604944654991473E-3</v>
      </c>
      <c r="K66" s="2"/>
      <c r="L66" s="6">
        <f t="shared" si="56"/>
        <v>-240.95999999999998</v>
      </c>
      <c r="M66" s="2"/>
      <c r="N66" s="7">
        <f t="shared" si="57"/>
        <v>-0.76993865030674846</v>
      </c>
      <c r="O66" s="11"/>
      <c r="P66" s="6">
        <v>72</v>
      </c>
      <c r="Q66" s="2"/>
      <c r="R66" s="7">
        <f t="shared" si="58"/>
        <v>0</v>
      </c>
      <c r="S66" s="2"/>
      <c r="T66" s="6">
        <v>1057.93</v>
      </c>
      <c r="U66" s="2"/>
      <c r="V66" s="7">
        <f t="shared" si="59"/>
        <v>2.4900924598612552E-3</v>
      </c>
      <c r="W66" s="2"/>
      <c r="X66" s="6">
        <f t="shared" si="60"/>
        <v>-985.93000000000006</v>
      </c>
      <c r="Y66" s="2"/>
      <c r="Z66" s="7">
        <f t="shared" si="61"/>
        <v>-0.93194256708855971</v>
      </c>
    </row>
    <row r="67" spans="1:26" s="24" customFormat="1" hidden="1" outlineLevel="2" x14ac:dyDescent="0.25">
      <c r="A67" s="25"/>
      <c r="B67" s="11" t="str">
        <f>CONCATENATE("          ", "6239", " - ", "KITCHEN SUPPLIES")</f>
        <v xml:space="preserve">          6239 - KITCHEN SUPPLIES</v>
      </c>
      <c r="C67" s="11"/>
      <c r="D67" s="6"/>
      <c r="E67" s="2"/>
      <c r="F67" s="7">
        <f t="shared" si="54"/>
        <v>0</v>
      </c>
      <c r="G67" s="2"/>
      <c r="H67" s="6">
        <v>91.82</v>
      </c>
      <c r="I67" s="2"/>
      <c r="J67" s="7">
        <f t="shared" si="55"/>
        <v>9.2726419293881544E-4</v>
      </c>
      <c r="K67" s="2"/>
      <c r="L67" s="6">
        <f t="shared" si="56"/>
        <v>-91.82</v>
      </c>
      <c r="M67" s="2"/>
      <c r="N67" s="7">
        <f t="shared" si="57"/>
        <v>-1</v>
      </c>
      <c r="O67" s="11"/>
      <c r="P67" s="6"/>
      <c r="Q67" s="2"/>
      <c r="R67" s="7">
        <f t="shared" si="58"/>
        <v>0</v>
      </c>
      <c r="S67" s="2"/>
      <c r="T67" s="6">
        <v>3472.75</v>
      </c>
      <c r="U67" s="2"/>
      <c r="V67" s="7">
        <f t="shared" si="59"/>
        <v>8.1739515752300932E-3</v>
      </c>
      <c r="W67" s="2"/>
      <c r="X67" s="6">
        <f t="shared" si="60"/>
        <v>-3472.75</v>
      </c>
      <c r="Y67" s="2"/>
      <c r="Z67" s="7">
        <f t="shared" si="61"/>
        <v>-1</v>
      </c>
    </row>
    <row r="68" spans="1:26" s="24" customFormat="1" hidden="1" outlineLevel="2" x14ac:dyDescent="0.25">
      <c r="A68" s="25"/>
      <c r="B68" s="11" t="str">
        <f>CONCATENATE("          ", "6241", " - ", "OFFICE EXPENSE")</f>
        <v xml:space="preserve">          6241 - OFFICE EXPENSE</v>
      </c>
      <c r="C68" s="11"/>
      <c r="D68" s="6"/>
      <c r="E68" s="2"/>
      <c r="F68" s="7">
        <f t="shared" si="54"/>
        <v>0</v>
      </c>
      <c r="G68" s="2"/>
      <c r="H68" s="6">
        <v>315.51</v>
      </c>
      <c r="I68" s="2"/>
      <c r="J68" s="7">
        <f t="shared" si="55"/>
        <v>3.1862461937935708E-3</v>
      </c>
      <c r="K68" s="2"/>
      <c r="L68" s="6">
        <f t="shared" si="56"/>
        <v>-315.51</v>
      </c>
      <c r="M68" s="2"/>
      <c r="N68" s="7">
        <f t="shared" si="57"/>
        <v>-1</v>
      </c>
      <c r="O68" s="11"/>
      <c r="P68" s="6"/>
      <c r="Q68" s="2"/>
      <c r="R68" s="7">
        <f t="shared" si="58"/>
        <v>0</v>
      </c>
      <c r="S68" s="2"/>
      <c r="T68" s="6">
        <v>1015.09</v>
      </c>
      <c r="U68" s="2"/>
      <c r="V68" s="7">
        <f t="shared" si="59"/>
        <v>2.3892582260457321E-3</v>
      </c>
      <c r="W68" s="2"/>
      <c r="X68" s="6">
        <f t="shared" si="60"/>
        <v>-1015.09</v>
      </c>
      <c r="Y68" s="2"/>
      <c r="Z68" s="7">
        <f t="shared" si="61"/>
        <v>-1</v>
      </c>
    </row>
    <row r="69" spans="1:26" s="24" customFormat="1" hidden="1" outlineLevel="2" x14ac:dyDescent="0.25">
      <c r="A69" s="25"/>
      <c r="B69" s="11" t="str">
        <f>CONCATENATE("          ", "6243", " - ", "PAPER SUPPLIES")</f>
        <v xml:space="preserve">          6243 - PAPER SUPPLIES</v>
      </c>
      <c r="C69" s="11"/>
      <c r="D69" s="6"/>
      <c r="E69" s="2"/>
      <c r="F69" s="7">
        <f t="shared" si="54"/>
        <v>0</v>
      </c>
      <c r="G69" s="2"/>
      <c r="H69" s="6">
        <v>233.9</v>
      </c>
      <c r="I69" s="2"/>
      <c r="J69" s="7">
        <f t="shared" si="55"/>
        <v>2.3620899012022321E-3</v>
      </c>
      <c r="K69" s="2"/>
      <c r="L69" s="6">
        <f t="shared" si="56"/>
        <v>-233.9</v>
      </c>
      <c r="M69" s="2"/>
      <c r="N69" s="7">
        <f t="shared" si="57"/>
        <v>-1</v>
      </c>
      <c r="O69" s="11"/>
      <c r="P69" s="6"/>
      <c r="Q69" s="2"/>
      <c r="R69" s="7">
        <f t="shared" si="58"/>
        <v>0</v>
      </c>
      <c r="S69" s="2"/>
      <c r="T69" s="6">
        <v>3051.39</v>
      </c>
      <c r="U69" s="2"/>
      <c r="V69" s="7">
        <f t="shared" si="59"/>
        <v>7.18217956868227E-3</v>
      </c>
      <c r="W69" s="2"/>
      <c r="X69" s="6">
        <f t="shared" si="60"/>
        <v>-3051.39</v>
      </c>
      <c r="Y69" s="2"/>
      <c r="Z69" s="7">
        <f t="shared" si="61"/>
        <v>-1</v>
      </c>
    </row>
    <row r="70" spans="1:26" s="24" customFormat="1" hidden="1" outlineLevel="2" x14ac:dyDescent="0.25">
      <c r="A70" s="25"/>
      <c r="B70" s="11" t="str">
        <f>CONCATENATE("          ", "6245", " - ", "PRINTING")</f>
        <v xml:space="preserve">          6245 - PRINTING</v>
      </c>
      <c r="C70" s="11"/>
      <c r="D70" s="6"/>
      <c r="E70" s="2"/>
      <c r="F70" s="7">
        <f t="shared" si="54"/>
        <v>0</v>
      </c>
      <c r="G70" s="2"/>
      <c r="H70" s="6">
        <v>15.99</v>
      </c>
      <c r="I70" s="2"/>
      <c r="J70" s="7">
        <f t="shared" si="55"/>
        <v>1.6147848448150361E-4</v>
      </c>
      <c r="K70" s="2"/>
      <c r="L70" s="6">
        <f t="shared" si="56"/>
        <v>-15.99</v>
      </c>
      <c r="M70" s="2"/>
      <c r="N70" s="7">
        <f t="shared" si="57"/>
        <v>-1</v>
      </c>
      <c r="O70" s="11"/>
      <c r="P70" s="6"/>
      <c r="Q70" s="2"/>
      <c r="R70" s="7">
        <f t="shared" si="58"/>
        <v>0</v>
      </c>
      <c r="S70" s="2"/>
      <c r="T70" s="6">
        <v>66.930000000000007</v>
      </c>
      <c r="U70" s="2"/>
      <c r="V70" s="7">
        <f t="shared" si="59"/>
        <v>1.57535837284616E-4</v>
      </c>
      <c r="W70" s="2"/>
      <c r="X70" s="6">
        <f t="shared" si="60"/>
        <v>-66.930000000000007</v>
      </c>
      <c r="Y70" s="2"/>
      <c r="Z70" s="7">
        <f t="shared" si="61"/>
        <v>-1</v>
      </c>
    </row>
    <row r="71" spans="1:26" s="24" customFormat="1" hidden="1" outlineLevel="2" x14ac:dyDescent="0.25">
      <c r="A71" s="25"/>
      <c r="B71" s="11" t="str">
        <f>CONCATENATE("          ", "6247", " - ", "STORE SUPPLIES")</f>
        <v xml:space="preserve">          6247 - STORE SUPPLIES</v>
      </c>
      <c r="C71" s="11"/>
      <c r="D71" s="6"/>
      <c r="E71" s="2"/>
      <c r="F71" s="7">
        <f t="shared" si="54"/>
        <v>0</v>
      </c>
      <c r="G71" s="2"/>
      <c r="H71" s="6">
        <v>126.47</v>
      </c>
      <c r="I71" s="2"/>
      <c r="J71" s="7">
        <f t="shared" si="55"/>
        <v>1.2771847362336311E-3</v>
      </c>
      <c r="K71" s="2"/>
      <c r="L71" s="6">
        <f t="shared" si="56"/>
        <v>-126.47</v>
      </c>
      <c r="M71" s="2"/>
      <c r="N71" s="7">
        <f t="shared" si="57"/>
        <v>-1</v>
      </c>
      <c r="O71" s="11"/>
      <c r="P71" s="6"/>
      <c r="Q71" s="2"/>
      <c r="R71" s="7">
        <f t="shared" si="58"/>
        <v>0</v>
      </c>
      <c r="S71" s="2"/>
      <c r="T71" s="6">
        <v>-527.27</v>
      </c>
      <c r="U71" s="2"/>
      <c r="V71" s="7">
        <f t="shared" si="59"/>
        <v>-1.2410566401473101E-3</v>
      </c>
      <c r="W71" s="2"/>
      <c r="X71" s="6">
        <f t="shared" si="60"/>
        <v>527.27</v>
      </c>
      <c r="Y71" s="2"/>
      <c r="Z71" s="7">
        <f t="shared" si="61"/>
        <v>-1</v>
      </c>
    </row>
    <row r="72" spans="1:26" s="24" customFormat="1" hidden="1" outlineLevel="2" x14ac:dyDescent="0.25">
      <c r="A72" s="25"/>
      <c r="B72" s="11" t="str">
        <f>CONCATENATE("          ", "6248", " - ", "UNIFORMS")</f>
        <v xml:space="preserve">          6248 - UNIFORMS</v>
      </c>
      <c r="C72" s="11"/>
      <c r="D72" s="6"/>
      <c r="E72" s="2"/>
      <c r="F72" s="7">
        <f t="shared" si="54"/>
        <v>0</v>
      </c>
      <c r="G72" s="2"/>
      <c r="H72" s="6"/>
      <c r="I72" s="2"/>
      <c r="J72" s="7">
        <f t="shared" si="55"/>
        <v>0</v>
      </c>
      <c r="K72" s="2"/>
      <c r="L72" s="6">
        <f t="shared" si="56"/>
        <v>0</v>
      </c>
      <c r="M72" s="2"/>
      <c r="N72" s="7">
        <f t="shared" si="57"/>
        <v>0</v>
      </c>
      <c r="O72" s="11"/>
      <c r="P72" s="6"/>
      <c r="Q72" s="2"/>
      <c r="R72" s="7">
        <f t="shared" si="58"/>
        <v>0</v>
      </c>
      <c r="S72" s="2"/>
      <c r="T72" s="6">
        <v>134.08000000000001</v>
      </c>
      <c r="U72" s="2"/>
      <c r="V72" s="7">
        <f t="shared" si="59"/>
        <v>3.1558949743196342E-4</v>
      </c>
      <c r="W72" s="2"/>
      <c r="X72" s="6">
        <f t="shared" si="60"/>
        <v>-134.08000000000001</v>
      </c>
      <c r="Y72" s="2"/>
      <c r="Z72" s="7">
        <f t="shared" si="61"/>
        <v>-1</v>
      </c>
    </row>
    <row r="73" spans="1:26" s="26" customFormat="1" outlineLevel="1" collapsed="1" x14ac:dyDescent="0.25">
      <c r="A73" s="27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SUM(OSRRefD22_15x_0)</f>
        <v>0</v>
      </c>
      <c r="E73" s="1"/>
      <c r="F73" s="5">
        <f t="shared" ref="F73:F78" si="62">IF(D$12=0,0,D73/D$12)</f>
        <v>0</v>
      </c>
      <c r="G73" s="1"/>
      <c r="H73" s="1">
        <f>SUM(OSRRefH22_15x_0)</f>
        <v>73.2</v>
      </c>
      <c r="I73" s="1"/>
      <c r="J73" s="5">
        <f t="shared" ref="J73:J78" si="63">IF(H$12=0,0,H73/H$12)</f>
        <v>7.3922608280463191E-4</v>
      </c>
      <c r="K73" s="1"/>
      <c r="L73" s="1">
        <f t="shared" ref="L73:L78" si="64">+D73-H73</f>
        <v>-73.2</v>
      </c>
      <c r="M73" s="1"/>
      <c r="N73" s="5">
        <f t="shared" ref="N73:N78" si="65">IF(H73=0,0,L73/H73)</f>
        <v>-1</v>
      </c>
      <c r="O73" s="13"/>
      <c r="P73" s="1">
        <f>SUM(OSRRefP22_15x_0)</f>
        <v>77.430000000000007</v>
      </c>
      <c r="Q73" s="1"/>
      <c r="R73" s="5">
        <f t="shared" ref="R73:R78" si="66">IF(P$12=0,0,P73/P$12)</f>
        <v>0</v>
      </c>
      <c r="S73" s="1"/>
      <c r="T73" s="1">
        <f>SUM(OSRRefT22_15x_0)</f>
        <v>419.3</v>
      </c>
      <c r="U73" s="1"/>
      <c r="V73" s="5">
        <f t="shared" ref="V73:V78" si="67">IF(T$12=0,0,T73/T$12)</f>
        <v>9.8692330156042855E-4</v>
      </c>
      <c r="W73" s="1"/>
      <c r="X73" s="1">
        <f t="shared" ref="X73:X78" si="68">+P73-T73</f>
        <v>-341.87</v>
      </c>
      <c r="Y73" s="1"/>
      <c r="Z73" s="5">
        <f t="shared" ref="Z73:Z78" si="69">IF(T73=0,0,X73/T73)</f>
        <v>-0.81533508227999041</v>
      </c>
    </row>
    <row r="74" spans="1:26" s="24" customFormat="1" hidden="1" outlineLevel="2" x14ac:dyDescent="0.25">
      <c r="A74" s="25"/>
      <c r="B74" s="11" t="str">
        <f>CONCATENATE("          ", "6309", " - ", "TELEPHONE")</f>
        <v xml:space="preserve">          6309 - TELEPHONE</v>
      </c>
      <c r="C74" s="11"/>
      <c r="D74" s="6"/>
      <c r="E74" s="2"/>
      <c r="F74" s="7">
        <f t="shared" si="62"/>
        <v>0</v>
      </c>
      <c r="G74" s="2"/>
      <c r="H74" s="6">
        <v>73.2</v>
      </c>
      <c r="I74" s="2"/>
      <c r="J74" s="7">
        <f t="shared" si="63"/>
        <v>7.3922608280463191E-4</v>
      </c>
      <c r="K74" s="2"/>
      <c r="L74" s="6">
        <f t="shared" si="64"/>
        <v>-73.2</v>
      </c>
      <c r="M74" s="2"/>
      <c r="N74" s="7">
        <f t="shared" si="65"/>
        <v>-1</v>
      </c>
      <c r="O74" s="11"/>
      <c r="P74" s="6">
        <v>77.430000000000007</v>
      </c>
      <c r="Q74" s="2"/>
      <c r="R74" s="7">
        <f t="shared" si="66"/>
        <v>0</v>
      </c>
      <c r="S74" s="2"/>
      <c r="T74" s="6">
        <v>419.3</v>
      </c>
      <c r="U74" s="2"/>
      <c r="V74" s="7">
        <f t="shared" si="67"/>
        <v>9.8692330156042855E-4</v>
      </c>
      <c r="W74" s="2"/>
      <c r="X74" s="6">
        <f t="shared" si="68"/>
        <v>-341.87</v>
      </c>
      <c r="Y74" s="2"/>
      <c r="Z74" s="7">
        <f t="shared" si="69"/>
        <v>-0.81533508227999041</v>
      </c>
    </row>
    <row r="75" spans="1:26" s="26" customFormat="1" outlineLevel="1" collapsed="1" x14ac:dyDescent="0.25">
      <c r="A75" s="27"/>
      <c r="B75" s="13" t="str">
        <f>CONCATENATE("     ","Training                                          ")</f>
        <v xml:space="preserve">     Training                                          </v>
      </c>
      <c r="C75" s="13"/>
      <c r="D75" s="1">
        <f>SUM(OSRRefD22_16x_0)</f>
        <v>0</v>
      </c>
      <c r="E75" s="1"/>
      <c r="F75" s="5">
        <f t="shared" si="62"/>
        <v>0</v>
      </c>
      <c r="G75" s="1"/>
      <c r="H75" s="1">
        <f>SUM(OSRRefH22_16x_0)</f>
        <v>85</v>
      </c>
      <c r="I75" s="1"/>
      <c r="J75" s="5">
        <f t="shared" si="63"/>
        <v>8.5839094314745499E-4</v>
      </c>
      <c r="K75" s="1"/>
      <c r="L75" s="1">
        <f t="shared" si="64"/>
        <v>-85</v>
      </c>
      <c r="M75" s="1"/>
      <c r="N75" s="5">
        <f t="shared" si="65"/>
        <v>-1</v>
      </c>
      <c r="O75" s="13"/>
      <c r="P75" s="1">
        <f>SUM(OSRRefP22_16x_0)</f>
        <v>0</v>
      </c>
      <c r="Q75" s="1"/>
      <c r="R75" s="5">
        <f t="shared" si="66"/>
        <v>0</v>
      </c>
      <c r="S75" s="1"/>
      <c r="T75" s="1">
        <f>SUM(OSRRefT22_16x_0)</f>
        <v>465.65</v>
      </c>
      <c r="U75" s="1"/>
      <c r="V75" s="5">
        <f t="shared" si="67"/>
        <v>1.096019163776803E-3</v>
      </c>
      <c r="W75" s="1"/>
      <c r="X75" s="1">
        <f t="shared" si="68"/>
        <v>-465.65</v>
      </c>
      <c r="Y75" s="1"/>
      <c r="Z75" s="5">
        <f t="shared" si="69"/>
        <v>-1</v>
      </c>
    </row>
    <row r="76" spans="1:26" s="24" customFormat="1" hidden="1" outlineLevel="2" x14ac:dyDescent="0.25">
      <c r="A76" s="25"/>
      <c r="B76" s="11" t="str">
        <f>CONCATENATE("          ", "6376", " - ", "TRAINING")</f>
        <v xml:space="preserve">          6376 - TRAINING</v>
      </c>
      <c r="C76" s="11"/>
      <c r="D76" s="6"/>
      <c r="E76" s="2"/>
      <c r="F76" s="7">
        <f t="shared" si="62"/>
        <v>0</v>
      </c>
      <c r="G76" s="2"/>
      <c r="H76" s="6">
        <v>85</v>
      </c>
      <c r="I76" s="2"/>
      <c r="J76" s="7">
        <f t="shared" si="63"/>
        <v>8.5839094314745499E-4</v>
      </c>
      <c r="K76" s="2"/>
      <c r="L76" s="6">
        <f t="shared" si="64"/>
        <v>-85</v>
      </c>
      <c r="M76" s="2"/>
      <c r="N76" s="7">
        <f t="shared" si="65"/>
        <v>-1</v>
      </c>
      <c r="O76" s="11"/>
      <c r="P76" s="6"/>
      <c r="Q76" s="2"/>
      <c r="R76" s="7">
        <f t="shared" si="66"/>
        <v>0</v>
      </c>
      <c r="S76" s="2"/>
      <c r="T76" s="6">
        <v>465.65</v>
      </c>
      <c r="U76" s="2"/>
      <c r="V76" s="7">
        <f t="shared" si="67"/>
        <v>1.096019163776803E-3</v>
      </c>
      <c r="W76" s="2"/>
      <c r="X76" s="6">
        <f t="shared" si="68"/>
        <v>-465.65</v>
      </c>
      <c r="Y76" s="2"/>
      <c r="Z76" s="7">
        <f t="shared" si="69"/>
        <v>-1</v>
      </c>
    </row>
    <row r="77" spans="1:26" s="26" customFormat="1" outlineLevel="1" collapsed="1" x14ac:dyDescent="0.25">
      <c r="A77" s="27"/>
      <c r="B77" s="13" t="str">
        <f>CONCATENATE("     ","Utilities                                         ")</f>
        <v xml:space="preserve">     Utilities                                         </v>
      </c>
      <c r="C77" s="13"/>
      <c r="D77" s="1">
        <f>SUM(OSRRefD22_17x_0)</f>
        <v>348</v>
      </c>
      <c r="E77" s="1"/>
      <c r="F77" s="5">
        <f t="shared" si="62"/>
        <v>0</v>
      </c>
      <c r="G77" s="1"/>
      <c r="H77" s="1">
        <f>SUM(OSRRefH22_17x_0)</f>
        <v>306</v>
      </c>
      <c r="I77" s="1"/>
      <c r="J77" s="5">
        <f t="shared" si="63"/>
        <v>3.0902073953308381E-3</v>
      </c>
      <c r="K77" s="1"/>
      <c r="L77" s="1">
        <f t="shared" si="64"/>
        <v>42</v>
      </c>
      <c r="M77" s="1"/>
      <c r="N77" s="5">
        <f t="shared" si="65"/>
        <v>0.13725490196078433</v>
      </c>
      <c r="O77" s="13"/>
      <c r="P77" s="1">
        <f>SUM(OSRRefP22_17x_0)</f>
        <v>696</v>
      </c>
      <c r="Q77" s="1"/>
      <c r="R77" s="5">
        <f t="shared" si="66"/>
        <v>0</v>
      </c>
      <c r="S77" s="1"/>
      <c r="T77" s="1">
        <f>SUM(OSRRefT22_17x_0)</f>
        <v>1318</v>
      </c>
      <c r="U77" s="1"/>
      <c r="V77" s="5">
        <f t="shared" si="67"/>
        <v>3.1022296958183753E-3</v>
      </c>
      <c r="W77" s="1"/>
      <c r="X77" s="1">
        <f t="shared" si="68"/>
        <v>-622</v>
      </c>
      <c r="Y77" s="1"/>
      <c r="Z77" s="5">
        <f t="shared" si="69"/>
        <v>-0.47192716236722304</v>
      </c>
    </row>
    <row r="78" spans="1:26" s="24" customFormat="1" hidden="1" outlineLevel="2" x14ac:dyDescent="0.25">
      <c r="A78" s="25"/>
      <c r="B78" s="11" t="str">
        <f>CONCATENATE("          ", "6274", " - ", "UTILITIES")</f>
        <v xml:space="preserve">          6274 - UTILITIES</v>
      </c>
      <c r="C78" s="11"/>
      <c r="D78" s="6">
        <v>348</v>
      </c>
      <c r="E78" s="2"/>
      <c r="F78" s="7">
        <f t="shared" si="62"/>
        <v>0</v>
      </c>
      <c r="G78" s="2"/>
      <c r="H78" s="6">
        <v>306</v>
      </c>
      <c r="I78" s="2"/>
      <c r="J78" s="7">
        <f t="shared" si="63"/>
        <v>3.0902073953308381E-3</v>
      </c>
      <c r="K78" s="2"/>
      <c r="L78" s="6">
        <f t="shared" si="64"/>
        <v>42</v>
      </c>
      <c r="M78" s="2"/>
      <c r="N78" s="7">
        <f t="shared" si="65"/>
        <v>0.13725490196078433</v>
      </c>
      <c r="O78" s="11"/>
      <c r="P78" s="6">
        <v>696</v>
      </c>
      <c r="Q78" s="2"/>
      <c r="R78" s="7">
        <f t="shared" si="66"/>
        <v>0</v>
      </c>
      <c r="S78" s="2"/>
      <c r="T78" s="6">
        <v>1318</v>
      </c>
      <c r="U78" s="2"/>
      <c r="V78" s="7">
        <f t="shared" si="67"/>
        <v>3.1022296958183753E-3</v>
      </c>
      <c r="W78" s="2"/>
      <c r="X78" s="6">
        <f t="shared" si="68"/>
        <v>-622</v>
      </c>
      <c r="Y78" s="2"/>
      <c r="Z78" s="7">
        <f t="shared" si="69"/>
        <v>-0.47192716236722304</v>
      </c>
    </row>
    <row r="79" spans="1:26" s="53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9" t="s">
        <v>0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8" t="s">
        <v>3</v>
      </c>
      <c r="C82" s="28"/>
      <c r="D82" s="20">
        <f>+D20-D22+D80</f>
        <v>-5768.84</v>
      </c>
      <c r="E82" s="14"/>
      <c r="F82" s="22">
        <f>IF(D$12=0,0,D82/D$12)</f>
        <v>0</v>
      </c>
      <c r="G82" s="14"/>
      <c r="H82" s="20">
        <f>+H20-H22+H80</f>
        <v>4332.2699999999968</v>
      </c>
      <c r="I82" s="14"/>
      <c r="J82" s="22">
        <f>IF(H$12=0,0,H82/H$12)</f>
        <v>4.3750368603169672E-2</v>
      </c>
      <c r="K82" s="15"/>
      <c r="L82" s="20">
        <f>+D82-H82</f>
        <v>-10101.109999999997</v>
      </c>
      <c r="M82" s="15"/>
      <c r="N82" s="22">
        <f>IF(H82=0,0,L82/H82)</f>
        <v>-2.331597522776744</v>
      </c>
      <c r="O82" s="29"/>
      <c r="P82" s="20">
        <f>+P20-P22+P80</f>
        <v>-33871.68</v>
      </c>
      <c r="Q82" s="14"/>
      <c r="R82" s="22">
        <f>IF(P$12=0,0,P82/P$12)</f>
        <v>0</v>
      </c>
      <c r="S82" s="14"/>
      <c r="T82" s="20">
        <f>+T20-T22+T80</f>
        <v>-21119.550000000017</v>
      </c>
      <c r="U82" s="14"/>
      <c r="V82" s="22">
        <f>IF(T$12=0,0,T82/T$12)</f>
        <v>-4.9709935639090305E-2</v>
      </c>
      <c r="W82" s="15"/>
      <c r="X82" s="20">
        <f>+P82-T82</f>
        <v>-12752.129999999983</v>
      </c>
      <c r="Y82" s="15"/>
      <c r="Z82" s="22">
        <f>IF(T82=0,0,X82/T82)</f>
        <v>0.60380689929472797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1"/>
      <c r="B84" s="10" t="s">
        <v>13</v>
      </c>
      <c r="C84" s="10"/>
      <c r="D84" s="4"/>
      <c r="E84" s="4"/>
      <c r="F84" s="12">
        <f>IF(D$12=0,0,D84/D$12)</f>
        <v>0</v>
      </c>
      <c r="G84" s="4"/>
      <c r="H84" s="4">
        <v>12190.15</v>
      </c>
      <c r="I84" s="4"/>
      <c r="J84" s="12">
        <f>IF(H$12=0,0,H84/H$12)</f>
        <v>0.12310487477186999</v>
      </c>
      <c r="K84" s="4"/>
      <c r="L84" s="4">
        <f>+D84-H84</f>
        <v>-12190.15</v>
      </c>
      <c r="M84" s="4"/>
      <c r="N84" s="12">
        <f>IF(H84=0,0,L84/H84)</f>
        <v>-1</v>
      </c>
      <c r="O84" s="10"/>
      <c r="P84" s="4"/>
      <c r="Q84" s="4"/>
      <c r="R84" s="12">
        <f>IF(P$12=0,0,P84/P$12)</f>
        <v>0</v>
      </c>
      <c r="S84" s="4"/>
      <c r="T84" s="4">
        <v>44989.35</v>
      </c>
      <c r="U84" s="4"/>
      <c r="V84" s="12">
        <f>IF(T$12=0,0,T84/T$12)</f>
        <v>0.10589324549739486</v>
      </c>
      <c r="W84" s="4"/>
      <c r="X84" s="4">
        <f>+P84-T84</f>
        <v>-44989.35</v>
      </c>
      <c r="Y84" s="4"/>
      <c r="Z84" s="12">
        <f>IF(T84=0,0,X84/T84)</f>
        <v>-1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8" t="s">
        <v>4</v>
      </c>
      <c r="C86" s="28"/>
      <c r="D86" s="31">
        <f>+D82-D84</f>
        <v>-5768.84</v>
      </c>
      <c r="E86" s="14"/>
      <c r="F86" s="34">
        <f>IF(D$12=0,0,D86/D$12)</f>
        <v>0</v>
      </c>
      <c r="G86" s="14"/>
      <c r="H86" s="31">
        <f>+H82-H84</f>
        <v>-7857.8800000000028</v>
      </c>
      <c r="I86" s="14"/>
      <c r="J86" s="34">
        <f>IF(H$12=0,0,H86/H$12)</f>
        <v>-7.9354506168700309E-2</v>
      </c>
      <c r="K86" s="15"/>
      <c r="L86" s="31">
        <f>D86-H86</f>
        <v>2089.0400000000027</v>
      </c>
      <c r="M86" s="15"/>
      <c r="N86" s="34">
        <f>IF(H86=0,0,L86/H86)</f>
        <v>-0.26585287634832827</v>
      </c>
      <c r="O86" s="29"/>
      <c r="P86" s="31">
        <f>+P82-P84</f>
        <v>-33871.68</v>
      </c>
      <c r="Q86" s="14"/>
      <c r="R86" s="34">
        <f>IF(P$12=0,0,P86/P$12)</f>
        <v>0</v>
      </c>
      <c r="S86" s="14"/>
      <c r="T86" s="31">
        <f>+T82-T84</f>
        <v>-66108.900000000023</v>
      </c>
      <c r="U86" s="14"/>
      <c r="V86" s="34">
        <f>IF(T$12=0,0,T86/T$12)</f>
        <v>-0.15560318113648519</v>
      </c>
      <c r="W86" s="15"/>
      <c r="X86" s="31">
        <f>P86-T86</f>
        <v>32237.220000000023</v>
      </c>
      <c r="Y86" s="15"/>
      <c r="Z86" s="34">
        <f>IF(T86=0,0,X86/T86)</f>
        <v>-0.48763812436752102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5</v>
      </c>
      <c r="C89" s="28"/>
      <c r="D89" s="32">
        <f>SUM(D86:D88)</f>
        <v>-5768.84</v>
      </c>
      <c r="E89" s="14"/>
      <c r="F89" s="30">
        <f>IF(D$12=0,0,D89/D$12)</f>
        <v>0</v>
      </c>
      <c r="G89" s="14"/>
      <c r="H89" s="32">
        <f>SUM(H86:H88)</f>
        <v>-7857.8800000000028</v>
      </c>
      <c r="I89" s="14"/>
      <c r="J89" s="30">
        <f>IF(H$12=0,0,H89/H$12)</f>
        <v>-7.9354506168700309E-2</v>
      </c>
      <c r="K89" s="15"/>
      <c r="L89" s="32">
        <f>+D89-H89</f>
        <v>2089.0400000000027</v>
      </c>
      <c r="M89" s="15"/>
      <c r="N89" s="30">
        <f>IF(H89=0,0,L89/H89)</f>
        <v>-0.26585287634832827</v>
      </c>
      <c r="O89" s="29"/>
      <c r="P89" s="32">
        <f>SUM(P86:P88)</f>
        <v>-33871.68</v>
      </c>
      <c r="Q89" s="14"/>
      <c r="R89" s="30">
        <f>IF(P$12=0,0,P89/P$12)</f>
        <v>0</v>
      </c>
      <c r="S89" s="14"/>
      <c r="T89" s="32">
        <f>SUM(T86:T88)</f>
        <v>-66108.900000000023</v>
      </c>
      <c r="U89" s="14"/>
      <c r="V89" s="30">
        <f>IF(T$12=0,0,T89/T$12)</f>
        <v>-0.15560318113648519</v>
      </c>
      <c r="W89" s="15"/>
      <c r="X89" s="32">
        <f>+P89-T89</f>
        <v>32237.220000000023</v>
      </c>
      <c r="Y89" s="15"/>
      <c r="Z89" s="30">
        <f>IF(T89=0,0,X89/T89)</f>
        <v>-0.48763812436752102</v>
      </c>
    </row>
    <row r="90" spans="1:26" ht="15.75" thickTop="1" x14ac:dyDescent="0.25">
      <c r="A90" s="9"/>
      <c r="C90" s="9"/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54">
        <v>44174.685890162036</v>
      </c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56" t="s">
        <v>313</v>
      </c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61"/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","406", " - ", "OPA! Greek")</f>
        <v>Department 406 - OPA! Greek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24578.789999999997</v>
      </c>
      <c r="I12" s="4"/>
      <c r="J12" s="12"/>
      <c r="K12" s="4"/>
      <c r="L12" s="4">
        <f t="shared" ref="L12:L14" si="0">+D12-H12</f>
        <v>-24578.789999999997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123671.07</v>
      </c>
      <c r="U12" s="4"/>
      <c r="V12" s="12"/>
      <c r="W12" s="4"/>
      <c r="X12" s="4">
        <f t="shared" ref="X12:X14" si="2">+P12-T12</f>
        <v>-123671.07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--5855.03</f>
        <v>5855.03</v>
      </c>
      <c r="I13" s="2"/>
      <c r="J13" s="19"/>
      <c r="K13" s="2"/>
      <c r="L13" s="2">
        <f t="shared" si="0"/>
        <v>-5855.03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--30496.9</f>
        <v>30496.9</v>
      </c>
      <c r="U13" s="2"/>
      <c r="V13" s="19"/>
      <c r="W13" s="2"/>
      <c r="X13" s="2">
        <f t="shared" si="2"/>
        <v>-30496.9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--18723.76</f>
        <v>18723.759999999998</v>
      </c>
      <c r="I14" s="2"/>
      <c r="J14" s="19"/>
      <c r="K14" s="2"/>
      <c r="L14" s="2">
        <f t="shared" si="0"/>
        <v>-18723.759999999998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--93174.17</f>
        <v>93174.17</v>
      </c>
      <c r="U14" s="2"/>
      <c r="V14" s="19"/>
      <c r="W14" s="2"/>
      <c r="X14" s="2">
        <f t="shared" si="2"/>
        <v>-93174.17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9440.7200000000012</v>
      </c>
      <c r="I16" s="4"/>
      <c r="J16" s="12">
        <f t="shared" ref="J16:J18" si="7">IF(H$12=0,0,H16/H$12)</f>
        <v>0.3841002750745664</v>
      </c>
      <c r="K16" s="4"/>
      <c r="L16" s="4">
        <f t="shared" ref="L16:L18" si="8">+D16-H16</f>
        <v>-9440.7200000000012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43080.17</v>
      </c>
      <c r="U16" s="4"/>
      <c r="V16" s="12">
        <f t="shared" ref="V16:V18" si="11">IF(T$12=0,0,T16/T$12)</f>
        <v>0.34834476648419066</v>
      </c>
      <c r="W16" s="4"/>
      <c r="X16" s="4">
        <f t="shared" ref="X16:X18" si="12">+P16-T16</f>
        <v>-43080.17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7815.34</v>
      </c>
      <c r="I17" s="2"/>
      <c r="J17" s="19">
        <f t="shared" si="7"/>
        <v>0.31797090092718155</v>
      </c>
      <c r="K17" s="2"/>
      <c r="L17" s="2">
        <f t="shared" si="8"/>
        <v>-7815.34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45579.79</v>
      </c>
      <c r="U17" s="2"/>
      <c r="V17" s="19">
        <f t="shared" si="11"/>
        <v>0.36855660745880181</v>
      </c>
      <c r="W17" s="2"/>
      <c r="X17" s="2">
        <f t="shared" si="12"/>
        <v>-45579.79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1625.38</v>
      </c>
      <c r="I18" s="2"/>
      <c r="J18" s="19">
        <f t="shared" si="7"/>
        <v>6.6129374147384803E-2</v>
      </c>
      <c r="K18" s="2"/>
      <c r="L18" s="2">
        <f t="shared" si="8"/>
        <v>-1625.38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-2499.62</v>
      </c>
      <c r="U18" s="2"/>
      <c r="V18" s="19">
        <f t="shared" si="11"/>
        <v>-2.0211840974611119E-2</v>
      </c>
      <c r="W18" s="2"/>
      <c r="X18" s="2">
        <f t="shared" si="12"/>
        <v>2499.62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15138.069999999996</v>
      </c>
      <c r="I20" s="14"/>
      <c r="J20" s="22">
        <f>IF(H$12=0,0,H20/H$12)</f>
        <v>0.61589972492543354</v>
      </c>
      <c r="K20" s="15"/>
      <c r="L20" s="20">
        <f>+D20-H20</f>
        <v>-15138.069999999996</v>
      </c>
      <c r="M20" s="15"/>
      <c r="N20" s="22">
        <f>IF(H20=0,0,L20/H20)</f>
        <v>-1</v>
      </c>
      <c r="O20" s="29"/>
      <c r="P20" s="20">
        <f>P12-P16</f>
        <v>0</v>
      </c>
      <c r="Q20" s="14"/>
      <c r="R20" s="22">
        <f>IF(P$12=0,0,P20/P$12)</f>
        <v>0</v>
      </c>
      <c r="S20" s="14"/>
      <c r="T20" s="20">
        <f>T12-T16</f>
        <v>80590.900000000009</v>
      </c>
      <c r="U20" s="14"/>
      <c r="V20" s="22">
        <f>IF(T$12=0,0,T20/T$12)</f>
        <v>0.65165523351580934</v>
      </c>
      <c r="W20" s="15"/>
      <c r="X20" s="20">
        <f>+P20-T20</f>
        <v>-80590.900000000009</v>
      </c>
      <c r="Y20" s="15"/>
      <c r="Z20" s="22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119.55</v>
      </c>
      <c r="E22" s="21"/>
      <c r="F22" s="35">
        <f t="shared" ref="F22:F31" si="14">IF(D$12=0,0,D22/D$12)</f>
        <v>0</v>
      </c>
      <c r="G22" s="21"/>
      <c r="H22" s="21">
        <f>SUM(OSRRefH22x_0)</f>
        <v>21007.16</v>
      </c>
      <c r="I22" s="21"/>
      <c r="J22" s="35">
        <f t="shared" ref="J22:J31" si="15">IF(H$12=0,0,H22/H$12)</f>
        <v>0.85468650002705593</v>
      </c>
      <c r="K22" s="4"/>
      <c r="L22" s="21">
        <f t="shared" ref="L22:L31" si="16">+D22-H22</f>
        <v>-20887.61</v>
      </c>
      <c r="M22" s="4"/>
      <c r="N22" s="35">
        <f t="shared" ref="N22:N31" si="17">IF(H22=0,0,L22/H22)</f>
        <v>-0.99430908318877953</v>
      </c>
      <c r="O22" s="10"/>
      <c r="P22" s="21">
        <f>SUM(OSRRefP22x_0)</f>
        <v>1555.66</v>
      </c>
      <c r="Q22" s="21"/>
      <c r="R22" s="35">
        <f t="shared" ref="R22:R31" si="18">IF(P$12=0,0,P22/P$12)</f>
        <v>0</v>
      </c>
      <c r="S22" s="21"/>
      <c r="T22" s="21">
        <f>SUM(OSRRefT22x_0)</f>
        <v>109438.24</v>
      </c>
      <c r="U22" s="21"/>
      <c r="V22" s="35">
        <f t="shared" ref="V22:V31" si="19">IF(T$12=0,0,T22/T$12)</f>
        <v>0.88491382827042731</v>
      </c>
      <c r="W22" s="4"/>
      <c r="X22" s="21">
        <f t="shared" ref="X22:X31" si="20">+P22-T22</f>
        <v>-107882.58</v>
      </c>
      <c r="Y22" s="4"/>
      <c r="Z22" s="35">
        <f t="shared" ref="Z22:Z31" si="21">IF(T22=0,0,X22/T22)</f>
        <v>-0.98578504186470828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2250.7200000000003</v>
      </c>
      <c r="I23" s="1"/>
      <c r="J23" s="5">
        <f t="shared" si="15"/>
        <v>9.1571635544304683E-2</v>
      </c>
      <c r="K23" s="1"/>
      <c r="L23" s="1">
        <f t="shared" si="16"/>
        <v>-2250.7200000000003</v>
      </c>
      <c r="M23" s="1"/>
      <c r="N23" s="5">
        <f t="shared" si="17"/>
        <v>-1</v>
      </c>
      <c r="O23" s="13"/>
      <c r="P23" s="1">
        <f>SUM(OSRRefP22_0x_0)</f>
        <v>660.8</v>
      </c>
      <c r="Q23" s="1"/>
      <c r="R23" s="5">
        <f t="shared" si="18"/>
        <v>0</v>
      </c>
      <c r="S23" s="1"/>
      <c r="T23" s="1">
        <f>SUM(OSRRefT22_0x_0)</f>
        <v>10899.88</v>
      </c>
      <c r="U23" s="1"/>
      <c r="V23" s="5">
        <f t="shared" si="19"/>
        <v>8.8136053161018163E-2</v>
      </c>
      <c r="W23" s="1"/>
      <c r="X23" s="1">
        <f t="shared" si="20"/>
        <v>-10239.08</v>
      </c>
      <c r="Y23" s="1"/>
      <c r="Z23" s="5">
        <f t="shared" si="21"/>
        <v>-0.93937547936307564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719.82</v>
      </c>
      <c r="I24" s="2"/>
      <c r="J24" s="7">
        <f t="shared" si="15"/>
        <v>2.9286226050997635E-2</v>
      </c>
      <c r="K24" s="2"/>
      <c r="L24" s="6">
        <f t="shared" si="16"/>
        <v>-719.82</v>
      </c>
      <c r="M24" s="2"/>
      <c r="N24" s="7">
        <f t="shared" si="17"/>
        <v>-1</v>
      </c>
      <c r="O24" s="11"/>
      <c r="P24" s="6"/>
      <c r="Q24" s="2"/>
      <c r="R24" s="7">
        <f t="shared" si="18"/>
        <v>0</v>
      </c>
      <c r="S24" s="2"/>
      <c r="T24" s="6">
        <v>3912.05</v>
      </c>
      <c r="U24" s="2"/>
      <c r="V24" s="7">
        <f t="shared" si="19"/>
        <v>3.1632701164467973E-2</v>
      </c>
      <c r="W24" s="2"/>
      <c r="X24" s="6">
        <f t="shared" si="20"/>
        <v>-3912.05</v>
      </c>
      <c r="Y24" s="2"/>
      <c r="Z24" s="7">
        <f t="shared" si="21"/>
        <v>-1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585</v>
      </c>
      <c r="I25" s="2"/>
      <c r="J25" s="7">
        <f t="shared" si="15"/>
        <v>2.3801008918665243E-2</v>
      </c>
      <c r="K25" s="2"/>
      <c r="L25" s="6">
        <f t="shared" si="16"/>
        <v>-585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1855.69</v>
      </c>
      <c r="U25" s="2"/>
      <c r="V25" s="7">
        <f t="shared" si="19"/>
        <v>1.5005045238146641E-2</v>
      </c>
      <c r="W25" s="2"/>
      <c r="X25" s="6">
        <f t="shared" si="20"/>
        <v>-1855.69</v>
      </c>
      <c r="Y25" s="2"/>
      <c r="Z25" s="7">
        <f t="shared" si="21"/>
        <v>-1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34.97</v>
      </c>
      <c r="I26" s="2"/>
      <c r="J26" s="7">
        <f t="shared" si="15"/>
        <v>1.4227714220268778E-3</v>
      </c>
      <c r="K26" s="2"/>
      <c r="L26" s="6">
        <f t="shared" si="16"/>
        <v>-34.97</v>
      </c>
      <c r="M26" s="2"/>
      <c r="N26" s="7">
        <f t="shared" si="17"/>
        <v>-1</v>
      </c>
      <c r="O26" s="11"/>
      <c r="P26" s="6">
        <v>660.8</v>
      </c>
      <c r="Q26" s="2"/>
      <c r="R26" s="7">
        <f t="shared" si="18"/>
        <v>0</v>
      </c>
      <c r="S26" s="2"/>
      <c r="T26" s="6">
        <v>174.85</v>
      </c>
      <c r="U26" s="2"/>
      <c r="V26" s="7">
        <f t="shared" si="19"/>
        <v>1.4138310600854346E-3</v>
      </c>
      <c r="W26" s="2"/>
      <c r="X26" s="6">
        <f t="shared" si="20"/>
        <v>485.94999999999993</v>
      </c>
      <c r="Y26" s="2"/>
      <c r="Z26" s="7">
        <f t="shared" si="21"/>
        <v>2.7792393480125819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39.200000000000003</v>
      </c>
      <c r="I27" s="2"/>
      <c r="J27" s="7">
        <f t="shared" si="15"/>
        <v>1.5948710249772265E-3</v>
      </c>
      <c r="K27" s="2"/>
      <c r="L27" s="6">
        <f t="shared" si="16"/>
        <v>-39.200000000000003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174.85</v>
      </c>
      <c r="U27" s="2"/>
      <c r="V27" s="7">
        <f t="shared" si="19"/>
        <v>1.4138310600854346E-3</v>
      </c>
      <c r="W27" s="2"/>
      <c r="X27" s="6">
        <f t="shared" si="20"/>
        <v>-174.85</v>
      </c>
      <c r="Y27" s="2"/>
      <c r="Z27" s="7">
        <f t="shared" si="21"/>
        <v>-1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315.45</v>
      </c>
      <c r="I28" s="2"/>
      <c r="J28" s="7">
        <f t="shared" si="15"/>
        <v>1.2834236347680257E-2</v>
      </c>
      <c r="K28" s="2"/>
      <c r="L28" s="6">
        <f t="shared" si="16"/>
        <v>-315.45</v>
      </c>
      <c r="M28" s="2"/>
      <c r="N28" s="7">
        <f t="shared" si="17"/>
        <v>-1</v>
      </c>
      <c r="O28" s="11"/>
      <c r="P28" s="6"/>
      <c r="Q28" s="2"/>
      <c r="R28" s="7">
        <f t="shared" si="18"/>
        <v>0</v>
      </c>
      <c r="S28" s="2"/>
      <c r="T28" s="6">
        <v>1577.25</v>
      </c>
      <c r="U28" s="2"/>
      <c r="V28" s="7">
        <f t="shared" si="19"/>
        <v>1.275358901641265E-2</v>
      </c>
      <c r="W28" s="2"/>
      <c r="X28" s="6">
        <f t="shared" si="20"/>
        <v>-1577.25</v>
      </c>
      <c r="Y28" s="2"/>
      <c r="Z28" s="7">
        <f t="shared" si="21"/>
        <v>-1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173.88</v>
      </c>
      <c r="I29" s="2"/>
      <c r="J29" s="7">
        <f t="shared" si="15"/>
        <v>7.0743921893632686E-3</v>
      </c>
      <c r="K29" s="2"/>
      <c r="L29" s="6">
        <f t="shared" si="16"/>
        <v>-173.88</v>
      </c>
      <c r="M29" s="2"/>
      <c r="N29" s="7">
        <f t="shared" si="17"/>
        <v>-1</v>
      </c>
      <c r="O29" s="11"/>
      <c r="P29" s="6"/>
      <c r="Q29" s="2"/>
      <c r="R29" s="7">
        <f t="shared" si="18"/>
        <v>0</v>
      </c>
      <c r="S29" s="2"/>
      <c r="T29" s="6">
        <v>1026.29</v>
      </c>
      <c r="U29" s="2"/>
      <c r="V29" s="7">
        <f t="shared" si="19"/>
        <v>8.2985454884477016E-3</v>
      </c>
      <c r="W29" s="2"/>
      <c r="X29" s="6">
        <f t="shared" si="20"/>
        <v>-1026.29</v>
      </c>
      <c r="Y29" s="2"/>
      <c r="Z29" s="7">
        <f t="shared" si="21"/>
        <v>-1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208.3</v>
      </c>
      <c r="I30" s="2"/>
      <c r="J30" s="7">
        <f t="shared" si="15"/>
        <v>8.4747865944580694E-3</v>
      </c>
      <c r="K30" s="2"/>
      <c r="L30" s="6">
        <f t="shared" si="16"/>
        <v>-208.3</v>
      </c>
      <c r="M30" s="2"/>
      <c r="N30" s="7">
        <f t="shared" si="17"/>
        <v>-1</v>
      </c>
      <c r="O30" s="11"/>
      <c r="P30" s="6"/>
      <c r="Q30" s="2"/>
      <c r="R30" s="7">
        <f t="shared" si="18"/>
        <v>0</v>
      </c>
      <c r="S30" s="2"/>
      <c r="T30" s="6">
        <v>1267.48</v>
      </c>
      <c r="U30" s="2"/>
      <c r="V30" s="7">
        <f t="shared" si="19"/>
        <v>1.0248799496923573E-2</v>
      </c>
      <c r="W30" s="2"/>
      <c r="X30" s="6">
        <f t="shared" si="20"/>
        <v>-1267.48</v>
      </c>
      <c r="Y30" s="2"/>
      <c r="Z30" s="7">
        <f t="shared" si="21"/>
        <v>-1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174.1</v>
      </c>
      <c r="I31" s="2"/>
      <c r="J31" s="7">
        <f t="shared" si="15"/>
        <v>7.0833429961361001E-3</v>
      </c>
      <c r="K31" s="2"/>
      <c r="L31" s="6">
        <f t="shared" si="16"/>
        <v>-174.1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911.42</v>
      </c>
      <c r="U31" s="2"/>
      <c r="V31" s="7">
        <f t="shared" si="19"/>
        <v>7.3697106364487659E-3</v>
      </c>
      <c r="W31" s="2"/>
      <c r="X31" s="6">
        <f t="shared" si="20"/>
        <v>-911.42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13085.779999999999</v>
      </c>
      <c r="I32" s="1"/>
      <c r="J32" s="5">
        <f t="shared" ref="J32:J37" si="23">IF(H$12=0,0,H32/H$12)</f>
        <v>0.53240131023536963</v>
      </c>
      <c r="K32" s="1"/>
      <c r="L32" s="1">
        <f t="shared" ref="L32:L37" si="24">+D32-H32</f>
        <v>-13085.779999999999</v>
      </c>
      <c r="M32" s="1"/>
      <c r="N32" s="5">
        <f t="shared" ref="N32:N37" si="25">IF(H32=0,0,L32/H32)</f>
        <v>-1</v>
      </c>
      <c r="O32" s="13"/>
      <c r="P32" s="1">
        <f>SUM(OSRRefP22_1x_0)</f>
        <v>0</v>
      </c>
      <c r="Q32" s="1"/>
      <c r="R32" s="5">
        <f t="shared" ref="R32:R37" si="26">IF(P$12=0,0,P32/P$12)</f>
        <v>0</v>
      </c>
      <c r="S32" s="1"/>
      <c r="T32" s="1">
        <f>SUM(OSRRefT22_1x_0)</f>
        <v>66036.100000000006</v>
      </c>
      <c r="U32" s="1"/>
      <c r="V32" s="5">
        <f t="shared" ref="V32:V37" si="27">IF(T$12=0,0,T32/T$12)</f>
        <v>0.53396562348817711</v>
      </c>
      <c r="W32" s="1"/>
      <c r="X32" s="1">
        <f t="shared" ref="X32:X37" si="28">+P32-T32</f>
        <v>-66036.100000000006</v>
      </c>
      <c r="Y32" s="1"/>
      <c r="Z32" s="5">
        <f t="shared" ref="Z32:Z37" si="29">IF(T32=0,0,X32/T32)</f>
        <v>-1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4193.78</v>
      </c>
      <c r="I33" s="2"/>
      <c r="J33" s="7">
        <f t="shared" si="23"/>
        <v>0.17062597467165797</v>
      </c>
      <c r="K33" s="2"/>
      <c r="L33" s="6">
        <f t="shared" si="24"/>
        <v>-4193.78</v>
      </c>
      <c r="M33" s="2"/>
      <c r="N33" s="7">
        <f t="shared" si="25"/>
        <v>-1</v>
      </c>
      <c r="O33" s="11"/>
      <c r="P33" s="6"/>
      <c r="Q33" s="2"/>
      <c r="R33" s="7">
        <f t="shared" si="26"/>
        <v>0</v>
      </c>
      <c r="S33" s="2"/>
      <c r="T33" s="6">
        <v>22783.53</v>
      </c>
      <c r="U33" s="2"/>
      <c r="V33" s="7">
        <f t="shared" si="27"/>
        <v>0.18422683655926966</v>
      </c>
      <c r="W33" s="2"/>
      <c r="X33" s="6">
        <f t="shared" si="28"/>
        <v>-22783.53</v>
      </c>
      <c r="Y33" s="2"/>
      <c r="Z33" s="7">
        <f t="shared" si="29"/>
        <v>-1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>
        <v>4764</v>
      </c>
      <c r="I34" s="2"/>
      <c r="J34" s="7">
        <f t="shared" si="23"/>
        <v>0.19382565211713029</v>
      </c>
      <c r="K34" s="2"/>
      <c r="L34" s="6">
        <f t="shared" si="24"/>
        <v>-4764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21893.070000000003</v>
      </c>
      <c r="U34" s="2"/>
      <c r="V34" s="7">
        <f t="shared" si="27"/>
        <v>0.17702660775879114</v>
      </c>
      <c r="W34" s="2"/>
      <c r="X34" s="6">
        <f t="shared" si="28"/>
        <v>-21893.070000000003</v>
      </c>
      <c r="Y34" s="2"/>
      <c r="Z34" s="7">
        <f t="shared" si="29"/>
        <v>-1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2"/>
        <v>0</v>
      </c>
      <c r="G35" s="2"/>
      <c r="H35" s="6"/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110.5</v>
      </c>
      <c r="U35" s="2"/>
      <c r="V35" s="7">
        <f t="shared" si="27"/>
        <v>8.9349918295362043E-4</v>
      </c>
      <c r="W35" s="2"/>
      <c r="X35" s="6">
        <f t="shared" si="28"/>
        <v>-110.5</v>
      </c>
      <c r="Y35" s="2"/>
      <c r="Z35" s="7">
        <f t="shared" si="29"/>
        <v>-1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2"/>
        <v>0</v>
      </c>
      <c r="G36" s="2"/>
      <c r="H36" s="6">
        <v>3894</v>
      </c>
      <c r="I36" s="2"/>
      <c r="J36" s="7">
        <f t="shared" si="23"/>
        <v>0.15842927987911531</v>
      </c>
      <c r="K36" s="2"/>
      <c r="L36" s="6">
        <f t="shared" si="24"/>
        <v>-3894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19719</v>
      </c>
      <c r="U36" s="2"/>
      <c r="V36" s="7">
        <f t="shared" si="27"/>
        <v>0.15944715283857411</v>
      </c>
      <c r="W36" s="2"/>
      <c r="X36" s="6">
        <f t="shared" si="28"/>
        <v>-19719</v>
      </c>
      <c r="Y36" s="2"/>
      <c r="Z36" s="7">
        <f t="shared" si="29"/>
        <v>-1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2"/>
        <v>0</v>
      </c>
      <c r="G37" s="2"/>
      <c r="H37" s="6">
        <v>234</v>
      </c>
      <c r="I37" s="2"/>
      <c r="J37" s="7">
        <f t="shared" si="23"/>
        <v>9.5204035674660969E-3</v>
      </c>
      <c r="K37" s="2"/>
      <c r="L37" s="6">
        <f t="shared" si="24"/>
        <v>-234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1530</v>
      </c>
      <c r="U37" s="2"/>
      <c r="V37" s="7">
        <f t="shared" si="27"/>
        <v>1.237152714858859E-2</v>
      </c>
      <c r="W37" s="2"/>
      <c r="X37" s="6">
        <f t="shared" si="28"/>
        <v>-1530</v>
      </c>
      <c r="Y37" s="2"/>
      <c r="Z37" s="7">
        <f t="shared" si="29"/>
        <v>-1</v>
      </c>
    </row>
    <row r="38" spans="1:26" s="26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3" si="30">IF(D$12=0,0,D38/D$12)</f>
        <v>0</v>
      </c>
      <c r="G38" s="1"/>
      <c r="H38" s="1">
        <f>SUM(OSRRefH22_2x_0)</f>
        <v>1526.48</v>
      </c>
      <c r="I38" s="1"/>
      <c r="J38" s="5">
        <f t="shared" ref="J38:J53" si="31">IF(H$12=0,0,H38/H$12)</f>
        <v>6.2105579648143797E-2</v>
      </c>
      <c r="K38" s="1"/>
      <c r="L38" s="1">
        <f t="shared" ref="L38:L53" si="32">+D38-H38</f>
        <v>-1526.48</v>
      </c>
      <c r="M38" s="1"/>
      <c r="N38" s="5">
        <f t="shared" ref="N38:N53" si="33">IF(H38=0,0,L38/H38)</f>
        <v>-1</v>
      </c>
      <c r="O38" s="13"/>
      <c r="P38" s="1">
        <f>SUM(OSRRefP22_2x_0)</f>
        <v>0</v>
      </c>
      <c r="Q38" s="1"/>
      <c r="R38" s="5">
        <f t="shared" ref="R38:R53" si="34">IF(P$12=0,0,P38/P$12)</f>
        <v>0</v>
      </c>
      <c r="S38" s="1"/>
      <c r="T38" s="1">
        <f>SUM(OSRRefT22_2x_0)</f>
        <v>2424.71</v>
      </c>
      <c r="U38" s="1"/>
      <c r="V38" s="5">
        <f t="shared" ref="V38:V53" si="35">IF(T$12=0,0,T38/T$12)</f>
        <v>1.9606121302257674E-2</v>
      </c>
      <c r="W38" s="1"/>
      <c r="X38" s="1">
        <f t="shared" ref="X38:X53" si="36">+P38-T38</f>
        <v>-2424.71</v>
      </c>
      <c r="Y38" s="1"/>
      <c r="Z38" s="5">
        <f t="shared" ref="Z38:Z53" si="37">IF(T38=0,0,X38/T38)</f>
        <v>-1</v>
      </c>
    </row>
    <row r="39" spans="1:26" s="24" customFormat="1" hidden="1" outlineLevel="2" x14ac:dyDescent="0.25">
      <c r="A39" s="25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30"/>
        <v>0</v>
      </c>
      <c r="G39" s="2"/>
      <c r="H39" s="6">
        <v>1526.48</v>
      </c>
      <c r="I39" s="2"/>
      <c r="J39" s="7">
        <f t="shared" si="31"/>
        <v>6.2105579648143797E-2</v>
      </c>
      <c r="K39" s="2"/>
      <c r="L39" s="6">
        <f t="shared" si="32"/>
        <v>-1526.48</v>
      </c>
      <c r="M39" s="2"/>
      <c r="N39" s="7">
        <f t="shared" si="33"/>
        <v>-1</v>
      </c>
      <c r="O39" s="11"/>
      <c r="P39" s="6"/>
      <c r="Q39" s="2"/>
      <c r="R39" s="7">
        <f t="shared" si="34"/>
        <v>0</v>
      </c>
      <c r="S39" s="2"/>
      <c r="T39" s="6">
        <v>2424.71</v>
      </c>
      <c r="U39" s="2"/>
      <c r="V39" s="7">
        <f t="shared" si="35"/>
        <v>1.9606121302257674E-2</v>
      </c>
      <c r="W39" s="2"/>
      <c r="X39" s="6">
        <f t="shared" si="36"/>
        <v>-2424.71</v>
      </c>
      <c r="Y39" s="2"/>
      <c r="Z39" s="7">
        <f t="shared" si="37"/>
        <v>-1</v>
      </c>
    </row>
    <row r="40" spans="1:26" s="26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4.8099999999999996</v>
      </c>
      <c r="I40" s="1"/>
      <c r="J40" s="5">
        <f t="shared" si="31"/>
        <v>1.9569718444235865E-4</v>
      </c>
      <c r="K40" s="1"/>
      <c r="L40" s="1">
        <f t="shared" si="32"/>
        <v>-4.8099999999999996</v>
      </c>
      <c r="M40" s="1"/>
      <c r="N40" s="5">
        <f t="shared" si="33"/>
        <v>-1</v>
      </c>
      <c r="O40" s="13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-8.7200000000000006</v>
      </c>
      <c r="U40" s="1"/>
      <c r="V40" s="5">
        <f t="shared" si="35"/>
        <v>-7.050961878149837E-5</v>
      </c>
      <c r="W40" s="1"/>
      <c r="X40" s="1">
        <f t="shared" si="36"/>
        <v>8.7200000000000006</v>
      </c>
      <c r="Y40" s="1"/>
      <c r="Z40" s="5">
        <f t="shared" si="37"/>
        <v>-1</v>
      </c>
    </row>
    <row r="41" spans="1:26" s="24" customFormat="1" hidden="1" outlineLevel="2" x14ac:dyDescent="0.25">
      <c r="A41" s="25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30"/>
        <v>0</v>
      </c>
      <c r="G41" s="2"/>
      <c r="H41" s="6">
        <v>4.8099999999999996</v>
      </c>
      <c r="I41" s="2"/>
      <c r="J41" s="7">
        <f t="shared" si="31"/>
        <v>1.9569718444235865E-4</v>
      </c>
      <c r="K41" s="2"/>
      <c r="L41" s="6">
        <f t="shared" si="32"/>
        <v>-4.8099999999999996</v>
      </c>
      <c r="M41" s="2"/>
      <c r="N41" s="7">
        <f t="shared" si="33"/>
        <v>-1</v>
      </c>
      <c r="O41" s="11"/>
      <c r="P41" s="6"/>
      <c r="Q41" s="2"/>
      <c r="R41" s="7">
        <f t="shared" si="34"/>
        <v>0</v>
      </c>
      <c r="S41" s="2"/>
      <c r="T41" s="6">
        <v>-8.7200000000000006</v>
      </c>
      <c r="U41" s="2"/>
      <c r="V41" s="7">
        <f t="shared" si="35"/>
        <v>-7.050961878149837E-5</v>
      </c>
      <c r="W41" s="2"/>
      <c r="X41" s="6">
        <f t="shared" si="36"/>
        <v>8.7200000000000006</v>
      </c>
      <c r="Y41" s="2"/>
      <c r="Z41" s="7">
        <f t="shared" si="37"/>
        <v>-1</v>
      </c>
    </row>
    <row r="42" spans="1:26" s="26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850.3</v>
      </c>
      <c r="I42" s="1"/>
      <c r="J42" s="5">
        <f t="shared" si="31"/>
        <v>3.4594868176993254E-2</v>
      </c>
      <c r="K42" s="1"/>
      <c r="L42" s="1">
        <f t="shared" si="32"/>
        <v>-850.3</v>
      </c>
      <c r="M42" s="1"/>
      <c r="N42" s="5">
        <f t="shared" si="33"/>
        <v>-1</v>
      </c>
      <c r="O42" s="13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4379.26</v>
      </c>
      <c r="U42" s="1"/>
      <c r="V42" s="5">
        <f t="shared" si="35"/>
        <v>3.5410545085443182E-2</v>
      </c>
      <c r="W42" s="1"/>
      <c r="X42" s="1">
        <f t="shared" si="36"/>
        <v>-4379.26</v>
      </c>
      <c r="Y42" s="1"/>
      <c r="Z42" s="5">
        <f t="shared" si="37"/>
        <v>-1</v>
      </c>
    </row>
    <row r="43" spans="1:26" s="24" customFormat="1" hidden="1" outlineLevel="2" x14ac:dyDescent="0.25">
      <c r="A43" s="25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30"/>
        <v>0</v>
      </c>
      <c r="G43" s="2"/>
      <c r="H43" s="6">
        <v>850.3</v>
      </c>
      <c r="I43" s="2"/>
      <c r="J43" s="7">
        <f t="shared" si="31"/>
        <v>3.4594868176993254E-2</v>
      </c>
      <c r="K43" s="2"/>
      <c r="L43" s="6">
        <f t="shared" si="32"/>
        <v>-850.3</v>
      </c>
      <c r="M43" s="2"/>
      <c r="N43" s="7">
        <f t="shared" si="33"/>
        <v>-1</v>
      </c>
      <c r="O43" s="11"/>
      <c r="P43" s="6"/>
      <c r="Q43" s="2"/>
      <c r="R43" s="7">
        <f t="shared" si="34"/>
        <v>0</v>
      </c>
      <c r="S43" s="2"/>
      <c r="T43" s="6">
        <v>4379.26</v>
      </c>
      <c r="U43" s="2"/>
      <c r="V43" s="7">
        <f t="shared" si="35"/>
        <v>3.5410545085443182E-2</v>
      </c>
      <c r="W43" s="2"/>
      <c r="X43" s="6">
        <f t="shared" si="36"/>
        <v>-4379.26</v>
      </c>
      <c r="Y43" s="2"/>
      <c r="Z43" s="7">
        <f t="shared" si="37"/>
        <v>-1</v>
      </c>
    </row>
    <row r="44" spans="1:26" s="26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119.55</v>
      </c>
      <c r="E44" s="1"/>
      <c r="F44" s="5">
        <f t="shared" si="30"/>
        <v>0</v>
      </c>
      <c r="G44" s="1"/>
      <c r="H44" s="1">
        <f>SUM(OSRRefH22_5x_0)</f>
        <v>2775.32</v>
      </c>
      <c r="I44" s="1"/>
      <c r="J44" s="5">
        <f t="shared" si="31"/>
        <v>0.1129152411489744</v>
      </c>
      <c r="K44" s="1"/>
      <c r="L44" s="1">
        <f t="shared" si="32"/>
        <v>-2655.77</v>
      </c>
      <c r="M44" s="1"/>
      <c r="N44" s="5">
        <f t="shared" si="33"/>
        <v>-0.95692388625455793</v>
      </c>
      <c r="O44" s="13"/>
      <c r="P44" s="1">
        <f>SUM(OSRRefP22_5x_0)</f>
        <v>597.75</v>
      </c>
      <c r="Q44" s="1"/>
      <c r="R44" s="5">
        <f t="shared" si="34"/>
        <v>0</v>
      </c>
      <c r="S44" s="1"/>
      <c r="T44" s="1">
        <f>SUM(OSRRefT22_5x_0)</f>
        <v>13876.6</v>
      </c>
      <c r="U44" s="1"/>
      <c r="V44" s="5">
        <f t="shared" si="35"/>
        <v>0.11220570825497021</v>
      </c>
      <c r="W44" s="1"/>
      <c r="X44" s="1">
        <f t="shared" si="36"/>
        <v>-13278.85</v>
      </c>
      <c r="Y44" s="1"/>
      <c r="Z44" s="5">
        <f t="shared" si="37"/>
        <v>-0.95692388625455804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119.55</v>
      </c>
      <c r="E45" s="2"/>
      <c r="F45" s="7">
        <f t="shared" si="30"/>
        <v>0</v>
      </c>
      <c r="G45" s="2"/>
      <c r="H45" s="6">
        <v>2775.32</v>
      </c>
      <c r="I45" s="2"/>
      <c r="J45" s="7">
        <f t="shared" si="31"/>
        <v>0.1129152411489744</v>
      </c>
      <c r="K45" s="2"/>
      <c r="L45" s="6">
        <f t="shared" si="32"/>
        <v>-2655.77</v>
      </c>
      <c r="M45" s="2"/>
      <c r="N45" s="7">
        <f t="shared" si="33"/>
        <v>-0.95692388625455793</v>
      </c>
      <c r="O45" s="11"/>
      <c r="P45" s="6">
        <v>597.75</v>
      </c>
      <c r="Q45" s="2"/>
      <c r="R45" s="7">
        <f t="shared" si="34"/>
        <v>0</v>
      </c>
      <c r="S45" s="2"/>
      <c r="T45" s="6">
        <v>13876.6</v>
      </c>
      <c r="U45" s="2"/>
      <c r="V45" s="7">
        <f t="shared" si="35"/>
        <v>0.11220570825497021</v>
      </c>
      <c r="W45" s="2"/>
      <c r="X45" s="6">
        <f t="shared" si="36"/>
        <v>-13278.85</v>
      </c>
      <c r="Y45" s="2"/>
      <c r="Z45" s="7">
        <f t="shared" si="37"/>
        <v>-0.95692388625455804</v>
      </c>
    </row>
    <row r="46" spans="1:26" s="26" customFormat="1" outlineLevel="1" collapsed="1" x14ac:dyDescent="0.25">
      <c r="A46" s="27"/>
      <c r="B46" s="13" t="str">
        <f>CONCATENATE("     ","Equipment Rental                                  ")</f>
        <v xml:space="preserve">     Equipment Rental                                  </v>
      </c>
      <c r="C46" s="13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61.04</v>
      </c>
      <c r="I46" s="1"/>
      <c r="J46" s="5">
        <f t="shared" si="31"/>
        <v>2.4834420246073953E-3</v>
      </c>
      <c r="K46" s="1"/>
      <c r="L46" s="1">
        <f t="shared" si="32"/>
        <v>-61.04</v>
      </c>
      <c r="M46" s="1"/>
      <c r="N46" s="5">
        <f t="shared" si="33"/>
        <v>-1</v>
      </c>
      <c r="O46" s="13"/>
      <c r="P46" s="1">
        <f>SUM(OSRRefP22_6x_0)</f>
        <v>64.02</v>
      </c>
      <c r="Q46" s="1"/>
      <c r="R46" s="5">
        <f t="shared" si="34"/>
        <v>0</v>
      </c>
      <c r="S46" s="1"/>
      <c r="T46" s="1">
        <f>SUM(OSRRefT22_6x_0)</f>
        <v>522.76</v>
      </c>
      <c r="U46" s="1"/>
      <c r="V46" s="5">
        <f t="shared" si="35"/>
        <v>4.2270193020890008E-3</v>
      </c>
      <c r="W46" s="1"/>
      <c r="X46" s="1">
        <f t="shared" si="36"/>
        <v>-458.74</v>
      </c>
      <c r="Y46" s="1"/>
      <c r="Z46" s="5">
        <f t="shared" si="37"/>
        <v>-0.87753462391919812</v>
      </c>
    </row>
    <row r="47" spans="1:26" s="24" customFormat="1" hidden="1" outlineLevel="2" x14ac:dyDescent="0.25">
      <c r="A47" s="25"/>
      <c r="B47" s="11" t="str">
        <f>CONCATENATE("          ", "6351", " - ", "EQUIPMENT RENTAL")</f>
        <v xml:space="preserve">          6351 - EQUIPMENT RENTAL</v>
      </c>
      <c r="C47" s="11"/>
      <c r="D47" s="6"/>
      <c r="E47" s="2"/>
      <c r="F47" s="7">
        <f t="shared" si="30"/>
        <v>0</v>
      </c>
      <c r="G47" s="2"/>
      <c r="H47" s="6">
        <v>61.04</v>
      </c>
      <c r="I47" s="2"/>
      <c r="J47" s="7">
        <f t="shared" si="31"/>
        <v>2.4834420246073953E-3</v>
      </c>
      <c r="K47" s="2"/>
      <c r="L47" s="6">
        <f t="shared" si="32"/>
        <v>-61.04</v>
      </c>
      <c r="M47" s="2"/>
      <c r="N47" s="7">
        <f t="shared" si="33"/>
        <v>-1</v>
      </c>
      <c r="O47" s="11"/>
      <c r="P47" s="6">
        <v>64.02</v>
      </c>
      <c r="Q47" s="2"/>
      <c r="R47" s="7">
        <f t="shared" si="34"/>
        <v>0</v>
      </c>
      <c r="S47" s="2"/>
      <c r="T47" s="6">
        <v>522.76</v>
      </c>
      <c r="U47" s="2"/>
      <c r="V47" s="7">
        <f t="shared" si="35"/>
        <v>4.2270193020890008E-3</v>
      </c>
      <c r="W47" s="2"/>
      <c r="X47" s="6">
        <f t="shared" si="36"/>
        <v>-458.74</v>
      </c>
      <c r="Y47" s="2"/>
      <c r="Z47" s="7">
        <f t="shared" si="37"/>
        <v>-0.87753462391919812</v>
      </c>
    </row>
    <row r="48" spans="1:26" s="26" customFormat="1" outlineLevel="1" collapsed="1" x14ac:dyDescent="0.25">
      <c r="A48" s="27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0</v>
      </c>
      <c r="I48" s="1"/>
      <c r="J48" s="5">
        <f t="shared" si="31"/>
        <v>0</v>
      </c>
      <c r="K48" s="1"/>
      <c r="L48" s="1">
        <f t="shared" si="32"/>
        <v>0</v>
      </c>
      <c r="M48" s="1"/>
      <c r="N48" s="5">
        <f t="shared" si="33"/>
        <v>0</v>
      </c>
      <c r="O48" s="13"/>
      <c r="P48" s="1">
        <f>SUM(OSRRefP22_7x_0)</f>
        <v>0</v>
      </c>
      <c r="Q48" s="1"/>
      <c r="R48" s="5">
        <f t="shared" si="34"/>
        <v>0</v>
      </c>
      <c r="S48" s="1"/>
      <c r="T48" s="1">
        <f>SUM(OSRRefT22_7x_0)</f>
        <v>749.55</v>
      </c>
      <c r="U48" s="1"/>
      <c r="V48" s="5">
        <f t="shared" si="35"/>
        <v>6.0608354079899193E-3</v>
      </c>
      <c r="W48" s="1"/>
      <c r="X48" s="1">
        <f t="shared" si="36"/>
        <v>-749.55</v>
      </c>
      <c r="Y48" s="1"/>
      <c r="Z48" s="5">
        <f t="shared" si="37"/>
        <v>-1</v>
      </c>
    </row>
    <row r="49" spans="1:26" s="24" customFormat="1" hidden="1" outlineLevel="2" x14ac:dyDescent="0.25">
      <c r="A49" s="25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30"/>
        <v>0</v>
      </c>
      <c r="G49" s="2"/>
      <c r="H49" s="6"/>
      <c r="I49" s="2"/>
      <c r="J49" s="7">
        <f t="shared" si="31"/>
        <v>0</v>
      </c>
      <c r="K49" s="2"/>
      <c r="L49" s="6">
        <f t="shared" si="32"/>
        <v>0</v>
      </c>
      <c r="M49" s="2"/>
      <c r="N49" s="7">
        <f t="shared" si="33"/>
        <v>0</v>
      </c>
      <c r="O49" s="11"/>
      <c r="P49" s="6"/>
      <c r="Q49" s="2"/>
      <c r="R49" s="7">
        <f t="shared" si="34"/>
        <v>0</v>
      </c>
      <c r="S49" s="2"/>
      <c r="T49" s="6">
        <v>749.55</v>
      </c>
      <c r="U49" s="2"/>
      <c r="V49" s="7">
        <f t="shared" si="35"/>
        <v>6.0608354079899193E-3</v>
      </c>
      <c r="W49" s="2"/>
      <c r="X49" s="6">
        <f t="shared" si="36"/>
        <v>-749.55</v>
      </c>
      <c r="Y49" s="2"/>
      <c r="Z49" s="7">
        <f t="shared" si="37"/>
        <v>-1</v>
      </c>
    </row>
    <row r="50" spans="1:26" s="26" customFormat="1" outlineLevel="1" collapsed="1" x14ac:dyDescent="0.25">
      <c r="A50" s="27"/>
      <c r="B50" s="13" t="str">
        <f>CONCATENATE("     ","Repair and Maintenance                            ")</f>
        <v xml:space="preserve">     Repair and Maintenance                            </v>
      </c>
      <c r="C50" s="13"/>
      <c r="D50" s="1">
        <f>SUM(OSRRefD22_8x_0)</f>
        <v>0</v>
      </c>
      <c r="E50" s="1"/>
      <c r="F50" s="5">
        <f t="shared" si="30"/>
        <v>0</v>
      </c>
      <c r="G50" s="1"/>
      <c r="H50" s="1">
        <f>SUM(OSRRefH22_8x_0)</f>
        <v>0</v>
      </c>
      <c r="I50" s="1"/>
      <c r="J50" s="5">
        <f t="shared" si="31"/>
        <v>0</v>
      </c>
      <c r="K50" s="1"/>
      <c r="L50" s="1">
        <f t="shared" si="32"/>
        <v>0</v>
      </c>
      <c r="M50" s="1"/>
      <c r="N50" s="5">
        <f t="shared" si="33"/>
        <v>0</v>
      </c>
      <c r="O50" s="13"/>
      <c r="P50" s="1">
        <f>SUM(OSRRefP22_8x_0)</f>
        <v>147.88999999999999</v>
      </c>
      <c r="Q50" s="1"/>
      <c r="R50" s="5">
        <f t="shared" si="34"/>
        <v>0</v>
      </c>
      <c r="S50" s="1"/>
      <c r="T50" s="1">
        <f>SUM(OSRRefT22_8x_0)</f>
        <v>4631.76</v>
      </c>
      <c r="U50" s="1"/>
      <c r="V50" s="5">
        <f t="shared" si="35"/>
        <v>3.745225136323313E-2</v>
      </c>
      <c r="W50" s="1"/>
      <c r="X50" s="1">
        <f t="shared" si="36"/>
        <v>-4483.87</v>
      </c>
      <c r="Y50" s="1"/>
      <c r="Z50" s="5">
        <f t="shared" si="37"/>
        <v>-0.96807045270048531</v>
      </c>
    </row>
    <row r="51" spans="1:26" s="24" customFormat="1" hidden="1" outlineLevel="2" x14ac:dyDescent="0.25">
      <c r="A51" s="25"/>
      <c r="B51" s="11" t="str">
        <f>CONCATENATE("          ", "6371", " - ", "COMPUTER SOFTWARE MAINTENANCE")</f>
        <v xml:space="preserve">          6371 - COMPUTER SOFTWARE MAINTENANCE</v>
      </c>
      <c r="C51" s="11"/>
      <c r="D51" s="6"/>
      <c r="E51" s="2"/>
      <c r="F51" s="7">
        <f t="shared" si="30"/>
        <v>0</v>
      </c>
      <c r="G51" s="2"/>
      <c r="H51" s="6"/>
      <c r="I51" s="2"/>
      <c r="J51" s="7">
        <f t="shared" si="31"/>
        <v>0</v>
      </c>
      <c r="K51" s="2"/>
      <c r="L51" s="6">
        <f t="shared" si="32"/>
        <v>0</v>
      </c>
      <c r="M51" s="2"/>
      <c r="N51" s="7">
        <f t="shared" si="33"/>
        <v>0</v>
      </c>
      <c r="O51" s="11"/>
      <c r="P51" s="6"/>
      <c r="Q51" s="2"/>
      <c r="R51" s="7">
        <f t="shared" si="34"/>
        <v>0</v>
      </c>
      <c r="S51" s="2"/>
      <c r="T51" s="6">
        <v>2186.54</v>
      </c>
      <c r="U51" s="2"/>
      <c r="V51" s="7">
        <f t="shared" si="35"/>
        <v>1.7680286909460715E-2</v>
      </c>
      <c r="W51" s="2"/>
      <c r="X51" s="6">
        <f t="shared" si="36"/>
        <v>-2186.54</v>
      </c>
      <c r="Y51" s="2"/>
      <c r="Z51" s="7">
        <f t="shared" si="37"/>
        <v>-1</v>
      </c>
    </row>
    <row r="52" spans="1:26" s="24" customFormat="1" hidden="1" outlineLevel="2" x14ac:dyDescent="0.25">
      <c r="A52" s="25"/>
      <c r="B52" s="11" t="str">
        <f>CONCATENATE("          ", "6373", " - ", "MAINTENANCE CONTRACTS")</f>
        <v xml:space="preserve">          6373 - MAINTENANCE CONTRACTS</v>
      </c>
      <c r="C52" s="11"/>
      <c r="D52" s="6"/>
      <c r="E52" s="2"/>
      <c r="F52" s="7">
        <f t="shared" si="30"/>
        <v>0</v>
      </c>
      <c r="G52" s="2"/>
      <c r="H52" s="6"/>
      <c r="I52" s="2"/>
      <c r="J52" s="7">
        <f t="shared" si="31"/>
        <v>0</v>
      </c>
      <c r="K52" s="2"/>
      <c r="L52" s="6">
        <f t="shared" si="32"/>
        <v>0</v>
      </c>
      <c r="M52" s="2"/>
      <c r="N52" s="7">
        <f t="shared" si="33"/>
        <v>0</v>
      </c>
      <c r="O52" s="11"/>
      <c r="P52" s="6">
        <v>147.88999999999999</v>
      </c>
      <c r="Q52" s="2"/>
      <c r="R52" s="7">
        <f t="shared" si="34"/>
        <v>0</v>
      </c>
      <c r="S52" s="2"/>
      <c r="T52" s="6">
        <v>65.989999999999995</v>
      </c>
      <c r="U52" s="2"/>
      <c r="V52" s="7">
        <f t="shared" si="35"/>
        <v>5.335928604806281E-4</v>
      </c>
      <c r="W52" s="2"/>
      <c r="X52" s="6">
        <f t="shared" si="36"/>
        <v>81.899999999999991</v>
      </c>
      <c r="Y52" s="2"/>
      <c r="Z52" s="7">
        <f t="shared" si="37"/>
        <v>1.2410971359296863</v>
      </c>
    </row>
    <row r="53" spans="1:26" s="24" customFormat="1" hidden="1" outlineLevel="2" x14ac:dyDescent="0.25">
      <c r="A53" s="25"/>
      <c r="B53" s="11" t="str">
        <f>CONCATENATE("          ", "6375", " - ", "OUTSIDE REPAIRS &amp; MAINTENANCE")</f>
        <v xml:space="preserve">          6375 - OUTSIDE REPAIRS &amp; MAINTENANCE</v>
      </c>
      <c r="C53" s="11"/>
      <c r="D53" s="6"/>
      <c r="E53" s="2"/>
      <c r="F53" s="7">
        <f t="shared" si="30"/>
        <v>0</v>
      </c>
      <c r="G53" s="2"/>
      <c r="H53" s="6"/>
      <c r="I53" s="2"/>
      <c r="J53" s="7">
        <f t="shared" si="31"/>
        <v>0</v>
      </c>
      <c r="K53" s="2"/>
      <c r="L53" s="6">
        <f t="shared" si="32"/>
        <v>0</v>
      </c>
      <c r="M53" s="2"/>
      <c r="N53" s="7">
        <f t="shared" si="33"/>
        <v>0</v>
      </c>
      <c r="O53" s="11"/>
      <c r="P53" s="6"/>
      <c r="Q53" s="2"/>
      <c r="R53" s="7">
        <f t="shared" si="34"/>
        <v>0</v>
      </c>
      <c r="S53" s="2"/>
      <c r="T53" s="6">
        <v>2379.23</v>
      </c>
      <c r="U53" s="2"/>
      <c r="V53" s="7">
        <f t="shared" si="35"/>
        <v>1.9238371593291784E-2</v>
      </c>
      <c r="W53" s="2"/>
      <c r="X53" s="6">
        <f t="shared" si="36"/>
        <v>-2379.23</v>
      </c>
      <c r="Y53" s="2"/>
      <c r="Z53" s="7">
        <f t="shared" si="37"/>
        <v>-1</v>
      </c>
    </row>
    <row r="54" spans="1:26" s="26" customFormat="1" outlineLevel="1" collapsed="1" x14ac:dyDescent="0.25">
      <c r="A54" s="27"/>
      <c r="B54" s="13" t="str">
        <f>CONCATENATE("     ","Services                                          ")</f>
        <v xml:space="preserve">     Services                                          </v>
      </c>
      <c r="C54" s="13"/>
      <c r="D54" s="1">
        <f>SUM(OSRRefD22_9x_0)</f>
        <v>0</v>
      </c>
      <c r="E54" s="1"/>
      <c r="F54" s="5">
        <f t="shared" ref="F54:F61" si="38">IF(D$12=0,0,D54/D$12)</f>
        <v>0</v>
      </c>
      <c r="G54" s="1"/>
      <c r="H54" s="1">
        <f>SUM(OSRRefH22_9x_0)</f>
        <v>49.2</v>
      </c>
      <c r="I54" s="1"/>
      <c r="J54" s="5">
        <f t="shared" ref="J54:J61" si="39">IF(H$12=0,0,H54/H$12)</f>
        <v>2.0017258782877435E-3</v>
      </c>
      <c r="K54" s="1"/>
      <c r="L54" s="1">
        <f t="shared" ref="L54:L61" si="40">+D54-H54</f>
        <v>-49.2</v>
      </c>
      <c r="M54" s="1"/>
      <c r="N54" s="5">
        <f t="shared" ref="N54:N61" si="41">IF(H54=0,0,L54/H54)</f>
        <v>-1</v>
      </c>
      <c r="O54" s="13"/>
      <c r="P54" s="1">
        <f>SUM(OSRRefP22_9x_0)</f>
        <v>0</v>
      </c>
      <c r="Q54" s="1"/>
      <c r="R54" s="5">
        <f t="shared" ref="R54:R61" si="42">IF(P$12=0,0,P54/P$12)</f>
        <v>0</v>
      </c>
      <c r="S54" s="1"/>
      <c r="T54" s="1">
        <f>SUM(OSRRefT22_9x_0)</f>
        <v>237.72</v>
      </c>
      <c r="U54" s="1"/>
      <c r="V54" s="5">
        <f t="shared" ref="V54:V61" si="43">IF(T$12=0,0,T54/T$12)</f>
        <v>1.9221957083414899E-3</v>
      </c>
      <c r="W54" s="1"/>
      <c r="X54" s="1">
        <f t="shared" ref="X54:X61" si="44">+P54-T54</f>
        <v>-237.72</v>
      </c>
      <c r="Y54" s="1"/>
      <c r="Z54" s="5">
        <f t="shared" ref="Z54:Z61" si="45">IF(T54=0,0,X54/T54)</f>
        <v>-1</v>
      </c>
    </row>
    <row r="55" spans="1:26" s="24" customFormat="1" hidden="1" outlineLevel="2" x14ac:dyDescent="0.25">
      <c r="A55" s="25"/>
      <c r="B55" s="11" t="str">
        <f>CONCATENATE("          ", "6286", " - ", "LAUNDRY EXPENSE")</f>
        <v xml:space="preserve">          6286 - LAUNDRY EXPENSE</v>
      </c>
      <c r="C55" s="11"/>
      <c r="D55" s="6"/>
      <c r="E55" s="2"/>
      <c r="F55" s="7">
        <f t="shared" si="38"/>
        <v>0</v>
      </c>
      <c r="G55" s="2"/>
      <c r="H55" s="6">
        <v>49.2</v>
      </c>
      <c r="I55" s="2"/>
      <c r="J55" s="7">
        <f t="shared" si="39"/>
        <v>2.0017258782877435E-3</v>
      </c>
      <c r="K55" s="2"/>
      <c r="L55" s="6">
        <f t="shared" si="40"/>
        <v>-49.2</v>
      </c>
      <c r="M55" s="2"/>
      <c r="N55" s="7">
        <f t="shared" si="41"/>
        <v>-1</v>
      </c>
      <c r="O55" s="11"/>
      <c r="P55" s="6"/>
      <c r="Q55" s="2"/>
      <c r="R55" s="7">
        <f t="shared" si="42"/>
        <v>0</v>
      </c>
      <c r="S55" s="2"/>
      <c r="T55" s="6">
        <v>237.72</v>
      </c>
      <c r="U55" s="2"/>
      <c r="V55" s="7">
        <f t="shared" si="43"/>
        <v>1.9221957083414899E-3</v>
      </c>
      <c r="W55" s="2"/>
      <c r="X55" s="6">
        <f t="shared" si="44"/>
        <v>-237.72</v>
      </c>
      <c r="Y55" s="2"/>
      <c r="Z55" s="7">
        <f t="shared" si="45"/>
        <v>-1</v>
      </c>
    </row>
    <row r="56" spans="1:26" s="26" customFormat="1" outlineLevel="1" collapsed="1" x14ac:dyDescent="0.25">
      <c r="A56" s="27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SUM(OSRRefD22_10x_0)</f>
        <v>0</v>
      </c>
      <c r="E56" s="1"/>
      <c r="F56" s="5">
        <f t="shared" si="38"/>
        <v>0</v>
      </c>
      <c r="G56" s="1"/>
      <c r="H56" s="1">
        <f>SUM(OSRRefH22_10x_0)</f>
        <v>317.51</v>
      </c>
      <c r="I56" s="1"/>
      <c r="J56" s="5">
        <f t="shared" si="39"/>
        <v>1.2918048447462223E-2</v>
      </c>
      <c r="K56" s="1"/>
      <c r="L56" s="1">
        <f t="shared" si="40"/>
        <v>-317.51</v>
      </c>
      <c r="M56" s="1"/>
      <c r="N56" s="5">
        <f t="shared" si="41"/>
        <v>-1</v>
      </c>
      <c r="O56" s="13"/>
      <c r="P56" s="1">
        <f>SUM(OSRRefP22_10x_0)</f>
        <v>0</v>
      </c>
      <c r="Q56" s="1"/>
      <c r="R56" s="5">
        <f t="shared" si="42"/>
        <v>0</v>
      </c>
      <c r="S56" s="1"/>
      <c r="T56" s="1">
        <f>SUM(OSRRefT22_10x_0)</f>
        <v>5100.67</v>
      </c>
      <c r="U56" s="1"/>
      <c r="V56" s="5">
        <f t="shared" si="43"/>
        <v>4.1243841425484554E-2</v>
      </c>
      <c r="W56" s="1"/>
      <c r="X56" s="1">
        <f t="shared" si="44"/>
        <v>-5100.67</v>
      </c>
      <c r="Y56" s="1"/>
      <c r="Z56" s="5">
        <f t="shared" si="45"/>
        <v>-1</v>
      </c>
    </row>
    <row r="57" spans="1:26" s="24" customFormat="1" hidden="1" outlineLevel="2" x14ac:dyDescent="0.25">
      <c r="A57" s="25"/>
      <c r="B57" s="11" t="str">
        <f>CONCATENATE("          ", "6239", " - ", "KITCHEN SUPPLIES")</f>
        <v xml:space="preserve">          6239 - KITCHEN SUPPLIES</v>
      </c>
      <c r="C57" s="11"/>
      <c r="D57" s="6"/>
      <c r="E57" s="2"/>
      <c r="F57" s="7">
        <f t="shared" si="38"/>
        <v>0</v>
      </c>
      <c r="G57" s="2"/>
      <c r="H57" s="6"/>
      <c r="I57" s="2"/>
      <c r="J57" s="7">
        <f t="shared" si="39"/>
        <v>0</v>
      </c>
      <c r="K57" s="2"/>
      <c r="L57" s="6">
        <f t="shared" si="40"/>
        <v>0</v>
      </c>
      <c r="M57" s="2"/>
      <c r="N57" s="7">
        <f t="shared" si="41"/>
        <v>0</v>
      </c>
      <c r="O57" s="11"/>
      <c r="P57" s="6"/>
      <c r="Q57" s="2"/>
      <c r="R57" s="7">
        <f t="shared" si="42"/>
        <v>0</v>
      </c>
      <c r="S57" s="2"/>
      <c r="T57" s="6">
        <v>2672.21</v>
      </c>
      <c r="U57" s="2"/>
      <c r="V57" s="7">
        <f t="shared" si="43"/>
        <v>2.160739775276465E-2</v>
      </c>
      <c r="W57" s="2"/>
      <c r="X57" s="6">
        <f t="shared" si="44"/>
        <v>-2672.21</v>
      </c>
      <c r="Y57" s="2"/>
      <c r="Z57" s="7">
        <f t="shared" si="45"/>
        <v>-1</v>
      </c>
    </row>
    <row r="58" spans="1:26" s="24" customFormat="1" hidden="1" outlineLevel="2" x14ac:dyDescent="0.25">
      <c r="A58" s="25"/>
      <c r="B58" s="11" t="str">
        <f>CONCATENATE("          ", "6241", " - ", "OFFICE EXPENSE")</f>
        <v xml:space="preserve">          6241 - OFFICE EXPENSE</v>
      </c>
      <c r="C58" s="11"/>
      <c r="D58" s="6"/>
      <c r="E58" s="2"/>
      <c r="F58" s="7">
        <f t="shared" si="38"/>
        <v>0</v>
      </c>
      <c r="G58" s="2"/>
      <c r="H58" s="6">
        <v>59.48</v>
      </c>
      <c r="I58" s="2"/>
      <c r="J58" s="7">
        <f t="shared" si="39"/>
        <v>2.4199726674909547E-3</v>
      </c>
      <c r="K58" s="2"/>
      <c r="L58" s="6">
        <f t="shared" si="40"/>
        <v>-59.48</v>
      </c>
      <c r="M58" s="2"/>
      <c r="N58" s="7">
        <f t="shared" si="41"/>
        <v>-1</v>
      </c>
      <c r="O58" s="11"/>
      <c r="P58" s="6"/>
      <c r="Q58" s="2"/>
      <c r="R58" s="7">
        <f t="shared" si="42"/>
        <v>0</v>
      </c>
      <c r="S58" s="2"/>
      <c r="T58" s="6">
        <v>549.44000000000005</v>
      </c>
      <c r="U58" s="2"/>
      <c r="V58" s="7">
        <f t="shared" si="43"/>
        <v>4.4427528604709249E-3</v>
      </c>
      <c r="W58" s="2"/>
      <c r="X58" s="6">
        <f t="shared" si="44"/>
        <v>-549.44000000000005</v>
      </c>
      <c r="Y58" s="2"/>
      <c r="Z58" s="7">
        <f t="shared" si="45"/>
        <v>-1</v>
      </c>
    </row>
    <row r="59" spans="1:26" s="24" customFormat="1" hidden="1" outlineLevel="2" x14ac:dyDescent="0.25">
      <c r="A59" s="25"/>
      <c r="B59" s="11" t="str">
        <f>CONCATENATE("          ", "6243", " - ", "PAPER SUPPLIES")</f>
        <v xml:space="preserve">          6243 - PAPER SUPPLIES</v>
      </c>
      <c r="C59" s="11"/>
      <c r="D59" s="6"/>
      <c r="E59" s="2"/>
      <c r="F59" s="7">
        <f t="shared" si="38"/>
        <v>0</v>
      </c>
      <c r="G59" s="2"/>
      <c r="H59" s="6">
        <v>258.02999999999997</v>
      </c>
      <c r="I59" s="2"/>
      <c r="J59" s="7">
        <f t="shared" si="39"/>
        <v>1.0498075779971267E-2</v>
      </c>
      <c r="K59" s="2"/>
      <c r="L59" s="6">
        <f t="shared" si="40"/>
        <v>-258.02999999999997</v>
      </c>
      <c r="M59" s="2"/>
      <c r="N59" s="7">
        <f t="shared" si="41"/>
        <v>-1</v>
      </c>
      <c r="O59" s="11"/>
      <c r="P59" s="6"/>
      <c r="Q59" s="2"/>
      <c r="R59" s="7">
        <f t="shared" si="42"/>
        <v>0</v>
      </c>
      <c r="S59" s="2"/>
      <c r="T59" s="6">
        <v>1139.3499999999999</v>
      </c>
      <c r="U59" s="2"/>
      <c r="V59" s="7">
        <f t="shared" si="43"/>
        <v>9.2127447429702011E-3</v>
      </c>
      <c r="W59" s="2"/>
      <c r="X59" s="6">
        <f t="shared" si="44"/>
        <v>-1139.3499999999999</v>
      </c>
      <c r="Y59" s="2"/>
      <c r="Z59" s="7">
        <f t="shared" si="45"/>
        <v>-1</v>
      </c>
    </row>
    <row r="60" spans="1:26" s="24" customFormat="1" hidden="1" outlineLevel="2" x14ac:dyDescent="0.25">
      <c r="A60" s="25"/>
      <c r="B60" s="11" t="str">
        <f>CONCATENATE("          ", "6247", " - ", "STORE SUPPLIES")</f>
        <v xml:space="preserve">          6247 - STORE SUPPLIES</v>
      </c>
      <c r="C60" s="11"/>
      <c r="D60" s="6"/>
      <c r="E60" s="2"/>
      <c r="F60" s="7">
        <f t="shared" si="38"/>
        <v>0</v>
      </c>
      <c r="G60" s="2"/>
      <c r="H60" s="6"/>
      <c r="I60" s="2"/>
      <c r="J60" s="7">
        <f t="shared" si="39"/>
        <v>0</v>
      </c>
      <c r="K60" s="2"/>
      <c r="L60" s="6">
        <f t="shared" si="40"/>
        <v>0</v>
      </c>
      <c r="M60" s="2"/>
      <c r="N60" s="7">
        <f t="shared" si="41"/>
        <v>0</v>
      </c>
      <c r="O60" s="11"/>
      <c r="P60" s="6"/>
      <c r="Q60" s="2"/>
      <c r="R60" s="7">
        <f t="shared" si="42"/>
        <v>0</v>
      </c>
      <c r="S60" s="2"/>
      <c r="T60" s="6">
        <v>102.64</v>
      </c>
      <c r="U60" s="2"/>
      <c r="V60" s="7">
        <f t="shared" si="43"/>
        <v>8.2994349446479277E-4</v>
      </c>
      <c r="W60" s="2"/>
      <c r="X60" s="6">
        <f t="shared" si="44"/>
        <v>-102.64</v>
      </c>
      <c r="Y60" s="2"/>
      <c r="Z60" s="7">
        <f t="shared" si="45"/>
        <v>-1</v>
      </c>
    </row>
    <row r="61" spans="1:26" s="24" customFormat="1" hidden="1" outlineLevel="2" x14ac:dyDescent="0.25">
      <c r="A61" s="25"/>
      <c r="B61" s="11" t="str">
        <f>CONCATENATE("          ", "6248", " - ", "UNIFORMS")</f>
        <v xml:space="preserve">          6248 - UNIFORMS</v>
      </c>
      <c r="C61" s="11"/>
      <c r="D61" s="6"/>
      <c r="E61" s="2"/>
      <c r="F61" s="7">
        <f t="shared" si="38"/>
        <v>0</v>
      </c>
      <c r="G61" s="2"/>
      <c r="H61" s="6"/>
      <c r="I61" s="2"/>
      <c r="J61" s="7">
        <f t="shared" si="39"/>
        <v>0</v>
      </c>
      <c r="K61" s="2"/>
      <c r="L61" s="6">
        <f t="shared" si="40"/>
        <v>0</v>
      </c>
      <c r="M61" s="2"/>
      <c r="N61" s="7">
        <f t="shared" si="41"/>
        <v>0</v>
      </c>
      <c r="O61" s="11"/>
      <c r="P61" s="6"/>
      <c r="Q61" s="2"/>
      <c r="R61" s="7">
        <f t="shared" si="42"/>
        <v>0</v>
      </c>
      <c r="S61" s="2"/>
      <c r="T61" s="6">
        <v>637.03</v>
      </c>
      <c r="U61" s="2"/>
      <c r="V61" s="7">
        <f t="shared" si="43"/>
        <v>5.1510025748139794E-3</v>
      </c>
      <c r="W61" s="2"/>
      <c r="X61" s="6">
        <f t="shared" si="44"/>
        <v>-637.03</v>
      </c>
      <c r="Y61" s="2"/>
      <c r="Z61" s="7">
        <f t="shared" si="45"/>
        <v>-1</v>
      </c>
    </row>
    <row r="62" spans="1:26" s="26" customFormat="1" outlineLevel="1" collapsed="1" x14ac:dyDescent="0.25">
      <c r="A62" s="27"/>
      <c r="B62" s="13" t="str">
        <f>CONCATENATE("     ","Telephone/Data Lines                              ")</f>
        <v xml:space="preserve">     Telephone/Data Lines                              </v>
      </c>
      <c r="C62" s="13"/>
      <c r="D62" s="1">
        <f>SUM(OSRRefD22_11x_0)</f>
        <v>0</v>
      </c>
      <c r="E62" s="1"/>
      <c r="F62" s="5">
        <f t="shared" ref="F62:F65" si="46">IF(D$12=0,0,D62/D$12)</f>
        <v>0</v>
      </c>
      <c r="G62" s="1"/>
      <c r="H62" s="1">
        <f>SUM(OSRRefH22_11x_0)</f>
        <v>86</v>
      </c>
      <c r="I62" s="1"/>
      <c r="J62" s="5">
        <f t="shared" ref="J62:J65" si="47">IF(H$12=0,0,H62/H$12)</f>
        <v>3.498951738470446E-3</v>
      </c>
      <c r="K62" s="1"/>
      <c r="L62" s="1">
        <f t="shared" ref="L62:L65" si="48">+D62-H62</f>
        <v>-86</v>
      </c>
      <c r="M62" s="1"/>
      <c r="N62" s="5">
        <f t="shared" ref="N62:N65" si="49">IF(H62=0,0,L62/H62)</f>
        <v>-1</v>
      </c>
      <c r="O62" s="13"/>
      <c r="P62" s="1">
        <f>SUM(OSRRefP22_11x_0)</f>
        <v>85.2</v>
      </c>
      <c r="Q62" s="1"/>
      <c r="R62" s="5">
        <f t="shared" ref="R62:R65" si="50">IF(P$12=0,0,P62/P$12)</f>
        <v>0</v>
      </c>
      <c r="S62" s="1"/>
      <c r="T62" s="1">
        <f>SUM(OSRRefT22_11x_0)</f>
        <v>435</v>
      </c>
      <c r="U62" s="1"/>
      <c r="V62" s="5">
        <f t="shared" ref="V62:V65" si="51">IF(T$12=0,0,T62/T$12)</f>
        <v>3.5173949736183245E-3</v>
      </c>
      <c r="W62" s="1"/>
      <c r="X62" s="1">
        <f t="shared" ref="X62:X65" si="52">+P62-T62</f>
        <v>-349.8</v>
      </c>
      <c r="Y62" s="1"/>
      <c r="Z62" s="5">
        <f t="shared" ref="Z62:Z65" si="53">IF(T62=0,0,X62/T62)</f>
        <v>-0.80413793103448283</v>
      </c>
    </row>
    <row r="63" spans="1:26" s="24" customFormat="1" hidden="1" outlineLevel="2" x14ac:dyDescent="0.25">
      <c r="A63" s="25"/>
      <c r="B63" s="11" t="str">
        <f>CONCATENATE("          ", "6309", " - ", "TELEPHONE")</f>
        <v xml:space="preserve">          6309 - TELEPHONE</v>
      </c>
      <c r="C63" s="11"/>
      <c r="D63" s="6"/>
      <c r="E63" s="2"/>
      <c r="F63" s="7">
        <f t="shared" si="46"/>
        <v>0</v>
      </c>
      <c r="G63" s="2"/>
      <c r="H63" s="6">
        <v>86</v>
      </c>
      <c r="I63" s="2"/>
      <c r="J63" s="7">
        <f t="shared" si="47"/>
        <v>3.498951738470446E-3</v>
      </c>
      <c r="K63" s="2"/>
      <c r="L63" s="6">
        <f t="shared" si="48"/>
        <v>-86</v>
      </c>
      <c r="M63" s="2"/>
      <c r="N63" s="7">
        <f t="shared" si="49"/>
        <v>-1</v>
      </c>
      <c r="O63" s="11"/>
      <c r="P63" s="6">
        <v>85.2</v>
      </c>
      <c r="Q63" s="2"/>
      <c r="R63" s="7">
        <f t="shared" si="50"/>
        <v>0</v>
      </c>
      <c r="S63" s="2"/>
      <c r="T63" s="6">
        <v>435</v>
      </c>
      <c r="U63" s="2"/>
      <c r="V63" s="7">
        <f t="shared" si="51"/>
        <v>3.5173949736183245E-3</v>
      </c>
      <c r="W63" s="2"/>
      <c r="X63" s="6">
        <f t="shared" si="52"/>
        <v>-349.8</v>
      </c>
      <c r="Y63" s="2"/>
      <c r="Z63" s="7">
        <f t="shared" si="53"/>
        <v>-0.80413793103448283</v>
      </c>
    </row>
    <row r="64" spans="1:26" s="26" customFormat="1" outlineLevel="1" collapsed="1" x14ac:dyDescent="0.25">
      <c r="A64" s="27"/>
      <c r="B64" s="13" t="str">
        <f>CONCATENATE("     ","Training                                          ")</f>
        <v xml:space="preserve">     Training                                          </v>
      </c>
      <c r="C64" s="13"/>
      <c r="D64" s="1">
        <f>SUM(OSRRefD22_12x_0)</f>
        <v>0</v>
      </c>
      <c r="E64" s="1"/>
      <c r="F64" s="5">
        <f t="shared" si="46"/>
        <v>0</v>
      </c>
      <c r="G64" s="1"/>
      <c r="H64" s="1">
        <f>SUM(OSRRefH22_12x_0)</f>
        <v>0</v>
      </c>
      <c r="I64" s="1"/>
      <c r="J64" s="5">
        <f t="shared" si="47"/>
        <v>0</v>
      </c>
      <c r="K64" s="1"/>
      <c r="L64" s="1">
        <f t="shared" si="48"/>
        <v>0</v>
      </c>
      <c r="M64" s="1"/>
      <c r="N64" s="5">
        <f t="shared" si="49"/>
        <v>0</v>
      </c>
      <c r="O64" s="13"/>
      <c r="P64" s="1">
        <f>SUM(OSRRefP22_12x_0)</f>
        <v>0</v>
      </c>
      <c r="Q64" s="1"/>
      <c r="R64" s="5">
        <f t="shared" si="50"/>
        <v>0</v>
      </c>
      <c r="S64" s="1"/>
      <c r="T64" s="1">
        <f>SUM(OSRRefT22_12x_0)</f>
        <v>152.94999999999999</v>
      </c>
      <c r="U64" s="1"/>
      <c r="V64" s="5">
        <f t="shared" si="51"/>
        <v>1.2367484165860293E-3</v>
      </c>
      <c r="W64" s="1"/>
      <c r="X64" s="1">
        <f t="shared" si="52"/>
        <v>-152.94999999999999</v>
      </c>
      <c r="Y64" s="1"/>
      <c r="Z64" s="5">
        <f t="shared" si="53"/>
        <v>-1</v>
      </c>
    </row>
    <row r="65" spans="1:26" s="24" customFormat="1" hidden="1" outlineLevel="2" x14ac:dyDescent="0.25">
      <c r="A65" s="25"/>
      <c r="B65" s="11" t="str">
        <f>CONCATENATE("          ", "6376", " - ", "TRAINING")</f>
        <v xml:space="preserve">          6376 - TRAINING</v>
      </c>
      <c r="C65" s="11"/>
      <c r="D65" s="6"/>
      <c r="E65" s="2"/>
      <c r="F65" s="7">
        <f t="shared" si="46"/>
        <v>0</v>
      </c>
      <c r="G65" s="2"/>
      <c r="H65" s="6"/>
      <c r="I65" s="2"/>
      <c r="J65" s="7">
        <f t="shared" si="47"/>
        <v>0</v>
      </c>
      <c r="K65" s="2"/>
      <c r="L65" s="6">
        <f t="shared" si="48"/>
        <v>0</v>
      </c>
      <c r="M65" s="2"/>
      <c r="N65" s="7">
        <f t="shared" si="49"/>
        <v>0</v>
      </c>
      <c r="O65" s="11"/>
      <c r="P65" s="6"/>
      <c r="Q65" s="2"/>
      <c r="R65" s="7">
        <f t="shared" si="50"/>
        <v>0</v>
      </c>
      <c r="S65" s="2"/>
      <c r="T65" s="6">
        <v>152.94999999999999</v>
      </c>
      <c r="U65" s="2"/>
      <c r="V65" s="7">
        <f t="shared" si="51"/>
        <v>1.2367484165860293E-3</v>
      </c>
      <c r="W65" s="2"/>
      <c r="X65" s="6">
        <f t="shared" si="52"/>
        <v>-152.94999999999999</v>
      </c>
      <c r="Y65" s="2"/>
      <c r="Z65" s="7">
        <f t="shared" si="53"/>
        <v>-1</v>
      </c>
    </row>
    <row r="66" spans="1:26" s="53" customFormat="1" x14ac:dyDescent="0.25">
      <c r="A66" s="37"/>
      <c r="B66" s="37"/>
      <c r="C66" s="37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7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x14ac:dyDescent="0.25">
      <c r="A67" s="10"/>
      <c r="B67" s="29" t="s">
        <v>0</v>
      </c>
      <c r="C67" s="10"/>
      <c r="D67" s="4">
        <f>SUM(0)</f>
        <v>0</v>
      </c>
      <c r="E67" s="4"/>
      <c r="F67" s="12">
        <f>IF(D$12=0,0,D67/D$12)</f>
        <v>0</v>
      </c>
      <c r="G67" s="4"/>
      <c r="H67" s="4">
        <f>SUM(0)</f>
        <v>0</v>
      </c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>
        <f>SUM(0)</f>
        <v>0</v>
      </c>
      <c r="Q67" s="4"/>
      <c r="R67" s="12">
        <f>IF(P$12=0,0,P67/P$12)</f>
        <v>0</v>
      </c>
      <c r="S67" s="4"/>
      <c r="T67" s="4">
        <f>SUM(0)</f>
        <v>0</v>
      </c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8" t="s">
        <v>3</v>
      </c>
      <c r="C69" s="28"/>
      <c r="D69" s="20">
        <f>+D20-D22+D67</f>
        <v>-119.55</v>
      </c>
      <c r="E69" s="14"/>
      <c r="F69" s="22">
        <f>IF(D$12=0,0,D69/D$12)</f>
        <v>0</v>
      </c>
      <c r="G69" s="14"/>
      <c r="H69" s="20">
        <f>+H20-H22+H67</f>
        <v>-5869.0900000000038</v>
      </c>
      <c r="I69" s="14"/>
      <c r="J69" s="22">
        <f>IF(H$12=0,0,H69/H$12)</f>
        <v>-0.23878677510162236</v>
      </c>
      <c r="K69" s="15"/>
      <c r="L69" s="20">
        <f>+D69-H69</f>
        <v>5749.5400000000036</v>
      </c>
      <c r="M69" s="15"/>
      <c r="N69" s="22">
        <f>IF(H69=0,0,L69/H69)</f>
        <v>-0.97963057305306267</v>
      </c>
      <c r="O69" s="29"/>
      <c r="P69" s="20">
        <f>+P20-P22+P67</f>
        <v>-1555.66</v>
      </c>
      <c r="Q69" s="14"/>
      <c r="R69" s="22">
        <f>IF(P$12=0,0,P69/P$12)</f>
        <v>0</v>
      </c>
      <c r="S69" s="14"/>
      <c r="T69" s="20">
        <f>+T20-T22+T67</f>
        <v>-28847.339999999997</v>
      </c>
      <c r="U69" s="14"/>
      <c r="V69" s="22">
        <f>IF(T$12=0,0,T69/T$12)</f>
        <v>-0.23325859475461799</v>
      </c>
      <c r="W69" s="15"/>
      <c r="X69" s="20">
        <f>+P69-T69</f>
        <v>27291.679999999997</v>
      </c>
      <c r="Y69" s="15"/>
      <c r="Z69" s="22">
        <f>IF(T69=0,0,X69/T69)</f>
        <v>-0.94607267082510904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1"/>
      <c r="B71" s="10" t="s">
        <v>13</v>
      </c>
      <c r="C71" s="10"/>
      <c r="D71" s="4"/>
      <c r="E71" s="4"/>
      <c r="F71" s="12">
        <f>IF(D$12=0,0,D71/D$12)</f>
        <v>0</v>
      </c>
      <c r="G71" s="4"/>
      <c r="H71" s="4">
        <v>3121.05</v>
      </c>
      <c r="I71" s="4"/>
      <c r="J71" s="12">
        <f>IF(H$12=0,0,H71/H$12)</f>
        <v>0.12698143399247891</v>
      </c>
      <c r="K71" s="4"/>
      <c r="L71" s="4">
        <f>+D71-H71</f>
        <v>-3121.05</v>
      </c>
      <c r="M71" s="4"/>
      <c r="N71" s="12">
        <f>IF(H71=0,0,L71/H71)</f>
        <v>-1</v>
      </c>
      <c r="O71" s="10"/>
      <c r="P71" s="4"/>
      <c r="Q71" s="4"/>
      <c r="R71" s="12">
        <f>IF(P$12=0,0,P71/P$12)</f>
        <v>0</v>
      </c>
      <c r="S71" s="4"/>
      <c r="T71" s="4">
        <v>13095.93</v>
      </c>
      <c r="U71" s="4"/>
      <c r="V71" s="12">
        <f>IF(T$12=0,0,T71/T$12)</f>
        <v>0.1058932376019711</v>
      </c>
      <c r="W71" s="4"/>
      <c r="X71" s="4">
        <f>+P71-T71</f>
        <v>-13095.93</v>
      </c>
      <c r="Y71" s="4"/>
      <c r="Z71" s="12">
        <f>IF(T71=0,0,X71/T71)</f>
        <v>-1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8" t="s">
        <v>4</v>
      </c>
      <c r="C73" s="28"/>
      <c r="D73" s="31">
        <f>+D69-D71</f>
        <v>-119.55</v>
      </c>
      <c r="E73" s="14"/>
      <c r="F73" s="34">
        <f>IF(D$12=0,0,D73/D$12)</f>
        <v>0</v>
      </c>
      <c r="G73" s="14"/>
      <c r="H73" s="31">
        <f>+H69-H71</f>
        <v>-8990.1400000000031</v>
      </c>
      <c r="I73" s="14"/>
      <c r="J73" s="34">
        <f>IF(H$12=0,0,H73/H$12)</f>
        <v>-0.36576820909410124</v>
      </c>
      <c r="K73" s="15"/>
      <c r="L73" s="31">
        <f>D73-H73</f>
        <v>8870.5900000000038</v>
      </c>
      <c r="M73" s="15"/>
      <c r="N73" s="34">
        <f>IF(H73=0,0,L73/H73)</f>
        <v>-0.98670209807633702</v>
      </c>
      <c r="O73" s="29"/>
      <c r="P73" s="31">
        <f>+P69-P71</f>
        <v>-1555.66</v>
      </c>
      <c r="Q73" s="14"/>
      <c r="R73" s="34">
        <f>IF(P$12=0,0,P73/P$12)</f>
        <v>0</v>
      </c>
      <c r="S73" s="14"/>
      <c r="T73" s="31">
        <f>+T69-T71</f>
        <v>-41943.27</v>
      </c>
      <c r="U73" s="14"/>
      <c r="V73" s="34">
        <f>IF(T$12=0,0,T73/T$12)</f>
        <v>-0.33915183235658908</v>
      </c>
      <c r="W73" s="15"/>
      <c r="X73" s="31">
        <f>P73-T73</f>
        <v>40387.609999999993</v>
      </c>
      <c r="Y73" s="15"/>
      <c r="Z73" s="34">
        <f>IF(T73=0,0,X73/T73)</f>
        <v>-0.96291037870914686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8" t="s">
        <v>5</v>
      </c>
      <c r="C76" s="28"/>
      <c r="D76" s="32">
        <f>SUM(D73:D75)</f>
        <v>-119.55</v>
      </c>
      <c r="E76" s="14"/>
      <c r="F76" s="30">
        <f>IF(D$12=0,0,D76/D$12)</f>
        <v>0</v>
      </c>
      <c r="G76" s="14"/>
      <c r="H76" s="32">
        <f>SUM(H73:H75)</f>
        <v>-8990.1400000000031</v>
      </c>
      <c r="I76" s="14"/>
      <c r="J76" s="30">
        <f>IF(H$12=0,0,H76/H$12)</f>
        <v>-0.36576820909410124</v>
      </c>
      <c r="K76" s="15"/>
      <c r="L76" s="32">
        <f>+D76-H76</f>
        <v>8870.5900000000038</v>
      </c>
      <c r="M76" s="15"/>
      <c r="N76" s="30">
        <f>IF(H76=0,0,L76/H76)</f>
        <v>-0.98670209807633702</v>
      </c>
      <c r="O76" s="29"/>
      <c r="P76" s="32">
        <f>SUM(P73:P75)</f>
        <v>-1555.66</v>
      </c>
      <c r="Q76" s="14"/>
      <c r="R76" s="30">
        <f>IF(P$12=0,0,P76/P$12)</f>
        <v>0</v>
      </c>
      <c r="S76" s="14"/>
      <c r="T76" s="32">
        <f>SUM(T73:T75)</f>
        <v>-41943.27</v>
      </c>
      <c r="U76" s="14"/>
      <c r="V76" s="30">
        <f>IF(T$12=0,0,T76/T$12)</f>
        <v>-0.33915183235658908</v>
      </c>
      <c r="W76" s="15"/>
      <c r="X76" s="32">
        <f>+P76-T76</f>
        <v>40387.609999999993</v>
      </c>
      <c r="Y76" s="15"/>
      <c r="Z76" s="30">
        <f>IF(T76=0,0,X76/T76)</f>
        <v>-0.96291037870914686</v>
      </c>
    </row>
    <row r="77" spans="1:26" ht="15.75" thickTop="1" x14ac:dyDescent="0.25">
      <c r="A77" s="9"/>
      <c r="C77" s="9"/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A78" s="9"/>
      <c r="B78" s="54">
        <v>44174.685907557869</v>
      </c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56" t="s">
        <v>313</v>
      </c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61"/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4:24" x14ac:dyDescent="0.25"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","411", " - ", "University Dining")</f>
        <v>Department 411 - University Dining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35067.669999999991</v>
      </c>
      <c r="E18" s="21"/>
      <c r="F18" s="35">
        <f t="shared" ref="F18:F28" si="0">IF(D$12=0,0,D18/D$12)</f>
        <v>0</v>
      </c>
      <c r="G18" s="21"/>
      <c r="H18" s="21">
        <f>SUM(OSRRefH22x_0)</f>
        <v>104677.00999999998</v>
      </c>
      <c r="I18" s="21"/>
      <c r="J18" s="35">
        <f t="shared" ref="J18:J28" si="1">IF(H$12=0,0,H18/H$12)</f>
        <v>0</v>
      </c>
      <c r="K18" s="4"/>
      <c r="L18" s="21">
        <f t="shared" ref="L18:L28" si="2">+D18-H18</f>
        <v>-69609.34</v>
      </c>
      <c r="M18" s="4"/>
      <c r="N18" s="35">
        <f t="shared" ref="N18:N28" si="3">IF(H18=0,0,L18/H18)</f>
        <v>-0.66499167295665029</v>
      </c>
      <c r="O18" s="10"/>
      <c r="P18" s="21">
        <f>SUM(OSRRefP22x_0)</f>
        <v>119199.39000000001</v>
      </c>
      <c r="Q18" s="21"/>
      <c r="R18" s="35">
        <f t="shared" ref="R18:R28" si="4">IF(P$12=0,0,P18/P$12)</f>
        <v>0</v>
      </c>
      <c r="S18" s="21"/>
      <c r="T18" s="21">
        <f>SUM(OSRRefT22x_0)</f>
        <v>483347.72</v>
      </c>
      <c r="U18" s="21"/>
      <c r="V18" s="35">
        <f t="shared" ref="V18:V28" si="5">IF(T$12=0,0,T18/T$12)</f>
        <v>0</v>
      </c>
      <c r="W18" s="4"/>
      <c r="X18" s="21">
        <f t="shared" ref="X18:X28" si="6">+P18-T18</f>
        <v>-364148.32999999996</v>
      </c>
      <c r="Y18" s="4"/>
      <c r="Z18" s="35">
        <f t="shared" ref="Z18:Z28" si="7">IF(T18=0,0,X18/T18)</f>
        <v>-0.75338791295012209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6583.2099999999991</v>
      </c>
      <c r="E19" s="1"/>
      <c r="F19" s="5">
        <f t="shared" si="0"/>
        <v>0</v>
      </c>
      <c r="G19" s="1"/>
      <c r="H19" s="1">
        <f>SUM(OSRRefH22_0x_0)</f>
        <v>10218.700000000001</v>
      </c>
      <c r="I19" s="1"/>
      <c r="J19" s="5">
        <f t="shared" si="1"/>
        <v>0</v>
      </c>
      <c r="K19" s="1"/>
      <c r="L19" s="1">
        <f t="shared" si="2"/>
        <v>-3635.4900000000016</v>
      </c>
      <c r="M19" s="1"/>
      <c r="N19" s="5">
        <f t="shared" si="3"/>
        <v>-0.35576834626713782</v>
      </c>
      <c r="O19" s="13"/>
      <c r="P19" s="1">
        <f>SUM(OSRRefP22_0x_0)</f>
        <v>31194.9</v>
      </c>
      <c r="Q19" s="1"/>
      <c r="R19" s="5">
        <f t="shared" si="4"/>
        <v>0</v>
      </c>
      <c r="S19" s="1"/>
      <c r="T19" s="1">
        <f>SUM(OSRRefT22_0x_0)</f>
        <v>56496.750000000007</v>
      </c>
      <c r="U19" s="1"/>
      <c r="V19" s="5">
        <f t="shared" si="5"/>
        <v>0</v>
      </c>
      <c r="W19" s="1"/>
      <c r="X19" s="1">
        <f t="shared" si="6"/>
        <v>-25301.850000000006</v>
      </c>
      <c r="Y19" s="1"/>
      <c r="Z19" s="5">
        <f t="shared" si="7"/>
        <v>-0.44784611504201571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277.02999999999997</v>
      </c>
      <c r="E20" s="2"/>
      <c r="F20" s="7">
        <f t="shared" si="0"/>
        <v>0</v>
      </c>
      <c r="G20" s="2"/>
      <c r="H20" s="6">
        <v>1896.75</v>
      </c>
      <c r="I20" s="2"/>
      <c r="J20" s="7">
        <f t="shared" si="1"/>
        <v>0</v>
      </c>
      <c r="K20" s="2"/>
      <c r="L20" s="6">
        <f t="shared" si="2"/>
        <v>-1619.72</v>
      </c>
      <c r="M20" s="2"/>
      <c r="N20" s="7">
        <f t="shared" si="3"/>
        <v>-0.85394490575985238</v>
      </c>
      <c r="O20" s="11"/>
      <c r="P20" s="6">
        <v>5175.59</v>
      </c>
      <c r="Q20" s="2"/>
      <c r="R20" s="7">
        <f t="shared" si="4"/>
        <v>0</v>
      </c>
      <c r="S20" s="2"/>
      <c r="T20" s="6">
        <v>12146.52</v>
      </c>
      <c r="U20" s="2"/>
      <c r="V20" s="7">
        <f t="shared" si="5"/>
        <v>0</v>
      </c>
      <c r="W20" s="2"/>
      <c r="X20" s="6">
        <f t="shared" si="6"/>
        <v>-6970.93</v>
      </c>
      <c r="Y20" s="2"/>
      <c r="Z20" s="7">
        <f t="shared" si="7"/>
        <v>-0.5739034719409345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94.86</v>
      </c>
      <c r="E21" s="2"/>
      <c r="F21" s="7">
        <f t="shared" si="0"/>
        <v>0</v>
      </c>
      <c r="G21" s="2"/>
      <c r="H21" s="6">
        <v>892.61</v>
      </c>
      <c r="I21" s="2"/>
      <c r="J21" s="7">
        <f t="shared" si="1"/>
        <v>0</v>
      </c>
      <c r="K21" s="2"/>
      <c r="L21" s="6">
        <f t="shared" si="2"/>
        <v>-797.75</v>
      </c>
      <c r="M21" s="2"/>
      <c r="N21" s="7">
        <f t="shared" si="3"/>
        <v>-0.89372738373981919</v>
      </c>
      <c r="O21" s="11"/>
      <c r="P21" s="6">
        <v>330.21</v>
      </c>
      <c r="Q21" s="2"/>
      <c r="R21" s="7">
        <f t="shared" si="4"/>
        <v>0</v>
      </c>
      <c r="S21" s="2"/>
      <c r="T21" s="6">
        <v>3480.35</v>
      </c>
      <c r="U21" s="2"/>
      <c r="V21" s="7">
        <f t="shared" si="5"/>
        <v>0</v>
      </c>
      <c r="W21" s="2"/>
      <c r="X21" s="6">
        <f t="shared" si="6"/>
        <v>-3150.14</v>
      </c>
      <c r="Y21" s="2"/>
      <c r="Z21" s="7">
        <f t="shared" si="7"/>
        <v>-0.9051216113321936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1950.75</v>
      </c>
      <c r="E22" s="2"/>
      <c r="F22" s="7">
        <f t="shared" si="0"/>
        <v>0</v>
      </c>
      <c r="G22" s="2"/>
      <c r="H22" s="6">
        <v>3654.92</v>
      </c>
      <c r="I22" s="2"/>
      <c r="J22" s="7">
        <f t="shared" si="1"/>
        <v>0</v>
      </c>
      <c r="K22" s="2"/>
      <c r="L22" s="6">
        <f t="shared" si="2"/>
        <v>-1704.17</v>
      </c>
      <c r="M22" s="2"/>
      <c r="N22" s="7">
        <f t="shared" si="3"/>
        <v>-0.46626738752147789</v>
      </c>
      <c r="O22" s="11"/>
      <c r="P22" s="6">
        <v>8619.7199999999993</v>
      </c>
      <c r="Q22" s="2"/>
      <c r="R22" s="7">
        <f t="shared" si="4"/>
        <v>0</v>
      </c>
      <c r="S22" s="2"/>
      <c r="T22" s="6">
        <v>18274.36</v>
      </c>
      <c r="U22" s="2"/>
      <c r="V22" s="7">
        <f t="shared" si="5"/>
        <v>0</v>
      </c>
      <c r="W22" s="2"/>
      <c r="X22" s="6">
        <f t="shared" si="6"/>
        <v>-9654.6400000000012</v>
      </c>
      <c r="Y22" s="2"/>
      <c r="Z22" s="7">
        <f t="shared" si="7"/>
        <v>-0.52831617632573735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74.739999999999995</v>
      </c>
      <c r="E23" s="2"/>
      <c r="F23" s="7">
        <f t="shared" si="0"/>
        <v>0</v>
      </c>
      <c r="G23" s="2"/>
      <c r="H23" s="6">
        <v>71.94</v>
      </c>
      <c r="I23" s="2"/>
      <c r="J23" s="7">
        <f t="shared" si="1"/>
        <v>0</v>
      </c>
      <c r="K23" s="2"/>
      <c r="L23" s="6">
        <f t="shared" si="2"/>
        <v>2.7999999999999972</v>
      </c>
      <c r="M23" s="2"/>
      <c r="N23" s="7">
        <f t="shared" si="3"/>
        <v>3.8921323324993012E-2</v>
      </c>
      <c r="O23" s="11"/>
      <c r="P23" s="6">
        <v>195.27</v>
      </c>
      <c r="Q23" s="2"/>
      <c r="R23" s="7">
        <f t="shared" si="4"/>
        <v>0</v>
      </c>
      <c r="S23" s="2"/>
      <c r="T23" s="6">
        <v>381.56</v>
      </c>
      <c r="U23" s="2"/>
      <c r="V23" s="7">
        <f t="shared" si="5"/>
        <v>0</v>
      </c>
      <c r="W23" s="2"/>
      <c r="X23" s="6">
        <f t="shared" si="6"/>
        <v>-186.29</v>
      </c>
      <c r="Y23" s="2"/>
      <c r="Z23" s="7">
        <f t="shared" si="7"/>
        <v>-0.48823251913198445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2560.39</v>
      </c>
      <c r="E24" s="2"/>
      <c r="F24" s="7">
        <f t="shared" si="0"/>
        <v>0</v>
      </c>
      <c r="G24" s="2"/>
      <c r="H24" s="6">
        <v>1227.27</v>
      </c>
      <c r="I24" s="2"/>
      <c r="J24" s="7">
        <f t="shared" si="1"/>
        <v>0</v>
      </c>
      <c r="K24" s="2"/>
      <c r="L24" s="6">
        <f t="shared" si="2"/>
        <v>1333.12</v>
      </c>
      <c r="M24" s="2"/>
      <c r="N24" s="7">
        <f t="shared" si="3"/>
        <v>1.0862483398111253</v>
      </c>
      <c r="O24" s="11"/>
      <c r="P24" s="6">
        <v>7766.16</v>
      </c>
      <c r="Q24" s="2"/>
      <c r="R24" s="7">
        <f t="shared" si="4"/>
        <v>0</v>
      </c>
      <c r="S24" s="2"/>
      <c r="T24" s="6">
        <v>7233.09</v>
      </c>
      <c r="U24" s="2"/>
      <c r="V24" s="7">
        <f t="shared" si="5"/>
        <v>0</v>
      </c>
      <c r="W24" s="2"/>
      <c r="X24" s="6">
        <f t="shared" si="6"/>
        <v>533.06999999999971</v>
      </c>
      <c r="Y24" s="2"/>
      <c r="Z24" s="7">
        <f t="shared" si="7"/>
        <v>7.3698792632194504E-2</v>
      </c>
    </row>
    <row r="25" spans="1:26" s="24" customFormat="1" hidden="1" outlineLevel="2" x14ac:dyDescent="0.25">
      <c r="A25" s="25"/>
      <c r="B25" s="11" t="str">
        <f>CONCATENATE("          ", "6117", " - ", "RETIREMENT STAFF HOURLY")</f>
        <v xml:space="preserve">          6117 - RETIREMENT STAFF HOURLY</v>
      </c>
      <c r="C25" s="11"/>
      <c r="D25" s="6"/>
      <c r="E25" s="2"/>
      <c r="F25" s="7">
        <f t="shared" si="0"/>
        <v>0</v>
      </c>
      <c r="G25" s="2"/>
      <c r="H25" s="6">
        <v>56</v>
      </c>
      <c r="I25" s="2"/>
      <c r="J25" s="7">
        <f t="shared" si="1"/>
        <v>0</v>
      </c>
      <c r="K25" s="2"/>
      <c r="L25" s="6">
        <f t="shared" si="2"/>
        <v>-56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308</v>
      </c>
      <c r="U25" s="2"/>
      <c r="V25" s="7">
        <f t="shared" si="5"/>
        <v>0</v>
      </c>
      <c r="W25" s="2"/>
      <c r="X25" s="6">
        <f t="shared" si="6"/>
        <v>-308</v>
      </c>
      <c r="Y25" s="2"/>
      <c r="Z25" s="7">
        <f t="shared" si="7"/>
        <v>-1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1022.52</v>
      </c>
      <c r="E26" s="2"/>
      <c r="F26" s="7">
        <f t="shared" si="0"/>
        <v>0</v>
      </c>
      <c r="G26" s="2"/>
      <c r="H26" s="6">
        <v>1401.17</v>
      </c>
      <c r="I26" s="2"/>
      <c r="J26" s="7">
        <f t="shared" si="1"/>
        <v>0</v>
      </c>
      <c r="K26" s="2"/>
      <c r="L26" s="6">
        <f t="shared" si="2"/>
        <v>-378.65000000000009</v>
      </c>
      <c r="M26" s="2"/>
      <c r="N26" s="7">
        <f t="shared" si="3"/>
        <v>-0.2702384435864314</v>
      </c>
      <c r="O26" s="11"/>
      <c r="P26" s="6">
        <v>5816</v>
      </c>
      <c r="Q26" s="2"/>
      <c r="R26" s="7">
        <f t="shared" si="4"/>
        <v>0</v>
      </c>
      <c r="S26" s="2"/>
      <c r="T26" s="6">
        <v>7715.76</v>
      </c>
      <c r="U26" s="2"/>
      <c r="V26" s="7">
        <f t="shared" si="5"/>
        <v>0</v>
      </c>
      <c r="W26" s="2"/>
      <c r="X26" s="6">
        <f t="shared" si="6"/>
        <v>-1899.7600000000002</v>
      </c>
      <c r="Y26" s="2"/>
      <c r="Z26" s="7">
        <f t="shared" si="7"/>
        <v>-0.24621813016475372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510.58</v>
      </c>
      <c r="E27" s="2"/>
      <c r="F27" s="7">
        <f t="shared" si="0"/>
        <v>0</v>
      </c>
      <c r="G27" s="2"/>
      <c r="H27" s="6">
        <v>716.34</v>
      </c>
      <c r="I27" s="2"/>
      <c r="J27" s="7">
        <f t="shared" si="1"/>
        <v>0</v>
      </c>
      <c r="K27" s="2"/>
      <c r="L27" s="6">
        <f t="shared" si="2"/>
        <v>-205.76000000000005</v>
      </c>
      <c r="M27" s="2"/>
      <c r="N27" s="7">
        <f t="shared" si="3"/>
        <v>-0.28723790378870373</v>
      </c>
      <c r="O27" s="11"/>
      <c r="P27" s="6">
        <v>2904.13</v>
      </c>
      <c r="Q27" s="2"/>
      <c r="R27" s="7">
        <f t="shared" si="4"/>
        <v>0</v>
      </c>
      <c r="S27" s="2"/>
      <c r="T27" s="6">
        <v>5186.0600000000004</v>
      </c>
      <c r="U27" s="2"/>
      <c r="V27" s="7">
        <f t="shared" si="5"/>
        <v>0</v>
      </c>
      <c r="W27" s="2"/>
      <c r="X27" s="6">
        <f t="shared" si="6"/>
        <v>-2281.9300000000003</v>
      </c>
      <c r="Y27" s="2"/>
      <c r="Z27" s="7">
        <f t="shared" si="7"/>
        <v>-0.4400122636452336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92.34</v>
      </c>
      <c r="E28" s="2"/>
      <c r="F28" s="7">
        <f t="shared" si="0"/>
        <v>0</v>
      </c>
      <c r="G28" s="2"/>
      <c r="H28" s="6">
        <v>301.7</v>
      </c>
      <c r="I28" s="2"/>
      <c r="J28" s="7">
        <f t="shared" si="1"/>
        <v>0</v>
      </c>
      <c r="K28" s="2"/>
      <c r="L28" s="6">
        <f t="shared" si="2"/>
        <v>-209.35999999999999</v>
      </c>
      <c r="M28" s="2"/>
      <c r="N28" s="7">
        <f t="shared" si="3"/>
        <v>-0.69393437189260854</v>
      </c>
      <c r="O28" s="11"/>
      <c r="P28" s="6">
        <v>387.82</v>
      </c>
      <c r="Q28" s="2"/>
      <c r="R28" s="7">
        <f t="shared" si="4"/>
        <v>0</v>
      </c>
      <c r="S28" s="2"/>
      <c r="T28" s="6">
        <v>1771.05</v>
      </c>
      <c r="U28" s="2"/>
      <c r="V28" s="7">
        <f t="shared" si="5"/>
        <v>0</v>
      </c>
      <c r="W28" s="2"/>
      <c r="X28" s="6">
        <f t="shared" si="6"/>
        <v>-1383.23</v>
      </c>
      <c r="Y28" s="2"/>
      <c r="Z28" s="7">
        <f t="shared" si="7"/>
        <v>-0.78102255724005532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10267.35</v>
      </c>
      <c r="E29" s="1"/>
      <c r="F29" s="5">
        <f t="shared" ref="F29:F35" si="8">IF(D$12=0,0,D29/D$12)</f>
        <v>0</v>
      </c>
      <c r="G29" s="1"/>
      <c r="H29" s="1">
        <f>SUM(OSRRefH22_1x_0)</f>
        <v>25163.07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-14895.72</v>
      </c>
      <c r="M29" s="1"/>
      <c r="N29" s="5">
        <f t="shared" ref="N29:N35" si="11">IF(H29=0,0,L29/H29)</f>
        <v>-0.59196751429773864</v>
      </c>
      <c r="O29" s="13"/>
      <c r="P29" s="1">
        <f>SUM(OSRRefP22_1x_0)</f>
        <v>56209.380000000005</v>
      </c>
      <c r="Q29" s="1"/>
      <c r="R29" s="5">
        <f t="shared" ref="R29:R35" si="12">IF(P$12=0,0,P29/P$12)</f>
        <v>0</v>
      </c>
      <c r="S29" s="1"/>
      <c r="T29" s="1">
        <f>SUM(OSRRefT22_1x_0)</f>
        <v>139357.35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-83147.97</v>
      </c>
      <c r="Y29" s="1"/>
      <c r="Z29" s="5">
        <f t="shared" ref="Z29:Z35" si="15">IF(T29=0,0,X29/T29)</f>
        <v>-0.59665292142825621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>
        <v>9962.35</v>
      </c>
      <c r="E30" s="2"/>
      <c r="F30" s="7">
        <f t="shared" si="8"/>
        <v>0</v>
      </c>
      <c r="G30" s="2"/>
      <c r="H30" s="6">
        <v>7932.5</v>
      </c>
      <c r="I30" s="2"/>
      <c r="J30" s="7">
        <f t="shared" si="9"/>
        <v>0</v>
      </c>
      <c r="K30" s="2"/>
      <c r="L30" s="6">
        <f t="shared" si="10"/>
        <v>2029.8500000000004</v>
      </c>
      <c r="M30" s="2"/>
      <c r="N30" s="7">
        <f t="shared" si="11"/>
        <v>0.25589032461393008</v>
      </c>
      <c r="O30" s="11"/>
      <c r="P30" s="6">
        <v>53824.380000000005</v>
      </c>
      <c r="Q30" s="2"/>
      <c r="R30" s="7">
        <f t="shared" si="12"/>
        <v>0</v>
      </c>
      <c r="S30" s="2"/>
      <c r="T30" s="6">
        <v>40543.85</v>
      </c>
      <c r="U30" s="2"/>
      <c r="V30" s="7">
        <f t="shared" si="13"/>
        <v>0</v>
      </c>
      <c r="W30" s="2"/>
      <c r="X30" s="6">
        <f t="shared" si="14"/>
        <v>13280.530000000006</v>
      </c>
      <c r="Y30" s="2"/>
      <c r="Z30" s="7">
        <f t="shared" si="15"/>
        <v>0.32755966687919391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4380.7700000000004</v>
      </c>
      <c r="I31" s="2"/>
      <c r="J31" s="7">
        <f t="shared" si="9"/>
        <v>0</v>
      </c>
      <c r="K31" s="2"/>
      <c r="L31" s="6">
        <f t="shared" si="10"/>
        <v>-4380.7700000000004</v>
      </c>
      <c r="M31" s="2"/>
      <c r="N31" s="7">
        <f t="shared" si="11"/>
        <v>-1</v>
      </c>
      <c r="O31" s="11"/>
      <c r="P31" s="6">
        <v>2080</v>
      </c>
      <c r="Q31" s="2"/>
      <c r="R31" s="7">
        <f t="shared" si="12"/>
        <v>0</v>
      </c>
      <c r="S31" s="2"/>
      <c r="T31" s="6">
        <v>22686.350000000002</v>
      </c>
      <c r="U31" s="2"/>
      <c r="V31" s="7">
        <f t="shared" si="13"/>
        <v>0</v>
      </c>
      <c r="W31" s="2"/>
      <c r="X31" s="6">
        <f t="shared" si="14"/>
        <v>-20606.350000000002</v>
      </c>
      <c r="Y31" s="2"/>
      <c r="Z31" s="7">
        <f t="shared" si="15"/>
        <v>-0.90831491183024149</v>
      </c>
    </row>
    <row r="32" spans="1:26" s="24" customFormat="1" hidden="1" outlineLevel="2" x14ac:dyDescent="0.25">
      <c r="A32" s="25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2307.1999999999998</v>
      </c>
      <c r="I32" s="2"/>
      <c r="J32" s="7">
        <f t="shared" si="9"/>
        <v>0</v>
      </c>
      <c r="K32" s="2"/>
      <c r="L32" s="6">
        <f t="shared" si="10"/>
        <v>-2307.1999999999998</v>
      </c>
      <c r="M32" s="2"/>
      <c r="N32" s="7">
        <f t="shared" si="11"/>
        <v>-1</v>
      </c>
      <c r="O32" s="11"/>
      <c r="P32" s="6"/>
      <c r="Q32" s="2"/>
      <c r="R32" s="7">
        <f t="shared" si="12"/>
        <v>0</v>
      </c>
      <c r="S32" s="2"/>
      <c r="T32" s="6">
        <v>11997.44</v>
      </c>
      <c r="U32" s="2"/>
      <c r="V32" s="7">
        <f t="shared" si="13"/>
        <v>0</v>
      </c>
      <c r="W32" s="2"/>
      <c r="X32" s="6">
        <f t="shared" si="14"/>
        <v>-11997.44</v>
      </c>
      <c r="Y32" s="2"/>
      <c r="Z32" s="7">
        <f t="shared" si="15"/>
        <v>-1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6">
        <v>305</v>
      </c>
      <c r="E33" s="2"/>
      <c r="F33" s="7">
        <f t="shared" si="8"/>
        <v>0</v>
      </c>
      <c r="G33" s="2"/>
      <c r="H33" s="6">
        <v>9385.6</v>
      </c>
      <c r="I33" s="2"/>
      <c r="J33" s="7">
        <f t="shared" si="9"/>
        <v>0</v>
      </c>
      <c r="K33" s="2"/>
      <c r="L33" s="6">
        <f t="shared" si="10"/>
        <v>-9080.6</v>
      </c>
      <c r="M33" s="2"/>
      <c r="N33" s="7">
        <f t="shared" si="11"/>
        <v>-0.96750340947834979</v>
      </c>
      <c r="O33" s="11"/>
      <c r="P33" s="6">
        <v>305</v>
      </c>
      <c r="Q33" s="2"/>
      <c r="R33" s="7">
        <f t="shared" si="12"/>
        <v>0</v>
      </c>
      <c r="S33" s="2"/>
      <c r="T33" s="6">
        <v>53558.89</v>
      </c>
      <c r="U33" s="2"/>
      <c r="V33" s="7">
        <f t="shared" si="13"/>
        <v>0</v>
      </c>
      <c r="W33" s="2"/>
      <c r="X33" s="6">
        <f t="shared" si="14"/>
        <v>-53253.89</v>
      </c>
      <c r="Y33" s="2"/>
      <c r="Z33" s="7">
        <f t="shared" si="15"/>
        <v>-0.9943053338110629</v>
      </c>
    </row>
    <row r="34" spans="1:26" s="24" customFormat="1" hidden="1" outlineLevel="2" x14ac:dyDescent="0.25">
      <c r="A34" s="25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1236.8800000000001</v>
      </c>
      <c r="U34" s="2"/>
      <c r="V34" s="7">
        <f t="shared" si="13"/>
        <v>0</v>
      </c>
      <c r="W34" s="2"/>
      <c r="X34" s="6">
        <f t="shared" si="14"/>
        <v>-1236.8800000000001</v>
      </c>
      <c r="Y34" s="2"/>
      <c r="Z34" s="7">
        <f t="shared" si="15"/>
        <v>-1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1157</v>
      </c>
      <c r="I35" s="2"/>
      <c r="J35" s="7">
        <f t="shared" si="9"/>
        <v>0</v>
      </c>
      <c r="K35" s="2"/>
      <c r="L35" s="6">
        <f t="shared" si="10"/>
        <v>-1157</v>
      </c>
      <c r="M35" s="2"/>
      <c r="N35" s="7">
        <f t="shared" si="11"/>
        <v>-1</v>
      </c>
      <c r="O35" s="11"/>
      <c r="P35" s="6"/>
      <c r="Q35" s="2"/>
      <c r="R35" s="7">
        <f t="shared" si="12"/>
        <v>0</v>
      </c>
      <c r="S35" s="2"/>
      <c r="T35" s="6">
        <v>9333.94</v>
      </c>
      <c r="U35" s="2"/>
      <c r="V35" s="7">
        <f t="shared" si="13"/>
        <v>0</v>
      </c>
      <c r="W35" s="2"/>
      <c r="X35" s="6">
        <f t="shared" si="14"/>
        <v>-9333.94</v>
      </c>
      <c r="Y35" s="2"/>
      <c r="Z35" s="7">
        <f t="shared" si="15"/>
        <v>-1</v>
      </c>
    </row>
    <row r="36" spans="1:26" s="26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3" si="16">IF(D$12=0,0,D36/D$12)</f>
        <v>0</v>
      </c>
      <c r="G36" s="1"/>
      <c r="H36" s="1">
        <f>SUM(OSRRefH22_2x_0)</f>
        <v>225.35</v>
      </c>
      <c r="I36" s="1"/>
      <c r="J36" s="5">
        <f t="shared" ref="J36:J43" si="17">IF(H$12=0,0,H36/H$12)</f>
        <v>0</v>
      </c>
      <c r="K36" s="1"/>
      <c r="L36" s="1">
        <f t="shared" ref="L36:L43" si="18">+D36-H36</f>
        <v>-225.35</v>
      </c>
      <c r="M36" s="1"/>
      <c r="N36" s="5">
        <f t="shared" ref="N36:N43" si="19">IF(H36=0,0,L36/H36)</f>
        <v>-1</v>
      </c>
      <c r="O36" s="13"/>
      <c r="P36" s="1">
        <f>SUM(OSRRefP22_2x_0)</f>
        <v>0</v>
      </c>
      <c r="Q36" s="1"/>
      <c r="R36" s="5">
        <f t="shared" ref="R36:R43" si="20">IF(P$12=0,0,P36/P$12)</f>
        <v>0</v>
      </c>
      <c r="S36" s="1"/>
      <c r="T36" s="1">
        <f>SUM(OSRRefT22_2x_0)</f>
        <v>2673.91</v>
      </c>
      <c r="U36" s="1"/>
      <c r="V36" s="5">
        <f t="shared" ref="V36:V43" si="21">IF(T$12=0,0,T36/T$12)</f>
        <v>0</v>
      </c>
      <c r="W36" s="1"/>
      <c r="X36" s="1">
        <f t="shared" ref="X36:X43" si="22">+P36-T36</f>
        <v>-2673.91</v>
      </c>
      <c r="Y36" s="1"/>
      <c r="Z36" s="5">
        <f t="shared" ref="Z36:Z43" si="23">IF(T36=0,0,X36/T36)</f>
        <v>-1</v>
      </c>
    </row>
    <row r="37" spans="1:26" s="24" customFormat="1" hidden="1" outlineLevel="2" x14ac:dyDescent="0.25">
      <c r="A37" s="25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16"/>
        <v>0</v>
      </c>
      <c r="G37" s="2"/>
      <c r="H37" s="6">
        <v>225.35</v>
      </c>
      <c r="I37" s="2"/>
      <c r="J37" s="7">
        <f t="shared" si="17"/>
        <v>0</v>
      </c>
      <c r="K37" s="2"/>
      <c r="L37" s="6">
        <f t="shared" si="18"/>
        <v>-225.35</v>
      </c>
      <c r="M37" s="2"/>
      <c r="N37" s="7">
        <f t="shared" si="19"/>
        <v>-1</v>
      </c>
      <c r="O37" s="11"/>
      <c r="P37" s="6"/>
      <c r="Q37" s="2"/>
      <c r="R37" s="7">
        <f t="shared" si="20"/>
        <v>0</v>
      </c>
      <c r="S37" s="2"/>
      <c r="T37" s="6">
        <v>2673.91</v>
      </c>
      <c r="U37" s="2"/>
      <c r="V37" s="7">
        <f t="shared" si="21"/>
        <v>0</v>
      </c>
      <c r="W37" s="2"/>
      <c r="X37" s="6">
        <f t="shared" si="22"/>
        <v>-2673.91</v>
      </c>
      <c r="Y37" s="2"/>
      <c r="Z37" s="7">
        <f t="shared" si="23"/>
        <v>-1</v>
      </c>
    </row>
    <row r="38" spans="1:26" s="26" customFormat="1" outlineLevel="1" collapsed="1" x14ac:dyDescent="0.25">
      <c r="A38" s="27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399.29</v>
      </c>
      <c r="E38" s="1"/>
      <c r="F38" s="5">
        <f t="shared" si="16"/>
        <v>0</v>
      </c>
      <c r="G38" s="1"/>
      <c r="H38" s="1">
        <f>SUM(OSRRefH22_3x_0)</f>
        <v>0</v>
      </c>
      <c r="I38" s="1"/>
      <c r="J38" s="5">
        <f t="shared" si="17"/>
        <v>0</v>
      </c>
      <c r="K38" s="1"/>
      <c r="L38" s="1">
        <f t="shared" si="18"/>
        <v>399.29</v>
      </c>
      <c r="M38" s="1"/>
      <c r="N38" s="5">
        <f t="shared" si="19"/>
        <v>0</v>
      </c>
      <c r="O38" s="13"/>
      <c r="P38" s="1">
        <f>SUM(OSRRefP22_3x_0)</f>
        <v>1825.95</v>
      </c>
      <c r="Q38" s="1"/>
      <c r="R38" s="5">
        <f t="shared" si="20"/>
        <v>0</v>
      </c>
      <c r="S38" s="1"/>
      <c r="T38" s="1">
        <f>SUM(OSRRefT22_3x_0)</f>
        <v>0</v>
      </c>
      <c r="U38" s="1"/>
      <c r="V38" s="5">
        <f t="shared" si="21"/>
        <v>0</v>
      </c>
      <c r="W38" s="1"/>
      <c r="X38" s="1">
        <f t="shared" si="22"/>
        <v>1825.95</v>
      </c>
      <c r="Y38" s="1"/>
      <c r="Z38" s="5">
        <f t="shared" si="23"/>
        <v>0</v>
      </c>
    </row>
    <row r="39" spans="1:26" s="24" customFormat="1" hidden="1" outlineLevel="2" x14ac:dyDescent="0.25">
      <c r="A39" s="25"/>
      <c r="B39" s="11" t="str">
        <f>CONCATENATE("          ", "6381", " - ", "BANK/CREDIT CARD FEES")</f>
        <v xml:space="preserve">          6381 - BANK/CREDIT CARD FEES</v>
      </c>
      <c r="C39" s="11"/>
      <c r="D39" s="6">
        <v>399.29</v>
      </c>
      <c r="E39" s="2"/>
      <c r="F39" s="7">
        <f t="shared" si="16"/>
        <v>0</v>
      </c>
      <c r="G39" s="2"/>
      <c r="H39" s="6"/>
      <c r="I39" s="2"/>
      <c r="J39" s="7">
        <f t="shared" si="17"/>
        <v>0</v>
      </c>
      <c r="K39" s="2"/>
      <c r="L39" s="6">
        <f t="shared" si="18"/>
        <v>399.29</v>
      </c>
      <c r="M39" s="2"/>
      <c r="N39" s="7">
        <f t="shared" si="19"/>
        <v>0</v>
      </c>
      <c r="O39" s="11"/>
      <c r="P39" s="6">
        <v>1825.95</v>
      </c>
      <c r="Q39" s="2"/>
      <c r="R39" s="7">
        <f t="shared" si="20"/>
        <v>0</v>
      </c>
      <c r="S39" s="2"/>
      <c r="T39" s="6"/>
      <c r="U39" s="2"/>
      <c r="V39" s="7">
        <f t="shared" si="21"/>
        <v>0</v>
      </c>
      <c r="W39" s="2"/>
      <c r="X39" s="6">
        <f t="shared" si="22"/>
        <v>1825.95</v>
      </c>
      <c r="Y39" s="2"/>
      <c r="Z39" s="7">
        <f t="shared" si="23"/>
        <v>0</v>
      </c>
    </row>
    <row r="40" spans="1:26" s="26" customFormat="1" outlineLevel="1" collapsed="1" x14ac:dyDescent="0.25">
      <c r="A40" s="27"/>
      <c r="B40" s="13" t="str">
        <f>CONCATENATE("     ","Depreciation                                      ")</f>
        <v xml:space="preserve">     Depreciation                                      </v>
      </c>
      <c r="C40" s="13"/>
      <c r="D40" s="1">
        <f>SUM(OSRRefD22_4x_0)</f>
        <v>6779.8600000000006</v>
      </c>
      <c r="E40" s="1"/>
      <c r="F40" s="5">
        <f t="shared" si="16"/>
        <v>0</v>
      </c>
      <c r="G40" s="1"/>
      <c r="H40" s="1">
        <f>SUM(OSRRefH22_4x_0)</f>
        <v>6821.6399999999994</v>
      </c>
      <c r="I40" s="1"/>
      <c r="J40" s="5">
        <f t="shared" si="17"/>
        <v>0</v>
      </c>
      <c r="K40" s="1"/>
      <c r="L40" s="1">
        <f t="shared" si="18"/>
        <v>-41.779999999998836</v>
      </c>
      <c r="M40" s="1"/>
      <c r="N40" s="5">
        <f t="shared" si="19"/>
        <v>-6.1246269225580414E-3</v>
      </c>
      <c r="O40" s="13"/>
      <c r="P40" s="1">
        <f>SUM(OSRRefP22_4x_0)</f>
        <v>34683.490000000005</v>
      </c>
      <c r="Q40" s="1"/>
      <c r="R40" s="5">
        <f t="shared" si="20"/>
        <v>0</v>
      </c>
      <c r="S40" s="1"/>
      <c r="T40" s="1">
        <f>SUM(OSRRefT22_4x_0)</f>
        <v>34108.199999999997</v>
      </c>
      <c r="U40" s="1"/>
      <c r="V40" s="5">
        <f t="shared" si="21"/>
        <v>0</v>
      </c>
      <c r="W40" s="1"/>
      <c r="X40" s="1">
        <f t="shared" si="22"/>
        <v>575.29000000000815</v>
      </c>
      <c r="Y40" s="1"/>
      <c r="Z40" s="5">
        <f t="shared" si="23"/>
        <v>1.6866618584387573E-2</v>
      </c>
    </row>
    <row r="41" spans="1:26" s="24" customFormat="1" hidden="1" outlineLevel="2" x14ac:dyDescent="0.25">
      <c r="A41" s="25"/>
      <c r="B41" s="11" t="str">
        <f>CONCATENATE("          ", "6321", " - ", "BUILDING DEPRECIATION")</f>
        <v xml:space="preserve">          6321 - BUILDING DEPRECIATION</v>
      </c>
      <c r="C41" s="11"/>
      <c r="D41" s="6">
        <v>1822.68</v>
      </c>
      <c r="E41" s="2"/>
      <c r="F41" s="7">
        <f t="shared" si="16"/>
        <v>0</v>
      </c>
      <c r="G41" s="2"/>
      <c r="H41" s="6">
        <v>2266.9499999999998</v>
      </c>
      <c r="I41" s="2"/>
      <c r="J41" s="7">
        <f t="shared" si="17"/>
        <v>0</v>
      </c>
      <c r="K41" s="2"/>
      <c r="L41" s="6">
        <f t="shared" si="18"/>
        <v>-444.26999999999975</v>
      </c>
      <c r="M41" s="2"/>
      <c r="N41" s="7">
        <f t="shared" si="19"/>
        <v>-0.19597697346655188</v>
      </c>
      <c r="O41" s="11"/>
      <c r="P41" s="6">
        <v>9897.59</v>
      </c>
      <c r="Q41" s="2"/>
      <c r="R41" s="7">
        <f t="shared" si="20"/>
        <v>0</v>
      </c>
      <c r="S41" s="2"/>
      <c r="T41" s="6">
        <v>11334.75</v>
      </c>
      <c r="U41" s="2"/>
      <c r="V41" s="7">
        <f t="shared" si="21"/>
        <v>0</v>
      </c>
      <c r="W41" s="2"/>
      <c r="X41" s="6">
        <f t="shared" si="22"/>
        <v>-1437.1599999999999</v>
      </c>
      <c r="Y41" s="2"/>
      <c r="Z41" s="7">
        <f t="shared" si="23"/>
        <v>-0.12679238624583691</v>
      </c>
    </row>
    <row r="42" spans="1:26" s="24" customFormat="1" hidden="1" outlineLevel="2" x14ac:dyDescent="0.25">
      <c r="A42" s="25"/>
      <c r="B42" s="11" t="str">
        <f>CONCATENATE("          ", "6322", " - ", "EQUIPMENT DEPRECIATION EXPENSE")</f>
        <v xml:space="preserve">          6322 - EQUIPMENT DEPRECIATION EXPENSE</v>
      </c>
      <c r="C42" s="11"/>
      <c r="D42" s="6">
        <v>4957.18</v>
      </c>
      <c r="E42" s="2"/>
      <c r="F42" s="7">
        <f t="shared" si="16"/>
        <v>0</v>
      </c>
      <c r="G42" s="2"/>
      <c r="H42" s="6">
        <v>4130.4399999999996</v>
      </c>
      <c r="I42" s="2"/>
      <c r="J42" s="7">
        <f t="shared" si="17"/>
        <v>0</v>
      </c>
      <c r="K42" s="2"/>
      <c r="L42" s="6">
        <f t="shared" si="18"/>
        <v>826.74000000000069</v>
      </c>
      <c r="M42" s="2"/>
      <c r="N42" s="7">
        <f t="shared" si="19"/>
        <v>0.20015785243218659</v>
      </c>
      <c r="O42" s="11"/>
      <c r="P42" s="6">
        <v>24785.9</v>
      </c>
      <c r="Q42" s="2"/>
      <c r="R42" s="7">
        <f t="shared" si="20"/>
        <v>0</v>
      </c>
      <c r="S42" s="2"/>
      <c r="T42" s="6">
        <v>20652.2</v>
      </c>
      <c r="U42" s="2"/>
      <c r="V42" s="7">
        <f t="shared" si="21"/>
        <v>0</v>
      </c>
      <c r="W42" s="2"/>
      <c r="X42" s="6">
        <f t="shared" si="22"/>
        <v>4133.7000000000007</v>
      </c>
      <c r="Y42" s="2"/>
      <c r="Z42" s="7">
        <f t="shared" si="23"/>
        <v>0.20015785243218642</v>
      </c>
    </row>
    <row r="43" spans="1:26" s="24" customFormat="1" hidden="1" outlineLevel="2" x14ac:dyDescent="0.25">
      <c r="A43" s="25"/>
      <c r="B43" s="11" t="str">
        <f>CONCATENATE("          ", "6326", " - ", "VEHICLES DEPRECIATION EXPENSE")</f>
        <v xml:space="preserve">          6326 - VEHICLES DEPRECIATION EXPENSE</v>
      </c>
      <c r="C43" s="11"/>
      <c r="D43" s="6"/>
      <c r="E43" s="2"/>
      <c r="F43" s="7">
        <f t="shared" si="16"/>
        <v>0</v>
      </c>
      <c r="G43" s="2"/>
      <c r="H43" s="6">
        <v>424.25</v>
      </c>
      <c r="I43" s="2"/>
      <c r="J43" s="7">
        <f t="shared" si="17"/>
        <v>0</v>
      </c>
      <c r="K43" s="2"/>
      <c r="L43" s="6">
        <f t="shared" si="18"/>
        <v>-424.25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2121.25</v>
      </c>
      <c r="U43" s="2"/>
      <c r="V43" s="7">
        <f t="shared" si="21"/>
        <v>0</v>
      </c>
      <c r="W43" s="2"/>
      <c r="X43" s="6">
        <f t="shared" si="22"/>
        <v>-2121.25</v>
      </c>
      <c r="Y43" s="2"/>
      <c r="Z43" s="7">
        <f t="shared" si="23"/>
        <v>-1</v>
      </c>
    </row>
    <row r="44" spans="1:26" s="26" customFormat="1" outlineLevel="1" collapsed="1" x14ac:dyDescent="0.25">
      <c r="A44" s="27"/>
      <c r="B44" s="13" t="str">
        <f>CONCATENATE("     ","Donations                                         ")</f>
        <v xml:space="preserve">     Donations                                         </v>
      </c>
      <c r="C44" s="13"/>
      <c r="D44" s="1">
        <f>SUM(OSRRefD22_5x_0)</f>
        <v>0</v>
      </c>
      <c r="E44" s="1"/>
      <c r="F44" s="5">
        <f t="shared" ref="F44:F60" si="24">IF(D$12=0,0,D44/D$12)</f>
        <v>0</v>
      </c>
      <c r="G44" s="1"/>
      <c r="H44" s="1">
        <f>SUM(OSRRefH22_5x_0)</f>
        <v>0</v>
      </c>
      <c r="I44" s="1"/>
      <c r="J44" s="5">
        <f t="shared" ref="J44:J60" si="25">IF(H$12=0,0,H44/H$12)</f>
        <v>0</v>
      </c>
      <c r="K44" s="1"/>
      <c r="L44" s="1">
        <f t="shared" ref="L44:L60" si="26">+D44-H44</f>
        <v>0</v>
      </c>
      <c r="M44" s="1"/>
      <c r="N44" s="5">
        <f t="shared" ref="N44:N60" si="27">IF(H44=0,0,L44/H44)</f>
        <v>0</v>
      </c>
      <c r="O44" s="13"/>
      <c r="P44" s="1">
        <f>SUM(OSRRefP22_5x_0)</f>
        <v>0</v>
      </c>
      <c r="Q44" s="1"/>
      <c r="R44" s="5">
        <f t="shared" ref="R44:R60" si="28">IF(P$12=0,0,P44/P$12)</f>
        <v>0</v>
      </c>
      <c r="S44" s="1"/>
      <c r="T44" s="1">
        <f>SUM(OSRRefT22_5x_0)</f>
        <v>163.68</v>
      </c>
      <c r="U44" s="1"/>
      <c r="V44" s="5">
        <f t="shared" ref="V44:V60" si="29">IF(T$12=0,0,T44/T$12)</f>
        <v>0</v>
      </c>
      <c r="W44" s="1"/>
      <c r="X44" s="1">
        <f t="shared" ref="X44:X60" si="30">+P44-T44</f>
        <v>-163.68</v>
      </c>
      <c r="Y44" s="1"/>
      <c r="Z44" s="5">
        <f t="shared" ref="Z44:Z60" si="31">IF(T44=0,0,X44/T44)</f>
        <v>-1</v>
      </c>
    </row>
    <row r="45" spans="1:26" s="24" customFormat="1" hidden="1" outlineLevel="2" x14ac:dyDescent="0.25">
      <c r="A45" s="25"/>
      <c r="B45" s="11" t="str">
        <f>CONCATENATE("          ", "6399", " - ", "DONATION-ON CAMPUS")</f>
        <v xml:space="preserve">          6399 - DONATION-ON CAMPUS</v>
      </c>
      <c r="C45" s="11"/>
      <c r="D45" s="6"/>
      <c r="E45" s="2"/>
      <c r="F45" s="7">
        <f t="shared" si="24"/>
        <v>0</v>
      </c>
      <c r="G45" s="2"/>
      <c r="H45" s="6"/>
      <c r="I45" s="2"/>
      <c r="J45" s="7">
        <f t="shared" si="25"/>
        <v>0</v>
      </c>
      <c r="K45" s="2"/>
      <c r="L45" s="6">
        <f t="shared" si="26"/>
        <v>0</v>
      </c>
      <c r="M45" s="2"/>
      <c r="N45" s="7">
        <f t="shared" si="27"/>
        <v>0</v>
      </c>
      <c r="O45" s="11"/>
      <c r="P45" s="6"/>
      <c r="Q45" s="2"/>
      <c r="R45" s="7">
        <f t="shared" si="28"/>
        <v>0</v>
      </c>
      <c r="S45" s="2"/>
      <c r="T45" s="6">
        <v>163.68</v>
      </c>
      <c r="U45" s="2"/>
      <c r="V45" s="7">
        <f t="shared" si="29"/>
        <v>0</v>
      </c>
      <c r="W45" s="2"/>
      <c r="X45" s="6">
        <f t="shared" si="30"/>
        <v>-163.68</v>
      </c>
      <c r="Y45" s="2"/>
      <c r="Z45" s="7">
        <f t="shared" si="31"/>
        <v>-1</v>
      </c>
    </row>
    <row r="46" spans="1:26" s="26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24"/>
        <v>0</v>
      </c>
      <c r="G46" s="1"/>
      <c r="H46" s="1">
        <f>SUM(OSRRefH22_6x_0)</f>
        <v>126.43</v>
      </c>
      <c r="I46" s="1"/>
      <c r="J46" s="5">
        <f t="shared" si="25"/>
        <v>0</v>
      </c>
      <c r="K46" s="1"/>
      <c r="L46" s="1">
        <f t="shared" si="26"/>
        <v>-126.43</v>
      </c>
      <c r="M46" s="1"/>
      <c r="N46" s="5">
        <f t="shared" si="27"/>
        <v>-1</v>
      </c>
      <c r="O46" s="13"/>
      <c r="P46" s="1">
        <f>SUM(OSRRefP22_6x_0)</f>
        <v>0</v>
      </c>
      <c r="Q46" s="1"/>
      <c r="R46" s="5">
        <f t="shared" si="28"/>
        <v>0</v>
      </c>
      <c r="S46" s="1"/>
      <c r="T46" s="1">
        <f>SUM(OSRRefT22_6x_0)</f>
        <v>319.14999999999998</v>
      </c>
      <c r="U46" s="1"/>
      <c r="V46" s="5">
        <f t="shared" si="29"/>
        <v>0</v>
      </c>
      <c r="W46" s="1"/>
      <c r="X46" s="1">
        <f t="shared" si="30"/>
        <v>-319.14999999999998</v>
      </c>
      <c r="Y46" s="1"/>
      <c r="Z46" s="5">
        <f t="shared" si="31"/>
        <v>-1</v>
      </c>
    </row>
    <row r="47" spans="1:26" s="24" customFormat="1" hidden="1" outlineLevel="2" x14ac:dyDescent="0.25">
      <c r="A47" s="25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4"/>
        <v>0</v>
      </c>
      <c r="G47" s="2"/>
      <c r="H47" s="6">
        <v>126.43</v>
      </c>
      <c r="I47" s="2"/>
      <c r="J47" s="7">
        <f t="shared" si="25"/>
        <v>0</v>
      </c>
      <c r="K47" s="2"/>
      <c r="L47" s="6">
        <f t="shared" si="26"/>
        <v>-126.43</v>
      </c>
      <c r="M47" s="2"/>
      <c r="N47" s="7">
        <f t="shared" si="27"/>
        <v>-1</v>
      </c>
      <c r="O47" s="11"/>
      <c r="P47" s="6"/>
      <c r="Q47" s="2"/>
      <c r="R47" s="7">
        <f t="shared" si="28"/>
        <v>0</v>
      </c>
      <c r="S47" s="2"/>
      <c r="T47" s="6">
        <v>319.14999999999998</v>
      </c>
      <c r="U47" s="2"/>
      <c r="V47" s="7">
        <f t="shared" si="29"/>
        <v>0</v>
      </c>
      <c r="W47" s="2"/>
      <c r="X47" s="6">
        <f t="shared" si="30"/>
        <v>-319.14999999999998</v>
      </c>
      <c r="Y47" s="2"/>
      <c r="Z47" s="7">
        <f t="shared" si="31"/>
        <v>-1</v>
      </c>
    </row>
    <row r="48" spans="1:26" s="26" customFormat="1" outlineLevel="1" collapsed="1" x14ac:dyDescent="0.25">
      <c r="A48" s="27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567</v>
      </c>
      <c r="E48" s="1"/>
      <c r="F48" s="5">
        <f t="shared" si="24"/>
        <v>0</v>
      </c>
      <c r="G48" s="1"/>
      <c r="H48" s="1">
        <f>SUM(OSRRefH22_7x_0)</f>
        <v>864.33</v>
      </c>
      <c r="I48" s="1"/>
      <c r="J48" s="5">
        <f t="shared" si="25"/>
        <v>0</v>
      </c>
      <c r="K48" s="1"/>
      <c r="L48" s="1">
        <f t="shared" si="26"/>
        <v>-297.33000000000004</v>
      </c>
      <c r="M48" s="1"/>
      <c r="N48" s="5">
        <f t="shared" si="27"/>
        <v>-0.34400055534344526</v>
      </c>
      <c r="O48" s="13"/>
      <c r="P48" s="1">
        <f>SUM(OSRRefP22_7x_0)</f>
        <v>2745.71</v>
      </c>
      <c r="Q48" s="1"/>
      <c r="R48" s="5">
        <f t="shared" si="28"/>
        <v>0</v>
      </c>
      <c r="S48" s="1"/>
      <c r="T48" s="1">
        <f>SUM(OSRRefT22_7x_0)</f>
        <v>5510.61</v>
      </c>
      <c r="U48" s="1"/>
      <c r="V48" s="5">
        <f t="shared" si="29"/>
        <v>0</v>
      </c>
      <c r="W48" s="1"/>
      <c r="X48" s="1">
        <f t="shared" si="30"/>
        <v>-2764.8999999999996</v>
      </c>
      <c r="Y48" s="1"/>
      <c r="Z48" s="5">
        <f t="shared" si="31"/>
        <v>-0.50174118654740574</v>
      </c>
    </row>
    <row r="49" spans="1:26" s="24" customFormat="1" hidden="1" outlineLevel="2" x14ac:dyDescent="0.25">
      <c r="A49" s="25"/>
      <c r="B49" s="11" t="str">
        <f>CONCATENATE("          ", "6351", " - ", "EQUIPMENT RENTAL")</f>
        <v xml:space="preserve">          6351 - EQUIPMENT RENTAL</v>
      </c>
      <c r="C49" s="11"/>
      <c r="D49" s="6">
        <v>567</v>
      </c>
      <c r="E49" s="2"/>
      <c r="F49" s="7">
        <f t="shared" si="24"/>
        <v>0</v>
      </c>
      <c r="G49" s="2"/>
      <c r="H49" s="6">
        <v>864.33</v>
      </c>
      <c r="I49" s="2"/>
      <c r="J49" s="7">
        <f t="shared" si="25"/>
        <v>0</v>
      </c>
      <c r="K49" s="2"/>
      <c r="L49" s="6">
        <f t="shared" si="26"/>
        <v>-297.33000000000004</v>
      </c>
      <c r="M49" s="2"/>
      <c r="N49" s="7">
        <f t="shared" si="27"/>
        <v>-0.34400055534344526</v>
      </c>
      <c r="O49" s="11"/>
      <c r="P49" s="6">
        <v>2745.71</v>
      </c>
      <c r="Q49" s="2"/>
      <c r="R49" s="7">
        <f t="shared" si="28"/>
        <v>0</v>
      </c>
      <c r="S49" s="2"/>
      <c r="T49" s="6">
        <v>5510.61</v>
      </c>
      <c r="U49" s="2"/>
      <c r="V49" s="7">
        <f t="shared" si="29"/>
        <v>0</v>
      </c>
      <c r="W49" s="2"/>
      <c r="X49" s="6">
        <f t="shared" si="30"/>
        <v>-2764.8999999999996</v>
      </c>
      <c r="Y49" s="2"/>
      <c r="Z49" s="7">
        <f t="shared" si="31"/>
        <v>-0.50174118654740574</v>
      </c>
    </row>
    <row r="50" spans="1:26" s="26" customFormat="1" outlineLevel="1" collapsed="1" x14ac:dyDescent="0.25">
      <c r="A50" s="27"/>
      <c r="B50" s="13" t="str">
        <f>CONCATENATE("     ","Freight out/Postage                               ")</f>
        <v xml:space="preserve">     Freight out/Postage                               </v>
      </c>
      <c r="C50" s="13"/>
      <c r="D50" s="1">
        <f>SUM(OSRRefD22_8x_0)</f>
        <v>0</v>
      </c>
      <c r="E50" s="1"/>
      <c r="F50" s="5">
        <f t="shared" si="24"/>
        <v>0</v>
      </c>
      <c r="G50" s="1"/>
      <c r="H50" s="1">
        <f>SUM(OSRRefH22_8x_0)</f>
        <v>0</v>
      </c>
      <c r="I50" s="1"/>
      <c r="J50" s="5">
        <f t="shared" si="25"/>
        <v>0</v>
      </c>
      <c r="K50" s="1"/>
      <c r="L50" s="1">
        <f t="shared" si="26"/>
        <v>0</v>
      </c>
      <c r="M50" s="1"/>
      <c r="N50" s="5">
        <f t="shared" si="27"/>
        <v>0</v>
      </c>
      <c r="O50" s="13"/>
      <c r="P50" s="1">
        <f>SUM(OSRRefP22_8x_0)</f>
        <v>-5.41</v>
      </c>
      <c r="Q50" s="1"/>
      <c r="R50" s="5">
        <f t="shared" si="28"/>
        <v>0</v>
      </c>
      <c r="S50" s="1"/>
      <c r="T50" s="1">
        <f>SUM(OSRRefT22_8x_0)</f>
        <v>0</v>
      </c>
      <c r="U50" s="1"/>
      <c r="V50" s="5">
        <f t="shared" si="29"/>
        <v>0</v>
      </c>
      <c r="W50" s="1"/>
      <c r="X50" s="1">
        <f t="shared" si="30"/>
        <v>-5.41</v>
      </c>
      <c r="Y50" s="1"/>
      <c r="Z50" s="5">
        <f t="shared" si="31"/>
        <v>0</v>
      </c>
    </row>
    <row r="51" spans="1:26" s="24" customFormat="1" hidden="1" outlineLevel="2" x14ac:dyDescent="0.25">
      <c r="A51" s="25"/>
      <c r="B51" s="11" t="str">
        <f>CONCATENATE("          ", "6307", " - ", "POSTAGE")</f>
        <v xml:space="preserve">          6307 - POSTAGE</v>
      </c>
      <c r="C51" s="11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1"/>
      <c r="P51" s="6">
        <v>-5.41</v>
      </c>
      <c r="Q51" s="2"/>
      <c r="R51" s="7">
        <f t="shared" si="28"/>
        <v>0</v>
      </c>
      <c r="S51" s="2"/>
      <c r="T51" s="6"/>
      <c r="U51" s="2"/>
      <c r="V51" s="7">
        <f t="shared" si="29"/>
        <v>0</v>
      </c>
      <c r="W51" s="2"/>
      <c r="X51" s="6">
        <f t="shared" si="30"/>
        <v>-5.41</v>
      </c>
      <c r="Y51" s="2"/>
      <c r="Z51" s="7">
        <f t="shared" si="31"/>
        <v>0</v>
      </c>
    </row>
    <row r="52" spans="1:26" s="26" customFormat="1" outlineLevel="1" collapsed="1" x14ac:dyDescent="0.25">
      <c r="A52" s="27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SUM(OSRRefD22_9x_0)</f>
        <v>0</v>
      </c>
      <c r="E52" s="1"/>
      <c r="F52" s="5">
        <f t="shared" si="24"/>
        <v>0</v>
      </c>
      <c r="G52" s="1"/>
      <c r="H52" s="1">
        <f>SUM(OSRRefH22_9x_0)</f>
        <v>18889.79</v>
      </c>
      <c r="I52" s="1"/>
      <c r="J52" s="5">
        <f t="shared" si="25"/>
        <v>0</v>
      </c>
      <c r="K52" s="1"/>
      <c r="L52" s="1">
        <f t="shared" si="26"/>
        <v>-18889.79</v>
      </c>
      <c r="M52" s="1"/>
      <c r="N52" s="5">
        <f t="shared" si="27"/>
        <v>-1</v>
      </c>
      <c r="O52" s="13"/>
      <c r="P52" s="1">
        <f>SUM(OSRRefP22_9x_0)</f>
        <v>0</v>
      </c>
      <c r="Q52" s="1"/>
      <c r="R52" s="5">
        <f t="shared" si="28"/>
        <v>0</v>
      </c>
      <c r="S52" s="1"/>
      <c r="T52" s="1">
        <f>SUM(OSRRefT22_9x_0)</f>
        <v>20026.230000000003</v>
      </c>
      <c r="U52" s="1"/>
      <c r="V52" s="5">
        <f t="shared" si="29"/>
        <v>0</v>
      </c>
      <c r="W52" s="1"/>
      <c r="X52" s="1">
        <f t="shared" si="30"/>
        <v>-20026.230000000003</v>
      </c>
      <c r="Y52" s="1"/>
      <c r="Z52" s="5">
        <f t="shared" si="31"/>
        <v>-1</v>
      </c>
    </row>
    <row r="53" spans="1:26" s="24" customFormat="1" hidden="1" outlineLevel="2" x14ac:dyDescent="0.25">
      <c r="A53" s="25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24"/>
        <v>0</v>
      </c>
      <c r="G53" s="2"/>
      <c r="H53" s="6">
        <v>18889.79</v>
      </c>
      <c r="I53" s="2"/>
      <c r="J53" s="7">
        <f t="shared" si="25"/>
        <v>0</v>
      </c>
      <c r="K53" s="2"/>
      <c r="L53" s="6">
        <f t="shared" si="26"/>
        <v>-18889.79</v>
      </c>
      <c r="M53" s="2"/>
      <c r="N53" s="7">
        <f t="shared" si="27"/>
        <v>-1</v>
      </c>
      <c r="O53" s="11"/>
      <c r="P53" s="6"/>
      <c r="Q53" s="2"/>
      <c r="R53" s="7">
        <f t="shared" si="28"/>
        <v>0</v>
      </c>
      <c r="S53" s="2"/>
      <c r="T53" s="6">
        <v>20026.230000000003</v>
      </c>
      <c r="U53" s="2"/>
      <c r="V53" s="7">
        <f t="shared" si="29"/>
        <v>0</v>
      </c>
      <c r="W53" s="2"/>
      <c r="X53" s="6">
        <f t="shared" si="30"/>
        <v>-20026.230000000003</v>
      </c>
      <c r="Y53" s="2"/>
      <c r="Z53" s="7">
        <f t="shared" si="31"/>
        <v>-1</v>
      </c>
    </row>
    <row r="54" spans="1:26" s="26" customFormat="1" outlineLevel="1" collapsed="1" x14ac:dyDescent="0.25">
      <c r="A54" s="27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SUM(OSRRefD22_10x_0)</f>
        <v>3598.85</v>
      </c>
      <c r="E54" s="1"/>
      <c r="F54" s="5">
        <f t="shared" si="24"/>
        <v>0</v>
      </c>
      <c r="G54" s="1"/>
      <c r="H54" s="1">
        <f>SUM(OSRRefH22_10x_0)</f>
        <v>3598.85</v>
      </c>
      <c r="I54" s="1"/>
      <c r="J54" s="5">
        <f t="shared" si="25"/>
        <v>0</v>
      </c>
      <c r="K54" s="1"/>
      <c r="L54" s="1">
        <f t="shared" si="26"/>
        <v>0</v>
      </c>
      <c r="M54" s="1"/>
      <c r="N54" s="5">
        <f t="shared" si="27"/>
        <v>0</v>
      </c>
      <c r="O54" s="13"/>
      <c r="P54" s="1">
        <f>SUM(OSRRefP22_10x_0)</f>
        <v>24106.25</v>
      </c>
      <c r="Q54" s="1"/>
      <c r="R54" s="5">
        <f t="shared" si="28"/>
        <v>0</v>
      </c>
      <c r="S54" s="1"/>
      <c r="T54" s="1">
        <f>SUM(OSRRefT22_10x_0)</f>
        <v>17994.25</v>
      </c>
      <c r="U54" s="1"/>
      <c r="V54" s="5">
        <f t="shared" si="29"/>
        <v>0</v>
      </c>
      <c r="W54" s="1"/>
      <c r="X54" s="1">
        <f t="shared" si="30"/>
        <v>6112</v>
      </c>
      <c r="Y54" s="1"/>
      <c r="Z54" s="5">
        <f t="shared" si="31"/>
        <v>0.3396640593522931</v>
      </c>
    </row>
    <row r="55" spans="1:26" s="24" customFormat="1" hidden="1" outlineLevel="2" x14ac:dyDescent="0.25">
      <c r="A55" s="25"/>
      <c r="B55" s="11" t="str">
        <f>CONCATENATE("          ", "6314", " - ", "LIABILITY INSURANCE")</f>
        <v xml:space="preserve">          6314 - LIABILITY INSURANCE</v>
      </c>
      <c r="C55" s="11"/>
      <c r="D55" s="6">
        <v>3598.85</v>
      </c>
      <c r="E55" s="2"/>
      <c r="F55" s="7">
        <f t="shared" si="24"/>
        <v>0</v>
      </c>
      <c r="G55" s="2"/>
      <c r="H55" s="6">
        <v>3598.85</v>
      </c>
      <c r="I55" s="2"/>
      <c r="J55" s="7">
        <f t="shared" si="25"/>
        <v>0</v>
      </c>
      <c r="K55" s="2"/>
      <c r="L55" s="6">
        <f t="shared" si="26"/>
        <v>0</v>
      </c>
      <c r="M55" s="2"/>
      <c r="N55" s="7">
        <f t="shared" si="27"/>
        <v>0</v>
      </c>
      <c r="O55" s="11"/>
      <c r="P55" s="6">
        <v>24106.25</v>
      </c>
      <c r="Q55" s="2"/>
      <c r="R55" s="7">
        <f t="shared" si="28"/>
        <v>0</v>
      </c>
      <c r="S55" s="2"/>
      <c r="T55" s="6">
        <v>17994.25</v>
      </c>
      <c r="U55" s="2"/>
      <c r="V55" s="7">
        <f t="shared" si="29"/>
        <v>0</v>
      </c>
      <c r="W55" s="2"/>
      <c r="X55" s="6">
        <f t="shared" si="30"/>
        <v>6112</v>
      </c>
      <c r="Y55" s="2"/>
      <c r="Z55" s="7">
        <f t="shared" si="31"/>
        <v>0.3396640593522931</v>
      </c>
    </row>
    <row r="56" spans="1:26" s="26" customFormat="1" outlineLevel="1" collapsed="1" x14ac:dyDescent="0.25">
      <c r="A56" s="27"/>
      <c r="B56" s="13" t="str">
        <f>CONCATENATE("     ","Professional Services                             ")</f>
        <v xml:space="preserve">     Professional Services                             </v>
      </c>
      <c r="C56" s="13"/>
      <c r="D56" s="1">
        <f>SUM(OSRRefD22_11x_0)</f>
        <v>0</v>
      </c>
      <c r="E56" s="1"/>
      <c r="F56" s="5">
        <f t="shared" si="24"/>
        <v>0</v>
      </c>
      <c r="G56" s="1"/>
      <c r="H56" s="1">
        <f>SUM(OSRRefH22_11x_0)</f>
        <v>0</v>
      </c>
      <c r="I56" s="1"/>
      <c r="J56" s="5">
        <f t="shared" si="25"/>
        <v>0</v>
      </c>
      <c r="K56" s="1"/>
      <c r="L56" s="1">
        <f t="shared" si="26"/>
        <v>0</v>
      </c>
      <c r="M56" s="1"/>
      <c r="N56" s="5">
        <f t="shared" si="27"/>
        <v>0</v>
      </c>
      <c r="O56" s="13"/>
      <c r="P56" s="1">
        <f>SUM(OSRRefP22_11x_0)</f>
        <v>0</v>
      </c>
      <c r="Q56" s="1"/>
      <c r="R56" s="5">
        <f t="shared" si="28"/>
        <v>0</v>
      </c>
      <c r="S56" s="1"/>
      <c r="T56" s="1">
        <f>SUM(OSRRefT22_11x_0)</f>
        <v>125</v>
      </c>
      <c r="U56" s="1"/>
      <c r="V56" s="5">
        <f t="shared" si="29"/>
        <v>0</v>
      </c>
      <c r="W56" s="1"/>
      <c r="X56" s="1">
        <f t="shared" si="30"/>
        <v>-125</v>
      </c>
      <c r="Y56" s="1"/>
      <c r="Z56" s="5">
        <f t="shared" si="31"/>
        <v>-1</v>
      </c>
    </row>
    <row r="57" spans="1:26" s="24" customFormat="1" hidden="1" outlineLevel="2" x14ac:dyDescent="0.25">
      <c r="A57" s="25"/>
      <c r="B57" s="11" t="str">
        <f>CONCATENATE("          ", "6336", " - ", "PROFESSIONAL SERVICES")</f>
        <v xml:space="preserve">          6336 - PROFESSIONAL SERVICES</v>
      </c>
      <c r="C57" s="11"/>
      <c r="D57" s="6"/>
      <c r="E57" s="2"/>
      <c r="F57" s="7">
        <f t="shared" si="24"/>
        <v>0</v>
      </c>
      <c r="G57" s="2"/>
      <c r="H57" s="6"/>
      <c r="I57" s="2"/>
      <c r="J57" s="7">
        <f t="shared" si="25"/>
        <v>0</v>
      </c>
      <c r="K57" s="2"/>
      <c r="L57" s="6">
        <f t="shared" si="26"/>
        <v>0</v>
      </c>
      <c r="M57" s="2"/>
      <c r="N57" s="7">
        <f t="shared" si="27"/>
        <v>0</v>
      </c>
      <c r="O57" s="11"/>
      <c r="P57" s="6"/>
      <c r="Q57" s="2"/>
      <c r="R57" s="7">
        <f t="shared" si="28"/>
        <v>0</v>
      </c>
      <c r="S57" s="2"/>
      <c r="T57" s="6">
        <v>125</v>
      </c>
      <c r="U57" s="2"/>
      <c r="V57" s="7">
        <f t="shared" si="29"/>
        <v>0</v>
      </c>
      <c r="W57" s="2"/>
      <c r="X57" s="6">
        <f t="shared" si="30"/>
        <v>-125</v>
      </c>
      <c r="Y57" s="2"/>
      <c r="Z57" s="7">
        <f t="shared" si="31"/>
        <v>-1</v>
      </c>
    </row>
    <row r="58" spans="1:26" s="26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SUM(OSRRefD22_12x_0)</f>
        <v>1475.01</v>
      </c>
      <c r="E58" s="1"/>
      <c r="F58" s="5">
        <f t="shared" si="24"/>
        <v>0</v>
      </c>
      <c r="G58" s="1"/>
      <c r="H58" s="1">
        <f>SUM(OSRRefH22_12x_0)</f>
        <v>5349.65</v>
      </c>
      <c r="I58" s="1"/>
      <c r="J58" s="5">
        <f t="shared" si="25"/>
        <v>0</v>
      </c>
      <c r="K58" s="1"/>
      <c r="L58" s="1">
        <f t="shared" si="26"/>
        <v>-3874.6399999999994</v>
      </c>
      <c r="M58" s="1"/>
      <c r="N58" s="5">
        <f t="shared" si="27"/>
        <v>-0.7242791584496181</v>
      </c>
      <c r="O58" s="13"/>
      <c r="P58" s="1">
        <f>SUM(OSRRefP22_12x_0)</f>
        <v>2304.36</v>
      </c>
      <c r="Q58" s="1"/>
      <c r="R58" s="5">
        <f t="shared" si="28"/>
        <v>0</v>
      </c>
      <c r="S58" s="1"/>
      <c r="T58" s="1">
        <f>SUM(OSRRefT22_12x_0)</f>
        <v>48917.56</v>
      </c>
      <c r="U58" s="1"/>
      <c r="V58" s="5">
        <f t="shared" si="29"/>
        <v>0</v>
      </c>
      <c r="W58" s="1"/>
      <c r="X58" s="1">
        <f t="shared" si="30"/>
        <v>-46613.2</v>
      </c>
      <c r="Y58" s="1"/>
      <c r="Z58" s="5">
        <f t="shared" si="31"/>
        <v>-0.9528929897566436</v>
      </c>
    </row>
    <row r="59" spans="1:26" s="24" customFormat="1" hidden="1" outlineLevel="2" x14ac:dyDescent="0.25">
      <c r="A59" s="25"/>
      <c r="B59" s="11" t="str">
        <f>CONCATENATE("          ", "6373", " - ", "MAINTENANCE CONTRACTS")</f>
        <v xml:space="preserve">          6373 - MAINTENANCE CONTRACTS</v>
      </c>
      <c r="C59" s="11"/>
      <c r="D59" s="6">
        <v>900.01</v>
      </c>
      <c r="E59" s="2"/>
      <c r="F59" s="7">
        <f t="shared" si="24"/>
        <v>0</v>
      </c>
      <c r="G59" s="2"/>
      <c r="H59" s="6">
        <v>5017.1499999999996</v>
      </c>
      <c r="I59" s="2"/>
      <c r="J59" s="7">
        <f t="shared" si="25"/>
        <v>0</v>
      </c>
      <c r="K59" s="2"/>
      <c r="L59" s="6">
        <f t="shared" si="26"/>
        <v>-4117.1399999999994</v>
      </c>
      <c r="M59" s="2"/>
      <c r="N59" s="7">
        <f t="shared" si="27"/>
        <v>-0.82061329639337066</v>
      </c>
      <c r="O59" s="11"/>
      <c r="P59" s="6">
        <v>1691.9</v>
      </c>
      <c r="Q59" s="2"/>
      <c r="R59" s="7">
        <f t="shared" si="28"/>
        <v>0</v>
      </c>
      <c r="S59" s="2"/>
      <c r="T59" s="6">
        <v>29211.14</v>
      </c>
      <c r="U59" s="2"/>
      <c r="V59" s="7">
        <f t="shared" si="29"/>
        <v>0</v>
      </c>
      <c r="W59" s="2"/>
      <c r="X59" s="6">
        <f t="shared" si="30"/>
        <v>-27519.239999999998</v>
      </c>
      <c r="Y59" s="2"/>
      <c r="Z59" s="7">
        <f t="shared" si="31"/>
        <v>-0.94208031593426333</v>
      </c>
    </row>
    <row r="60" spans="1:26" s="24" customFormat="1" hidden="1" outlineLevel="2" x14ac:dyDescent="0.25">
      <c r="A60" s="25"/>
      <c r="B60" s="11" t="str">
        <f>CONCATENATE("          ", "6375", " - ", "OUTSIDE REPAIRS &amp; MAINTENANCE")</f>
        <v xml:space="preserve">          6375 - OUTSIDE REPAIRS &amp; MAINTENANCE</v>
      </c>
      <c r="C60" s="11"/>
      <c r="D60" s="6">
        <v>575</v>
      </c>
      <c r="E60" s="2"/>
      <c r="F60" s="7">
        <f t="shared" si="24"/>
        <v>0</v>
      </c>
      <c r="G60" s="2"/>
      <c r="H60" s="6">
        <v>332.5</v>
      </c>
      <c r="I60" s="2"/>
      <c r="J60" s="7">
        <f t="shared" si="25"/>
        <v>0</v>
      </c>
      <c r="K60" s="2"/>
      <c r="L60" s="6">
        <f t="shared" si="26"/>
        <v>242.5</v>
      </c>
      <c r="M60" s="2"/>
      <c r="N60" s="7">
        <f t="shared" si="27"/>
        <v>0.72932330827067671</v>
      </c>
      <c r="O60" s="11"/>
      <c r="P60" s="6">
        <v>612.46</v>
      </c>
      <c r="Q60" s="2"/>
      <c r="R60" s="7">
        <f t="shared" si="28"/>
        <v>0</v>
      </c>
      <c r="S60" s="2"/>
      <c r="T60" s="6">
        <v>19706.419999999998</v>
      </c>
      <c r="U60" s="2"/>
      <c r="V60" s="7">
        <f t="shared" si="29"/>
        <v>0</v>
      </c>
      <c r="W60" s="2"/>
      <c r="X60" s="6">
        <f t="shared" si="30"/>
        <v>-19093.96</v>
      </c>
      <c r="Y60" s="2"/>
      <c r="Z60" s="7">
        <f t="shared" si="31"/>
        <v>-0.96892078825073258</v>
      </c>
    </row>
    <row r="61" spans="1:26" s="26" customFormat="1" outlineLevel="1" collapsed="1" x14ac:dyDescent="0.25">
      <c r="A61" s="27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SUM(OSRRefD22_13x_0)</f>
        <v>4254</v>
      </c>
      <c r="E61" s="1"/>
      <c r="F61" s="5">
        <f t="shared" ref="F61:F66" si="32">IF(D$12=0,0,D61/D$12)</f>
        <v>0</v>
      </c>
      <c r="G61" s="1"/>
      <c r="H61" s="1">
        <f>SUM(OSRRefH22_13x_0)</f>
        <v>14496.82</v>
      </c>
      <c r="I61" s="1"/>
      <c r="J61" s="5">
        <f t="shared" ref="J61:J66" si="33">IF(H$12=0,0,H61/H$12)</f>
        <v>0</v>
      </c>
      <c r="K61" s="1"/>
      <c r="L61" s="1">
        <f t="shared" ref="L61:L66" si="34">+D61-H61</f>
        <v>-10242.82</v>
      </c>
      <c r="M61" s="1"/>
      <c r="N61" s="5">
        <f t="shared" ref="N61:N66" si="35">IF(H61=0,0,L61/H61)</f>
        <v>-0.70655633442368737</v>
      </c>
      <c r="O61" s="13"/>
      <c r="P61" s="1">
        <f>SUM(OSRRefP22_13x_0)</f>
        <v>8508</v>
      </c>
      <c r="Q61" s="1"/>
      <c r="R61" s="5">
        <f t="shared" ref="R61:R66" si="36">IF(P$12=0,0,P61/P$12)</f>
        <v>0</v>
      </c>
      <c r="S61" s="1"/>
      <c r="T61" s="1">
        <f>SUM(OSRRefT22_13x_0)</f>
        <v>64569.49</v>
      </c>
      <c r="U61" s="1"/>
      <c r="V61" s="5">
        <f t="shared" ref="V61:V66" si="37">IF(T$12=0,0,T61/T$12)</f>
        <v>0</v>
      </c>
      <c r="W61" s="1"/>
      <c r="X61" s="1">
        <f t="shared" ref="X61:X66" si="38">+P61-T61</f>
        <v>-56061.49</v>
      </c>
      <c r="Y61" s="1"/>
      <c r="Z61" s="5">
        <f t="shared" ref="Z61:Z66" si="39">IF(T61=0,0,X61/T61)</f>
        <v>-0.86823498218740769</v>
      </c>
    </row>
    <row r="62" spans="1:26" s="24" customFormat="1" hidden="1" outlineLevel="2" x14ac:dyDescent="0.25">
      <c r="A62" s="25"/>
      <c r="B62" s="11" t="str">
        <f>CONCATENATE("          ", "6282", " - ", "JANITORIAL/EXTERMINATOR EXPENS")</f>
        <v xml:space="preserve">          6282 - JANITORIAL/EXTERMINATOR EXPENS</v>
      </c>
      <c r="C62" s="11"/>
      <c r="D62" s="6"/>
      <c r="E62" s="2"/>
      <c r="F62" s="7">
        <f t="shared" si="32"/>
        <v>0</v>
      </c>
      <c r="G62" s="2"/>
      <c r="H62" s="6">
        <v>626.26</v>
      </c>
      <c r="I62" s="2"/>
      <c r="J62" s="7">
        <f t="shared" si="33"/>
        <v>0</v>
      </c>
      <c r="K62" s="2"/>
      <c r="L62" s="6">
        <f t="shared" si="34"/>
        <v>-626.26</v>
      </c>
      <c r="M62" s="2"/>
      <c r="N62" s="7">
        <f t="shared" si="35"/>
        <v>-1</v>
      </c>
      <c r="O62" s="11"/>
      <c r="P62" s="6"/>
      <c r="Q62" s="2"/>
      <c r="R62" s="7">
        <f t="shared" si="36"/>
        <v>0</v>
      </c>
      <c r="S62" s="2"/>
      <c r="T62" s="6">
        <v>3131.3</v>
      </c>
      <c r="U62" s="2"/>
      <c r="V62" s="7">
        <f t="shared" si="37"/>
        <v>0</v>
      </c>
      <c r="W62" s="2"/>
      <c r="X62" s="6">
        <f t="shared" si="38"/>
        <v>-3131.3</v>
      </c>
      <c r="Y62" s="2"/>
      <c r="Z62" s="7">
        <f t="shared" si="39"/>
        <v>-1</v>
      </c>
    </row>
    <row r="63" spans="1:26" s="24" customFormat="1" hidden="1" outlineLevel="2" x14ac:dyDescent="0.25">
      <c r="A63" s="25"/>
      <c r="B63" s="11" t="str">
        <f>CONCATENATE("          ", "6283", " - ", "PLANT SERVICE")</f>
        <v xml:space="preserve">          6283 - PLANT SERVICE</v>
      </c>
      <c r="C63" s="11"/>
      <c r="D63" s="6"/>
      <c r="E63" s="2"/>
      <c r="F63" s="7">
        <f t="shared" si="32"/>
        <v>0</v>
      </c>
      <c r="G63" s="2"/>
      <c r="H63" s="6">
        <v>35.53</v>
      </c>
      <c r="I63" s="2"/>
      <c r="J63" s="7">
        <f t="shared" si="33"/>
        <v>0</v>
      </c>
      <c r="K63" s="2"/>
      <c r="L63" s="6">
        <f t="shared" si="34"/>
        <v>-35.53</v>
      </c>
      <c r="M63" s="2"/>
      <c r="N63" s="7">
        <f t="shared" si="35"/>
        <v>-1</v>
      </c>
      <c r="O63" s="11"/>
      <c r="P63" s="6"/>
      <c r="Q63" s="2"/>
      <c r="R63" s="7">
        <f t="shared" si="36"/>
        <v>0</v>
      </c>
      <c r="S63" s="2"/>
      <c r="T63" s="6">
        <v>142.12</v>
      </c>
      <c r="U63" s="2"/>
      <c r="V63" s="7">
        <f t="shared" si="37"/>
        <v>0</v>
      </c>
      <c r="W63" s="2"/>
      <c r="X63" s="6">
        <f t="shared" si="38"/>
        <v>-142.12</v>
      </c>
      <c r="Y63" s="2"/>
      <c r="Z63" s="7">
        <f t="shared" si="39"/>
        <v>-1</v>
      </c>
    </row>
    <row r="64" spans="1:26" s="24" customFormat="1" hidden="1" outlineLevel="2" x14ac:dyDescent="0.25">
      <c r="A64" s="25"/>
      <c r="B64" s="11" t="str">
        <f>CONCATENATE("          ", "6284", " - ", "TRASH REMOVAL EXPENSE")</f>
        <v xml:space="preserve">          6284 - TRASH REMOVAL EXPENSE</v>
      </c>
      <c r="C64" s="11"/>
      <c r="D64" s="6">
        <v>4254</v>
      </c>
      <c r="E64" s="2"/>
      <c r="F64" s="7">
        <f t="shared" si="32"/>
        <v>0</v>
      </c>
      <c r="G64" s="2"/>
      <c r="H64" s="6">
        <v>3482</v>
      </c>
      <c r="I64" s="2"/>
      <c r="J64" s="7">
        <f t="shared" si="33"/>
        <v>0</v>
      </c>
      <c r="K64" s="2"/>
      <c r="L64" s="6">
        <f t="shared" si="34"/>
        <v>772</v>
      </c>
      <c r="M64" s="2"/>
      <c r="N64" s="7">
        <f t="shared" si="35"/>
        <v>0.22171165996553704</v>
      </c>
      <c r="O64" s="11"/>
      <c r="P64" s="6">
        <v>8508</v>
      </c>
      <c r="Q64" s="2"/>
      <c r="R64" s="7">
        <f t="shared" si="36"/>
        <v>0</v>
      </c>
      <c r="S64" s="2"/>
      <c r="T64" s="6">
        <v>10446</v>
      </c>
      <c r="U64" s="2"/>
      <c r="V64" s="7">
        <f t="shared" si="37"/>
        <v>0</v>
      </c>
      <c r="W64" s="2"/>
      <c r="X64" s="6">
        <f t="shared" si="38"/>
        <v>-1938</v>
      </c>
      <c r="Y64" s="2"/>
      <c r="Z64" s="7">
        <f t="shared" si="39"/>
        <v>-0.18552556002297529</v>
      </c>
    </row>
    <row r="65" spans="1:26" s="24" customFormat="1" hidden="1" outlineLevel="2" x14ac:dyDescent="0.25">
      <c r="A65" s="25"/>
      <c r="B65" s="11" t="str">
        <f>CONCATENATE("          ", "6285", " - ", "JANITORIAL SERVICES")</f>
        <v xml:space="preserve">          6285 - JANITORIAL SERVICES</v>
      </c>
      <c r="C65" s="11"/>
      <c r="D65" s="6"/>
      <c r="E65" s="2"/>
      <c r="F65" s="7">
        <f t="shared" si="32"/>
        <v>0</v>
      </c>
      <c r="G65" s="2"/>
      <c r="H65" s="6">
        <v>10278.51</v>
      </c>
      <c r="I65" s="2"/>
      <c r="J65" s="7">
        <f t="shared" si="33"/>
        <v>0</v>
      </c>
      <c r="K65" s="2"/>
      <c r="L65" s="6">
        <f t="shared" si="34"/>
        <v>-10278.51</v>
      </c>
      <c r="M65" s="2"/>
      <c r="N65" s="7">
        <f t="shared" si="35"/>
        <v>-1</v>
      </c>
      <c r="O65" s="11"/>
      <c r="P65" s="6"/>
      <c r="Q65" s="2"/>
      <c r="R65" s="7">
        <f t="shared" si="36"/>
        <v>0</v>
      </c>
      <c r="S65" s="2"/>
      <c r="T65" s="6">
        <v>50472.55</v>
      </c>
      <c r="U65" s="2"/>
      <c r="V65" s="7">
        <f t="shared" si="37"/>
        <v>0</v>
      </c>
      <c r="W65" s="2"/>
      <c r="X65" s="6">
        <f t="shared" si="38"/>
        <v>-50472.55</v>
      </c>
      <c r="Y65" s="2"/>
      <c r="Z65" s="7">
        <f t="shared" si="39"/>
        <v>-1</v>
      </c>
    </row>
    <row r="66" spans="1:26" s="24" customFormat="1" hidden="1" outlineLevel="2" x14ac:dyDescent="0.25">
      <c r="A66" s="25"/>
      <c r="B66" s="11" t="str">
        <f>CONCATENATE("          ", "6286", " - ", "LAUNDRY EXPENSE")</f>
        <v xml:space="preserve">          6286 - LAUNDRY EXPENSE</v>
      </c>
      <c r="C66" s="11"/>
      <c r="D66" s="6"/>
      <c r="E66" s="2"/>
      <c r="F66" s="7">
        <f t="shared" si="32"/>
        <v>0</v>
      </c>
      <c r="G66" s="2"/>
      <c r="H66" s="6">
        <v>74.52</v>
      </c>
      <c r="I66" s="2"/>
      <c r="J66" s="7">
        <f t="shared" si="33"/>
        <v>0</v>
      </c>
      <c r="K66" s="2"/>
      <c r="L66" s="6">
        <f t="shared" si="34"/>
        <v>-74.52</v>
      </c>
      <c r="M66" s="2"/>
      <c r="N66" s="7">
        <f t="shared" si="35"/>
        <v>-1</v>
      </c>
      <c r="O66" s="11"/>
      <c r="P66" s="6"/>
      <c r="Q66" s="2"/>
      <c r="R66" s="7">
        <f t="shared" si="36"/>
        <v>0</v>
      </c>
      <c r="S66" s="2"/>
      <c r="T66" s="6">
        <v>377.52</v>
      </c>
      <c r="U66" s="2"/>
      <c r="V66" s="7">
        <f t="shared" si="37"/>
        <v>0</v>
      </c>
      <c r="W66" s="2"/>
      <c r="X66" s="6">
        <f t="shared" si="38"/>
        <v>-377.52</v>
      </c>
      <c r="Y66" s="2"/>
      <c r="Z66" s="7">
        <f t="shared" si="39"/>
        <v>-1</v>
      </c>
    </row>
    <row r="67" spans="1:26" s="26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SUM(OSRRefD22_14x_0)</f>
        <v>0</v>
      </c>
      <c r="E67" s="1"/>
      <c r="F67" s="5">
        <f t="shared" ref="F67:F73" si="40">IF(D$12=0,0,D67/D$12)</f>
        <v>0</v>
      </c>
      <c r="G67" s="1"/>
      <c r="H67" s="1">
        <f>SUM(OSRRefH22_14x_0)</f>
        <v>7003.4</v>
      </c>
      <c r="I67" s="1"/>
      <c r="J67" s="5">
        <f t="shared" ref="J67:J73" si="41">IF(H$12=0,0,H67/H$12)</f>
        <v>0</v>
      </c>
      <c r="K67" s="1"/>
      <c r="L67" s="1">
        <f t="shared" ref="L67:L73" si="42">+D67-H67</f>
        <v>-7003.4</v>
      </c>
      <c r="M67" s="1"/>
      <c r="N67" s="5">
        <f t="shared" ref="N67:N73" si="43">IF(H67=0,0,L67/H67)</f>
        <v>-1</v>
      </c>
      <c r="O67" s="13"/>
      <c r="P67" s="1">
        <f>SUM(OSRRefP22_14x_0)</f>
        <v>-29072.879999999997</v>
      </c>
      <c r="Q67" s="1"/>
      <c r="R67" s="5">
        <f t="shared" ref="R67:R73" si="44">IF(P$12=0,0,P67/P$12)</f>
        <v>0</v>
      </c>
      <c r="S67" s="1"/>
      <c r="T67" s="1">
        <f>SUM(OSRRefT22_14x_0)</f>
        <v>40761.83</v>
      </c>
      <c r="U67" s="1"/>
      <c r="V67" s="5">
        <f t="shared" ref="V67:V73" si="45">IF(T$12=0,0,T67/T$12)</f>
        <v>0</v>
      </c>
      <c r="W67" s="1"/>
      <c r="X67" s="1">
        <f t="shared" ref="X67:X73" si="46">+P67-T67</f>
        <v>-69834.709999999992</v>
      </c>
      <c r="Y67" s="1"/>
      <c r="Z67" s="5">
        <f t="shared" ref="Z67:Z73" si="47">IF(T67=0,0,X67/T67)</f>
        <v>-1.7132378502142811</v>
      </c>
    </row>
    <row r="68" spans="1:26" s="24" customFormat="1" hidden="1" outlineLevel="2" x14ac:dyDescent="0.25">
      <c r="A68" s="25"/>
      <c r="B68" s="11" t="str">
        <f>CONCATENATE("          ", "6234", " - ", "EXPENDABLE SUPPLIES &amp; EQUIPMEN")</f>
        <v xml:space="preserve">          6234 - EXPENDABLE SUPPLIES &amp; EQUIPMEN</v>
      </c>
      <c r="C68" s="11"/>
      <c r="D68" s="6"/>
      <c r="E68" s="2"/>
      <c r="F68" s="7">
        <f t="shared" si="40"/>
        <v>0</v>
      </c>
      <c r="G68" s="2"/>
      <c r="H68" s="6">
        <v>421.16</v>
      </c>
      <c r="I68" s="2"/>
      <c r="J68" s="7">
        <f t="shared" si="41"/>
        <v>0</v>
      </c>
      <c r="K68" s="2"/>
      <c r="L68" s="6">
        <f t="shared" si="42"/>
        <v>-421.16</v>
      </c>
      <c r="M68" s="2"/>
      <c r="N68" s="7">
        <f t="shared" si="43"/>
        <v>-1</v>
      </c>
      <c r="O68" s="11"/>
      <c r="P68" s="6"/>
      <c r="Q68" s="2"/>
      <c r="R68" s="7">
        <f t="shared" si="44"/>
        <v>0</v>
      </c>
      <c r="S68" s="2"/>
      <c r="T68" s="6">
        <v>8091.25</v>
      </c>
      <c r="U68" s="2"/>
      <c r="V68" s="7">
        <f t="shared" si="45"/>
        <v>0</v>
      </c>
      <c r="W68" s="2"/>
      <c r="X68" s="6">
        <f t="shared" si="46"/>
        <v>-8091.25</v>
      </c>
      <c r="Y68" s="2"/>
      <c r="Z68" s="7">
        <f t="shared" si="47"/>
        <v>-1</v>
      </c>
    </row>
    <row r="69" spans="1:26" s="24" customFormat="1" hidden="1" outlineLevel="2" x14ac:dyDescent="0.25">
      <c r="A69" s="25"/>
      <c r="B69" s="11" t="str">
        <f>CONCATENATE("          ", "6235", " - ", "COVID-19 EXPENSES")</f>
        <v xml:space="preserve">          6235 - COVID-19 EXPENSES</v>
      </c>
      <c r="C69" s="11"/>
      <c r="D69" s="6"/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0</v>
      </c>
      <c r="M69" s="2"/>
      <c r="N69" s="7">
        <f t="shared" si="43"/>
        <v>0</v>
      </c>
      <c r="O69" s="11"/>
      <c r="P69" s="6">
        <v>127.89</v>
      </c>
      <c r="Q69" s="2"/>
      <c r="R69" s="7">
        <f t="shared" si="44"/>
        <v>0</v>
      </c>
      <c r="S69" s="2"/>
      <c r="T69" s="6"/>
      <c r="U69" s="2"/>
      <c r="V69" s="7">
        <f t="shared" si="45"/>
        <v>0</v>
      </c>
      <c r="W69" s="2"/>
      <c r="X69" s="6">
        <f t="shared" si="46"/>
        <v>127.89</v>
      </c>
      <c r="Y69" s="2"/>
      <c r="Z69" s="7">
        <f t="shared" si="47"/>
        <v>0</v>
      </c>
    </row>
    <row r="70" spans="1:26" s="24" customFormat="1" hidden="1" outlineLevel="2" x14ac:dyDescent="0.25">
      <c r="A70" s="25"/>
      <c r="B70" s="11" t="str">
        <f>CONCATENATE("          ", "6237", " - ", "JANITORIAL SUPPLIES")</f>
        <v xml:space="preserve">          6237 - JANITORIAL SUPPLIES</v>
      </c>
      <c r="C70" s="11"/>
      <c r="D70" s="6"/>
      <c r="E70" s="2"/>
      <c r="F70" s="7">
        <f t="shared" si="40"/>
        <v>0</v>
      </c>
      <c r="G70" s="2"/>
      <c r="H70" s="6">
        <v>3875.25</v>
      </c>
      <c r="I70" s="2"/>
      <c r="J70" s="7">
        <f t="shared" si="41"/>
        <v>0</v>
      </c>
      <c r="K70" s="2"/>
      <c r="L70" s="6">
        <f t="shared" si="42"/>
        <v>-3875.25</v>
      </c>
      <c r="M70" s="2"/>
      <c r="N70" s="7">
        <f t="shared" si="43"/>
        <v>-1</v>
      </c>
      <c r="O70" s="11"/>
      <c r="P70" s="6"/>
      <c r="Q70" s="2"/>
      <c r="R70" s="7">
        <f t="shared" si="44"/>
        <v>0</v>
      </c>
      <c r="S70" s="2"/>
      <c r="T70" s="6">
        <v>19140.969999999998</v>
      </c>
      <c r="U70" s="2"/>
      <c r="V70" s="7">
        <f t="shared" si="45"/>
        <v>0</v>
      </c>
      <c r="W70" s="2"/>
      <c r="X70" s="6">
        <f t="shared" si="46"/>
        <v>-19140.969999999998</v>
      </c>
      <c r="Y70" s="2"/>
      <c r="Z70" s="7">
        <f t="shared" si="47"/>
        <v>-1</v>
      </c>
    </row>
    <row r="71" spans="1:26" s="24" customFormat="1" hidden="1" outlineLevel="2" x14ac:dyDescent="0.25">
      <c r="A71" s="25"/>
      <c r="B71" s="11" t="str">
        <f>CONCATENATE("          ", "6239", " - ", "KITCHEN SUPPLIES")</f>
        <v xml:space="preserve">          6239 - KITCHEN SUPPLIES</v>
      </c>
      <c r="C71" s="11"/>
      <c r="D71" s="6"/>
      <c r="E71" s="2"/>
      <c r="F71" s="7">
        <f t="shared" si="40"/>
        <v>0</v>
      </c>
      <c r="G71" s="2"/>
      <c r="H71" s="6">
        <v>1659.78</v>
      </c>
      <c r="I71" s="2"/>
      <c r="J71" s="7">
        <f t="shared" si="41"/>
        <v>0</v>
      </c>
      <c r="K71" s="2"/>
      <c r="L71" s="6">
        <f t="shared" si="42"/>
        <v>-1659.78</v>
      </c>
      <c r="M71" s="2"/>
      <c r="N71" s="7">
        <f t="shared" si="43"/>
        <v>-1</v>
      </c>
      <c r="O71" s="11"/>
      <c r="P71" s="6"/>
      <c r="Q71" s="2"/>
      <c r="R71" s="7">
        <f t="shared" si="44"/>
        <v>0</v>
      </c>
      <c r="S71" s="2"/>
      <c r="T71" s="6">
        <v>12464.34</v>
      </c>
      <c r="U71" s="2"/>
      <c r="V71" s="7">
        <f t="shared" si="45"/>
        <v>0</v>
      </c>
      <c r="W71" s="2"/>
      <c r="X71" s="6">
        <f t="shared" si="46"/>
        <v>-12464.34</v>
      </c>
      <c r="Y71" s="2"/>
      <c r="Z71" s="7">
        <f t="shared" si="47"/>
        <v>-1</v>
      </c>
    </row>
    <row r="72" spans="1:26" s="24" customFormat="1" hidden="1" outlineLevel="2" x14ac:dyDescent="0.25">
      <c r="A72" s="25"/>
      <c r="B72" s="11" t="str">
        <f>CONCATENATE("          ", "6241", " - ", "OFFICE EXPENSE")</f>
        <v xml:space="preserve">          6241 - OFFICE EXPENSE</v>
      </c>
      <c r="C72" s="11"/>
      <c r="D72" s="6"/>
      <c r="E72" s="2"/>
      <c r="F72" s="7">
        <f t="shared" si="40"/>
        <v>0</v>
      </c>
      <c r="G72" s="2"/>
      <c r="H72" s="6">
        <v>981.12</v>
      </c>
      <c r="I72" s="2"/>
      <c r="J72" s="7">
        <f t="shared" si="41"/>
        <v>0</v>
      </c>
      <c r="K72" s="2"/>
      <c r="L72" s="6">
        <f t="shared" si="42"/>
        <v>-981.12</v>
      </c>
      <c r="M72" s="2"/>
      <c r="N72" s="7">
        <f t="shared" si="43"/>
        <v>-1</v>
      </c>
      <c r="O72" s="11"/>
      <c r="P72" s="6">
        <v>-29200.769999999997</v>
      </c>
      <c r="Q72" s="2"/>
      <c r="R72" s="7">
        <f t="shared" si="44"/>
        <v>0</v>
      </c>
      <c r="S72" s="2"/>
      <c r="T72" s="6">
        <v>766.37</v>
      </c>
      <c r="U72" s="2"/>
      <c r="V72" s="7">
        <f t="shared" si="45"/>
        <v>0</v>
      </c>
      <c r="W72" s="2"/>
      <c r="X72" s="6">
        <f t="shared" si="46"/>
        <v>-29967.139999999996</v>
      </c>
      <c r="Y72" s="2"/>
      <c r="Z72" s="7">
        <f t="shared" si="47"/>
        <v>-39.102704959745289</v>
      </c>
    </row>
    <row r="73" spans="1:26" s="24" customFormat="1" hidden="1" outlineLevel="2" x14ac:dyDescent="0.25">
      <c r="A73" s="25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40"/>
        <v>0</v>
      </c>
      <c r="G73" s="2"/>
      <c r="H73" s="6">
        <v>66.09</v>
      </c>
      <c r="I73" s="2"/>
      <c r="J73" s="7">
        <f t="shared" si="41"/>
        <v>0</v>
      </c>
      <c r="K73" s="2"/>
      <c r="L73" s="6">
        <f t="shared" si="42"/>
        <v>-66.09</v>
      </c>
      <c r="M73" s="2"/>
      <c r="N73" s="7">
        <f t="shared" si="43"/>
        <v>-1</v>
      </c>
      <c r="O73" s="11"/>
      <c r="P73" s="6"/>
      <c r="Q73" s="2"/>
      <c r="R73" s="7">
        <f t="shared" si="44"/>
        <v>0</v>
      </c>
      <c r="S73" s="2"/>
      <c r="T73" s="6">
        <v>298.89999999999998</v>
      </c>
      <c r="U73" s="2"/>
      <c r="V73" s="7">
        <f t="shared" si="45"/>
        <v>0</v>
      </c>
      <c r="W73" s="2"/>
      <c r="X73" s="6">
        <f t="shared" si="46"/>
        <v>-298.89999999999998</v>
      </c>
      <c r="Y73" s="2"/>
      <c r="Z73" s="7">
        <f t="shared" si="47"/>
        <v>-1</v>
      </c>
    </row>
    <row r="74" spans="1:26" s="26" customFormat="1" outlineLevel="1" collapsed="1" x14ac:dyDescent="0.25">
      <c r="A74" s="27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SUM(OSRRefD22_15x_0)</f>
        <v>143.1</v>
      </c>
      <c r="E74" s="1"/>
      <c r="F74" s="5">
        <f t="shared" ref="F74:F81" si="48">IF(D$12=0,0,D74/D$12)</f>
        <v>0</v>
      </c>
      <c r="G74" s="1"/>
      <c r="H74" s="1">
        <f>SUM(OSRRefH22_15x_0)</f>
        <v>263.25</v>
      </c>
      <c r="I74" s="1"/>
      <c r="J74" s="5">
        <f t="shared" ref="J74:J81" si="49">IF(H$12=0,0,H74/H$12)</f>
        <v>0</v>
      </c>
      <c r="K74" s="1"/>
      <c r="L74" s="1">
        <f t="shared" ref="L74:L81" si="50">+D74-H74</f>
        <v>-120.15</v>
      </c>
      <c r="M74" s="1"/>
      <c r="N74" s="5">
        <f t="shared" ref="N74:N81" si="51">IF(H74=0,0,L74/H74)</f>
        <v>-0.45641025641025645</v>
      </c>
      <c r="O74" s="13"/>
      <c r="P74" s="1">
        <f>SUM(OSRRefP22_15x_0)</f>
        <v>1243.43</v>
      </c>
      <c r="Q74" s="1"/>
      <c r="R74" s="5">
        <f t="shared" ref="R74:R81" si="52">IF(P$12=0,0,P74/P$12)</f>
        <v>0</v>
      </c>
      <c r="S74" s="1"/>
      <c r="T74" s="1">
        <f>SUM(OSRRefT22_15x_0)</f>
        <v>1782.8</v>
      </c>
      <c r="U74" s="1"/>
      <c r="V74" s="5">
        <f t="shared" ref="V74:V81" si="53">IF(T$12=0,0,T74/T$12)</f>
        <v>0</v>
      </c>
      <c r="W74" s="1"/>
      <c r="X74" s="1">
        <f t="shared" ref="X74:X81" si="54">+P74-T74</f>
        <v>-539.36999999999989</v>
      </c>
      <c r="Y74" s="1"/>
      <c r="Z74" s="5">
        <f t="shared" ref="Z74:Z81" si="55">IF(T74=0,0,X74/T74)</f>
        <v>-0.3025409468252187</v>
      </c>
    </row>
    <row r="75" spans="1:26" s="24" customFormat="1" hidden="1" outlineLevel="2" x14ac:dyDescent="0.25">
      <c r="A75" s="25"/>
      <c r="B75" s="11" t="str">
        <f>CONCATENATE("          ", "6309", " - ", "TELEPHONE")</f>
        <v xml:space="preserve">          6309 - TELEPHONE</v>
      </c>
      <c r="C75" s="11"/>
      <c r="D75" s="6">
        <v>143.1</v>
      </c>
      <c r="E75" s="2"/>
      <c r="F75" s="7">
        <f t="shared" si="48"/>
        <v>0</v>
      </c>
      <c r="G75" s="2"/>
      <c r="H75" s="6">
        <v>263.25</v>
      </c>
      <c r="I75" s="2"/>
      <c r="J75" s="7">
        <f t="shared" si="49"/>
        <v>0</v>
      </c>
      <c r="K75" s="2"/>
      <c r="L75" s="6">
        <f t="shared" si="50"/>
        <v>-120.15</v>
      </c>
      <c r="M75" s="2"/>
      <c r="N75" s="7">
        <f t="shared" si="51"/>
        <v>-0.45641025641025645</v>
      </c>
      <c r="O75" s="11"/>
      <c r="P75" s="6">
        <v>1243.43</v>
      </c>
      <c r="Q75" s="2"/>
      <c r="R75" s="7">
        <f t="shared" si="52"/>
        <v>0</v>
      </c>
      <c r="S75" s="2"/>
      <c r="T75" s="6">
        <v>1782.8</v>
      </c>
      <c r="U75" s="2"/>
      <c r="V75" s="7">
        <f t="shared" si="53"/>
        <v>0</v>
      </c>
      <c r="W75" s="2"/>
      <c r="X75" s="6">
        <f t="shared" si="54"/>
        <v>-539.36999999999989</v>
      </c>
      <c r="Y75" s="2"/>
      <c r="Z75" s="7">
        <f t="shared" si="55"/>
        <v>-0.3025409468252187</v>
      </c>
    </row>
    <row r="76" spans="1:26" s="26" customFormat="1" outlineLevel="1" collapsed="1" x14ac:dyDescent="0.25">
      <c r="A76" s="27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SUM(OSRRefD22_16x_0)</f>
        <v>0</v>
      </c>
      <c r="E76" s="1"/>
      <c r="F76" s="5">
        <f t="shared" si="48"/>
        <v>0</v>
      </c>
      <c r="G76" s="1"/>
      <c r="H76" s="1">
        <f>SUM(OSRRefH22_16x_0)</f>
        <v>0</v>
      </c>
      <c r="I76" s="1"/>
      <c r="J76" s="5">
        <f t="shared" si="49"/>
        <v>0</v>
      </c>
      <c r="K76" s="1"/>
      <c r="L76" s="1">
        <f t="shared" si="50"/>
        <v>0</v>
      </c>
      <c r="M76" s="1"/>
      <c r="N76" s="5">
        <f t="shared" si="51"/>
        <v>0</v>
      </c>
      <c r="O76" s="13"/>
      <c r="P76" s="1">
        <f>SUM(OSRRefP22_16x_0)</f>
        <v>0</v>
      </c>
      <c r="Q76" s="1"/>
      <c r="R76" s="5">
        <f t="shared" si="52"/>
        <v>0</v>
      </c>
      <c r="S76" s="1"/>
      <c r="T76" s="1">
        <f>SUM(OSRRefT22_16x_0)</f>
        <v>240</v>
      </c>
      <c r="U76" s="1"/>
      <c r="V76" s="5">
        <f t="shared" si="53"/>
        <v>0</v>
      </c>
      <c r="W76" s="1"/>
      <c r="X76" s="1">
        <f t="shared" si="54"/>
        <v>-240</v>
      </c>
      <c r="Y76" s="1"/>
      <c r="Z76" s="5">
        <f t="shared" si="55"/>
        <v>-1</v>
      </c>
    </row>
    <row r="77" spans="1:26" s="24" customFormat="1" hidden="1" outlineLevel="2" x14ac:dyDescent="0.25">
      <c r="A77" s="25"/>
      <c r="B77" s="11" t="str">
        <f>CONCATENATE("          ", "6376", " - ", "TRAINING")</f>
        <v xml:space="preserve">          6376 - TRAINING</v>
      </c>
      <c r="C77" s="11"/>
      <c r="D77" s="6"/>
      <c r="E77" s="2"/>
      <c r="F77" s="7">
        <f t="shared" si="48"/>
        <v>0</v>
      </c>
      <c r="G77" s="2"/>
      <c r="H77" s="6"/>
      <c r="I77" s="2"/>
      <c r="J77" s="7">
        <f t="shared" si="49"/>
        <v>0</v>
      </c>
      <c r="K77" s="2"/>
      <c r="L77" s="6">
        <f t="shared" si="50"/>
        <v>0</v>
      </c>
      <c r="M77" s="2"/>
      <c r="N77" s="7">
        <f t="shared" si="51"/>
        <v>0</v>
      </c>
      <c r="O77" s="11"/>
      <c r="P77" s="6"/>
      <c r="Q77" s="2"/>
      <c r="R77" s="7">
        <f t="shared" si="52"/>
        <v>0</v>
      </c>
      <c r="S77" s="2"/>
      <c r="T77" s="6">
        <v>240</v>
      </c>
      <c r="U77" s="2"/>
      <c r="V77" s="7">
        <f t="shared" si="53"/>
        <v>0</v>
      </c>
      <c r="W77" s="2"/>
      <c r="X77" s="6">
        <f t="shared" si="54"/>
        <v>-240</v>
      </c>
      <c r="Y77" s="2"/>
      <c r="Z77" s="7">
        <f t="shared" si="55"/>
        <v>-1</v>
      </c>
    </row>
    <row r="78" spans="1:26" s="26" customFormat="1" outlineLevel="1" collapsed="1" x14ac:dyDescent="0.25">
      <c r="A78" s="27"/>
      <c r="B78" s="13" t="str">
        <f>CONCATENATE("     ","Travel                                            ")</f>
        <v xml:space="preserve">     Travel                                            </v>
      </c>
      <c r="C78" s="13"/>
      <c r="D78" s="1">
        <f>SUM(OSRRefD22_17x_0)</f>
        <v>0</v>
      </c>
      <c r="E78" s="1"/>
      <c r="F78" s="5">
        <f t="shared" si="48"/>
        <v>0</v>
      </c>
      <c r="G78" s="1"/>
      <c r="H78" s="1">
        <f>SUM(OSRRefH22_17x_0)</f>
        <v>301.73</v>
      </c>
      <c r="I78" s="1"/>
      <c r="J78" s="5">
        <f t="shared" si="49"/>
        <v>0</v>
      </c>
      <c r="K78" s="1"/>
      <c r="L78" s="1">
        <f t="shared" si="50"/>
        <v>-301.73</v>
      </c>
      <c r="M78" s="1"/>
      <c r="N78" s="5">
        <f t="shared" si="51"/>
        <v>-1</v>
      </c>
      <c r="O78" s="13"/>
      <c r="P78" s="1">
        <f>SUM(OSRRefP22_17x_0)</f>
        <v>332.21</v>
      </c>
      <c r="Q78" s="1"/>
      <c r="R78" s="5">
        <f t="shared" si="52"/>
        <v>0</v>
      </c>
      <c r="S78" s="1"/>
      <c r="T78" s="1">
        <f>SUM(OSRRefT22_17x_0)</f>
        <v>1402.9099999999999</v>
      </c>
      <c r="U78" s="1"/>
      <c r="V78" s="5">
        <f t="shared" si="53"/>
        <v>0</v>
      </c>
      <c r="W78" s="1"/>
      <c r="X78" s="1">
        <f t="shared" si="54"/>
        <v>-1070.6999999999998</v>
      </c>
      <c r="Y78" s="1"/>
      <c r="Z78" s="5">
        <f t="shared" si="55"/>
        <v>-0.7631993499226607</v>
      </c>
    </row>
    <row r="79" spans="1:26" s="24" customFormat="1" hidden="1" outlineLevel="2" x14ac:dyDescent="0.25">
      <c r="A79" s="25"/>
      <c r="B79" s="11" t="str">
        <f>CONCATENATE("          ", "6292", " - ", "TRAVEL/CONFERENCE")</f>
        <v xml:space="preserve">          6292 - TRAVEL/CONFERENCE</v>
      </c>
      <c r="C79" s="11"/>
      <c r="D79" s="6"/>
      <c r="E79" s="2"/>
      <c r="F79" s="7">
        <f t="shared" si="48"/>
        <v>0</v>
      </c>
      <c r="G79" s="2"/>
      <c r="H79" s="6">
        <v>153.68</v>
      </c>
      <c r="I79" s="2"/>
      <c r="J79" s="7">
        <f t="shared" si="49"/>
        <v>0</v>
      </c>
      <c r="K79" s="2"/>
      <c r="L79" s="6">
        <f t="shared" si="50"/>
        <v>-153.68</v>
      </c>
      <c r="M79" s="2"/>
      <c r="N79" s="7">
        <f t="shared" si="51"/>
        <v>-1</v>
      </c>
      <c r="O79" s="11"/>
      <c r="P79" s="6"/>
      <c r="Q79" s="2"/>
      <c r="R79" s="7">
        <f t="shared" si="52"/>
        <v>0</v>
      </c>
      <c r="S79" s="2"/>
      <c r="T79" s="6">
        <v>699.37</v>
      </c>
      <c r="U79" s="2"/>
      <c r="V79" s="7">
        <f t="shared" si="53"/>
        <v>0</v>
      </c>
      <c r="W79" s="2"/>
      <c r="X79" s="6">
        <f t="shared" si="54"/>
        <v>-699.37</v>
      </c>
      <c r="Y79" s="2"/>
      <c r="Z79" s="7">
        <f t="shared" si="55"/>
        <v>-1</v>
      </c>
    </row>
    <row r="80" spans="1:26" s="24" customFormat="1" hidden="1" outlineLevel="2" x14ac:dyDescent="0.25">
      <c r="A80" s="25"/>
      <c r="B80" s="11" t="str">
        <f>CONCATENATE("          ", "6294", " - ", "TRAVEL OPERATIONAL")</f>
        <v xml:space="preserve">          6294 - TRAVEL OPERATIONAL</v>
      </c>
      <c r="C80" s="11"/>
      <c r="D80" s="6"/>
      <c r="E80" s="2"/>
      <c r="F80" s="7">
        <f t="shared" si="48"/>
        <v>0</v>
      </c>
      <c r="G80" s="2"/>
      <c r="H80" s="6"/>
      <c r="I80" s="2"/>
      <c r="J80" s="7">
        <f t="shared" si="49"/>
        <v>0</v>
      </c>
      <c r="K80" s="2"/>
      <c r="L80" s="6">
        <f t="shared" si="50"/>
        <v>0</v>
      </c>
      <c r="M80" s="2"/>
      <c r="N80" s="7">
        <f t="shared" si="51"/>
        <v>0</v>
      </c>
      <c r="O80" s="11"/>
      <c r="P80" s="6"/>
      <c r="Q80" s="2"/>
      <c r="R80" s="7">
        <f t="shared" si="52"/>
        <v>0</v>
      </c>
      <c r="S80" s="2"/>
      <c r="T80" s="6">
        <v>45.49</v>
      </c>
      <c r="U80" s="2"/>
      <c r="V80" s="7">
        <f t="shared" si="53"/>
        <v>0</v>
      </c>
      <c r="W80" s="2"/>
      <c r="X80" s="6">
        <f t="shared" si="54"/>
        <v>-45.49</v>
      </c>
      <c r="Y80" s="2"/>
      <c r="Z80" s="7">
        <f t="shared" si="55"/>
        <v>-1</v>
      </c>
    </row>
    <row r="81" spans="1:26" s="24" customFormat="1" hidden="1" outlineLevel="2" x14ac:dyDescent="0.25">
      <c r="A81" s="25"/>
      <c r="B81" s="11" t="str">
        <f>CONCATENATE("          ", "6298", " - ", "VEHICLE MILEAGE")</f>
        <v xml:space="preserve">          6298 - VEHICLE MILEAGE</v>
      </c>
      <c r="C81" s="11"/>
      <c r="D81" s="6"/>
      <c r="E81" s="2"/>
      <c r="F81" s="7">
        <f t="shared" si="48"/>
        <v>0</v>
      </c>
      <c r="G81" s="2"/>
      <c r="H81" s="6">
        <v>148.05000000000001</v>
      </c>
      <c r="I81" s="2"/>
      <c r="J81" s="7">
        <f t="shared" si="49"/>
        <v>0</v>
      </c>
      <c r="K81" s="2"/>
      <c r="L81" s="6">
        <f t="shared" si="50"/>
        <v>-148.05000000000001</v>
      </c>
      <c r="M81" s="2"/>
      <c r="N81" s="7">
        <f t="shared" si="51"/>
        <v>-1</v>
      </c>
      <c r="O81" s="11"/>
      <c r="P81" s="6">
        <v>332.21</v>
      </c>
      <c r="Q81" s="2"/>
      <c r="R81" s="7">
        <f t="shared" si="52"/>
        <v>0</v>
      </c>
      <c r="S81" s="2"/>
      <c r="T81" s="6">
        <v>658.05</v>
      </c>
      <c r="U81" s="2"/>
      <c r="V81" s="7">
        <f t="shared" si="53"/>
        <v>0</v>
      </c>
      <c r="W81" s="2"/>
      <c r="X81" s="6">
        <f t="shared" si="54"/>
        <v>-325.83999999999997</v>
      </c>
      <c r="Y81" s="2"/>
      <c r="Z81" s="7">
        <f t="shared" si="55"/>
        <v>-0.49515994225362814</v>
      </c>
    </row>
    <row r="82" spans="1:26" s="26" customFormat="1" outlineLevel="1" collapsed="1" x14ac:dyDescent="0.25">
      <c r="A82" s="27"/>
      <c r="B82" s="13" t="str">
        <f>CONCATENATE("     ","Utilities                                         ")</f>
        <v xml:space="preserve">     Utilities                                         </v>
      </c>
      <c r="C82" s="13"/>
      <c r="D82" s="1">
        <f>SUM(OSRRefD22_18x_0)</f>
        <v>1000</v>
      </c>
      <c r="E82" s="1"/>
      <c r="F82" s="5">
        <f t="shared" ref="F82:F83" si="56">IF(D$12=0,0,D82/D$12)</f>
        <v>0</v>
      </c>
      <c r="G82" s="1"/>
      <c r="H82" s="1">
        <f>SUM(OSRRefH22_18x_0)</f>
        <v>11354</v>
      </c>
      <c r="I82" s="1"/>
      <c r="J82" s="5">
        <f t="shared" ref="J82:J83" si="57">IF(H$12=0,0,H82/H$12)</f>
        <v>0</v>
      </c>
      <c r="K82" s="1"/>
      <c r="L82" s="1">
        <f t="shared" ref="L82:L83" si="58">+D82-H82</f>
        <v>-10354</v>
      </c>
      <c r="M82" s="1"/>
      <c r="N82" s="5">
        <f t="shared" ref="N82:N83" si="59">IF(H82=0,0,L82/H82)</f>
        <v>-0.91192531266513999</v>
      </c>
      <c r="O82" s="13"/>
      <c r="P82" s="1">
        <f>SUM(OSRRefP22_18x_0)</f>
        <v>-14876</v>
      </c>
      <c r="Q82" s="1"/>
      <c r="R82" s="5">
        <f t="shared" ref="R82:R83" si="60">IF(P$12=0,0,P82/P$12)</f>
        <v>0</v>
      </c>
      <c r="S82" s="1"/>
      <c r="T82" s="1">
        <f>SUM(OSRRefT22_18x_0)</f>
        <v>48898</v>
      </c>
      <c r="U82" s="1"/>
      <c r="V82" s="5">
        <f t="shared" ref="V82:V83" si="61">IF(T$12=0,0,T82/T$12)</f>
        <v>0</v>
      </c>
      <c r="W82" s="1"/>
      <c r="X82" s="1">
        <f t="shared" ref="X82:X83" si="62">+P82-T82</f>
        <v>-63774</v>
      </c>
      <c r="Y82" s="1"/>
      <c r="Z82" s="5">
        <f t="shared" ref="Z82:Z83" si="63">IF(T82=0,0,X82/T82)</f>
        <v>-1.3042251216818683</v>
      </c>
    </row>
    <row r="83" spans="1:26" s="24" customFormat="1" hidden="1" outlineLevel="2" x14ac:dyDescent="0.25">
      <c r="A83" s="25"/>
      <c r="B83" s="11" t="str">
        <f>CONCATENATE("          ", "6274", " - ", "UTILITIES")</f>
        <v xml:space="preserve">          6274 - UTILITIES</v>
      </c>
      <c r="C83" s="11"/>
      <c r="D83" s="6">
        <v>1000</v>
      </c>
      <c r="E83" s="2"/>
      <c r="F83" s="7">
        <f t="shared" si="56"/>
        <v>0</v>
      </c>
      <c r="G83" s="2"/>
      <c r="H83" s="6">
        <v>11354</v>
      </c>
      <c r="I83" s="2"/>
      <c r="J83" s="7">
        <f t="shared" si="57"/>
        <v>0</v>
      </c>
      <c r="K83" s="2"/>
      <c r="L83" s="6">
        <f t="shared" si="58"/>
        <v>-10354</v>
      </c>
      <c r="M83" s="2"/>
      <c r="N83" s="7">
        <f t="shared" si="59"/>
        <v>-0.91192531266513999</v>
      </c>
      <c r="O83" s="11"/>
      <c r="P83" s="6">
        <v>-14876</v>
      </c>
      <c r="Q83" s="2"/>
      <c r="R83" s="7">
        <f t="shared" si="60"/>
        <v>0</v>
      </c>
      <c r="S83" s="2"/>
      <c r="T83" s="6">
        <v>48898</v>
      </c>
      <c r="U83" s="2"/>
      <c r="V83" s="7">
        <f t="shared" si="61"/>
        <v>0</v>
      </c>
      <c r="W83" s="2"/>
      <c r="X83" s="6">
        <f t="shared" si="62"/>
        <v>-63774</v>
      </c>
      <c r="Y83" s="2"/>
      <c r="Z83" s="7">
        <f t="shared" si="63"/>
        <v>-1.3042251216818683</v>
      </c>
    </row>
    <row r="84" spans="1:26" s="53" customFormat="1" x14ac:dyDescent="0.25">
      <c r="A84" s="37"/>
      <c r="B84" s="37"/>
      <c r="C84" s="37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collapsed="1" x14ac:dyDescent="0.25">
      <c r="A85" s="10"/>
      <c r="B85" s="29" t="s">
        <v>0</v>
      </c>
      <c r="C85" s="10"/>
      <c r="D85" s="4">
        <f>SUM(OSRRefD25x_0)</f>
        <v>0</v>
      </c>
      <c r="E85" s="4"/>
      <c r="F85" s="12">
        <f t="shared" ref="F85:F87" si="64">IF(D$12=0,0,D85/D$12)</f>
        <v>0</v>
      </c>
      <c r="G85" s="4"/>
      <c r="H85" s="4">
        <f>SUM(OSRRefH25x_0)</f>
        <v>29997.24</v>
      </c>
      <c r="I85" s="4"/>
      <c r="J85" s="12">
        <f t="shared" ref="J85:J87" si="65">IF(H$12=0,0,H85/H$12)</f>
        <v>0</v>
      </c>
      <c r="K85" s="4"/>
      <c r="L85" s="4">
        <f t="shared" ref="L85:L87" si="66">+D85-H85</f>
        <v>-29997.24</v>
      </c>
      <c r="M85" s="4"/>
      <c r="N85" s="12">
        <f t="shared" ref="N85:N87" si="67">IF(H85=0,0,L85/H85)</f>
        <v>-1</v>
      </c>
      <c r="O85" s="10"/>
      <c r="P85" s="4">
        <f>SUM(OSRRefP25x_0)</f>
        <v>1438.78</v>
      </c>
      <c r="Q85" s="4"/>
      <c r="R85" s="12">
        <f t="shared" ref="R85:R87" si="68">IF(P$12=0,0,P85/P$12)</f>
        <v>0</v>
      </c>
      <c r="S85" s="4"/>
      <c r="T85" s="4">
        <f>SUM(OSRRefT25x_0)</f>
        <v>56859.040000000001</v>
      </c>
      <c r="U85" s="4"/>
      <c r="V85" s="12">
        <f t="shared" ref="V85:V87" si="69">IF(T$12=0,0,T85/T$12)</f>
        <v>0</v>
      </c>
      <c r="W85" s="4"/>
      <c r="X85" s="4">
        <f t="shared" ref="X85:X87" si="70">+P85-T85</f>
        <v>-55420.26</v>
      </c>
      <c r="Y85" s="4"/>
      <c r="Z85" s="12">
        <f t="shared" ref="Z85:Z87" si="71">IF(T85=0,0,X85/T85)</f>
        <v>-0.97469566844603783</v>
      </c>
    </row>
    <row r="86" spans="1:26" s="24" customFormat="1" hidden="1" outlineLevel="1" x14ac:dyDescent="0.25">
      <c r="A86" s="44"/>
      <c r="B86" s="11" t="str">
        <f>CONCATENATE("          ", "9150", " - ", "MISC. INCOME")</f>
        <v xml:space="preserve">          9150 - MISC. INCOME</v>
      </c>
      <c r="C86" s="11"/>
      <c r="D86" s="2">
        <f t="shared" ref="D86:D87" si="72">0</f>
        <v>0</v>
      </c>
      <c r="E86" s="2"/>
      <c r="F86" s="19">
        <f t="shared" si="64"/>
        <v>0</v>
      </c>
      <c r="G86" s="2"/>
      <c r="H86" s="2">
        <f>--29997.24</f>
        <v>29997.24</v>
      </c>
      <c r="I86" s="2"/>
      <c r="J86" s="19">
        <f t="shared" si="65"/>
        <v>0</v>
      </c>
      <c r="K86" s="2"/>
      <c r="L86" s="2">
        <f t="shared" si="66"/>
        <v>-29997.24</v>
      </c>
      <c r="M86" s="2"/>
      <c r="N86" s="19">
        <f t="shared" si="67"/>
        <v>-1</v>
      </c>
      <c r="O86" s="11"/>
      <c r="P86" s="2">
        <f>--812.35</f>
        <v>812.35</v>
      </c>
      <c r="Q86" s="2"/>
      <c r="R86" s="19">
        <f t="shared" si="68"/>
        <v>0</v>
      </c>
      <c r="S86" s="2"/>
      <c r="T86" s="2">
        <f>--55848.11</f>
        <v>55848.11</v>
      </c>
      <c r="U86" s="2"/>
      <c r="V86" s="19">
        <f t="shared" si="69"/>
        <v>0</v>
      </c>
      <c r="W86" s="2"/>
      <c r="X86" s="2">
        <f t="shared" si="70"/>
        <v>-55035.76</v>
      </c>
      <c r="Y86" s="2"/>
      <c r="Z86" s="19">
        <f t="shared" si="71"/>
        <v>-0.98545429737908774</v>
      </c>
    </row>
    <row r="87" spans="1:26" s="24" customFormat="1" hidden="1" outlineLevel="1" x14ac:dyDescent="0.25">
      <c r="A87" s="44"/>
      <c r="B87" s="11" t="str">
        <f>CONCATENATE("          ", "9160", " - ", "MISC. INCOME")</f>
        <v xml:space="preserve">          9160 - MISC. INCOME</v>
      </c>
      <c r="C87" s="11"/>
      <c r="D87" s="2">
        <f t="shared" si="72"/>
        <v>0</v>
      </c>
      <c r="E87" s="2"/>
      <c r="F87" s="19">
        <f t="shared" si="64"/>
        <v>0</v>
      </c>
      <c r="G87" s="2"/>
      <c r="H87" s="2">
        <f>0</f>
        <v>0</v>
      </c>
      <c r="I87" s="2"/>
      <c r="J87" s="19">
        <f t="shared" si="65"/>
        <v>0</v>
      </c>
      <c r="K87" s="2"/>
      <c r="L87" s="2">
        <f t="shared" si="66"/>
        <v>0</v>
      </c>
      <c r="M87" s="2"/>
      <c r="N87" s="19">
        <f t="shared" si="67"/>
        <v>0</v>
      </c>
      <c r="O87" s="11"/>
      <c r="P87" s="2">
        <f>--626.43</f>
        <v>626.42999999999995</v>
      </c>
      <c r="Q87" s="2"/>
      <c r="R87" s="19">
        <f t="shared" si="68"/>
        <v>0</v>
      </c>
      <c r="S87" s="2"/>
      <c r="T87" s="2">
        <f>--1010.93</f>
        <v>1010.93</v>
      </c>
      <c r="U87" s="2"/>
      <c r="V87" s="19">
        <f t="shared" si="69"/>
        <v>0</v>
      </c>
      <c r="W87" s="2"/>
      <c r="X87" s="2">
        <f t="shared" si="70"/>
        <v>-384.5</v>
      </c>
      <c r="Y87" s="2"/>
      <c r="Z87" s="19">
        <f t="shared" si="71"/>
        <v>-0.3803428526208541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10"/>
      <c r="B89" s="28" t="s">
        <v>3</v>
      </c>
      <c r="C89" s="28"/>
      <c r="D89" s="20">
        <f>+D16-D18+D85</f>
        <v>-35067.669999999991</v>
      </c>
      <c r="E89" s="14"/>
      <c r="F89" s="22">
        <f>IF(D$12=0,0,D89/D$12)</f>
        <v>0</v>
      </c>
      <c r="G89" s="14"/>
      <c r="H89" s="20">
        <f>+H16-H18+H85</f>
        <v>-74679.769999999975</v>
      </c>
      <c r="I89" s="14"/>
      <c r="J89" s="22">
        <f>IF(H$12=0,0,H89/H$12)</f>
        <v>0</v>
      </c>
      <c r="K89" s="15"/>
      <c r="L89" s="20">
        <f>+D89-H89</f>
        <v>39612.099999999984</v>
      </c>
      <c r="M89" s="15"/>
      <c r="N89" s="22">
        <f>IF(H89=0,0,L89/H89)</f>
        <v>-0.53042611138197127</v>
      </c>
      <c r="O89" s="29"/>
      <c r="P89" s="20">
        <f>+P16-P18+P85</f>
        <v>-117760.61000000002</v>
      </c>
      <c r="Q89" s="14"/>
      <c r="R89" s="22">
        <f>IF(P$12=0,0,P89/P$12)</f>
        <v>0</v>
      </c>
      <c r="S89" s="14"/>
      <c r="T89" s="20">
        <f>+T16-T18+T85</f>
        <v>-426488.68</v>
      </c>
      <c r="U89" s="14"/>
      <c r="V89" s="22">
        <f>IF(T$12=0,0,T89/T$12)</f>
        <v>0</v>
      </c>
      <c r="W89" s="15"/>
      <c r="X89" s="20">
        <f>+P89-T89</f>
        <v>308728.06999999995</v>
      </c>
      <c r="Y89" s="15"/>
      <c r="Z89" s="22">
        <f>IF(T89=0,0,X89/T89)</f>
        <v>-0.72388338654146678</v>
      </c>
    </row>
    <row r="90" spans="1:26" x14ac:dyDescent="0.25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51"/>
      <c r="B91" s="10" t="s">
        <v>13</v>
      </c>
      <c r="C91" s="10"/>
      <c r="D91" s="4"/>
      <c r="E91" s="4"/>
      <c r="F91" s="12">
        <f>IF(D$12=0,0,D91/D$12)</f>
        <v>0</v>
      </c>
      <c r="G91" s="4"/>
      <c r="H91" s="4"/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/>
      <c r="Q91" s="4"/>
      <c r="R91" s="12">
        <f>IF(P$12=0,0,P91/P$12)</f>
        <v>0</v>
      </c>
      <c r="S91" s="4"/>
      <c r="T91" s="4"/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4</v>
      </c>
      <c r="C93" s="28"/>
      <c r="D93" s="31">
        <f>+D89-D91</f>
        <v>-35067.669999999991</v>
      </c>
      <c r="E93" s="14"/>
      <c r="F93" s="34">
        <f>IF(D$12=0,0,D93/D$12)</f>
        <v>0</v>
      </c>
      <c r="G93" s="14"/>
      <c r="H93" s="31">
        <f>+H89-H91</f>
        <v>-74679.769999999975</v>
      </c>
      <c r="I93" s="14"/>
      <c r="J93" s="34">
        <f>IF(H$12=0,0,H93/H$12)</f>
        <v>0</v>
      </c>
      <c r="K93" s="15"/>
      <c r="L93" s="31">
        <f>D93-H93</f>
        <v>39612.099999999984</v>
      </c>
      <c r="M93" s="15"/>
      <c r="N93" s="34">
        <f>IF(H93=0,0,L93/H93)</f>
        <v>-0.53042611138197127</v>
      </c>
      <c r="O93" s="29"/>
      <c r="P93" s="31">
        <f>+P89-P91</f>
        <v>-117760.61000000002</v>
      </c>
      <c r="Q93" s="14"/>
      <c r="R93" s="34">
        <f>IF(P$12=0,0,P93/P$12)</f>
        <v>0</v>
      </c>
      <c r="S93" s="14"/>
      <c r="T93" s="31">
        <f>+T89-T91</f>
        <v>-426488.68</v>
      </c>
      <c r="U93" s="14"/>
      <c r="V93" s="34">
        <f>IF(T$12=0,0,T93/T$12)</f>
        <v>0</v>
      </c>
      <c r="W93" s="15"/>
      <c r="X93" s="31">
        <f>P93-T93</f>
        <v>308728.06999999995</v>
      </c>
      <c r="Y93" s="15"/>
      <c r="Z93" s="34">
        <f>IF(T93=0,0,X93/T93)</f>
        <v>-0.72388338654146678</v>
      </c>
    </row>
    <row r="94" spans="1:26" ht="15.75" thickTop="1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8" t="s">
        <v>5</v>
      </c>
      <c r="C96" s="28"/>
      <c r="D96" s="32">
        <f>SUM(D93:D95)</f>
        <v>-35067.669999999991</v>
      </c>
      <c r="E96" s="14"/>
      <c r="F96" s="30">
        <f>IF(D$12=0,0,D96/D$12)</f>
        <v>0</v>
      </c>
      <c r="G96" s="14"/>
      <c r="H96" s="32">
        <f>SUM(H93:H95)</f>
        <v>-74679.769999999975</v>
      </c>
      <c r="I96" s="14"/>
      <c r="J96" s="30">
        <f>IF(H$12=0,0,H96/H$12)</f>
        <v>0</v>
      </c>
      <c r="K96" s="15"/>
      <c r="L96" s="32">
        <f>+D96-H96</f>
        <v>39612.099999999984</v>
      </c>
      <c r="M96" s="15"/>
      <c r="N96" s="30">
        <f>IF(H96=0,0,L96/H96)</f>
        <v>-0.53042611138197127</v>
      </c>
      <c r="O96" s="29"/>
      <c r="P96" s="32">
        <f>SUM(P93:P95)</f>
        <v>-117760.61000000002</v>
      </c>
      <c r="Q96" s="14"/>
      <c r="R96" s="30">
        <f>IF(P$12=0,0,P96/P$12)</f>
        <v>0</v>
      </c>
      <c r="S96" s="14"/>
      <c r="T96" s="32">
        <f>SUM(T93:T95)</f>
        <v>-426488.68</v>
      </c>
      <c r="U96" s="14"/>
      <c r="V96" s="30">
        <f>IF(T$12=0,0,T96/T$12)</f>
        <v>0</v>
      </c>
      <c r="W96" s="15"/>
      <c r="X96" s="32">
        <f>+P96-T96</f>
        <v>308728.06999999995</v>
      </c>
      <c r="Y96" s="15"/>
      <c r="Z96" s="30">
        <f>IF(T96=0,0,X96/T96)</f>
        <v>-0.72388338654146678</v>
      </c>
    </row>
    <row r="97" spans="1:24" ht="15.75" thickTop="1" x14ac:dyDescent="0.25">
      <c r="A97" s="9"/>
      <c r="C97" s="9"/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A98" s="9"/>
      <c r="B98" s="54">
        <v>44174.685953622684</v>
      </c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25">
      <c r="A99" s="9"/>
      <c r="B99" s="56" t="s">
        <v>313</v>
      </c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4" x14ac:dyDescent="0.25">
      <c r="A100" s="9"/>
      <c r="B100" s="61"/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4" x14ac:dyDescent="0.25"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297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","412", " - ", "Chartroom")</f>
        <v>Department 412 - Chartroom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19467.14</v>
      </c>
      <c r="I12" s="4"/>
      <c r="J12" s="12"/>
      <c r="K12" s="4"/>
      <c r="L12" s="4">
        <f t="shared" ref="L12:L14" si="0">+D12-H12</f>
        <v>-19467.14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310054.60000000003</v>
      </c>
      <c r="U12" s="4"/>
      <c r="V12" s="12"/>
      <c r="W12" s="4"/>
      <c r="X12" s="4">
        <f t="shared" ref="X12:X14" si="2">+P12-T12</f>
        <v>-310054.60000000003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4" si="4">0</f>
        <v>0</v>
      </c>
      <c r="E13" s="2"/>
      <c r="F13" s="19"/>
      <c r="G13" s="2"/>
      <c r="H13" s="2">
        <f>--14197.47</f>
        <v>14197.47</v>
      </c>
      <c r="I13" s="2"/>
      <c r="J13" s="19"/>
      <c r="K13" s="2"/>
      <c r="L13" s="2">
        <f t="shared" si="0"/>
        <v>-14197.47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--279845.89</f>
        <v>279845.89</v>
      </c>
      <c r="U13" s="2"/>
      <c r="V13" s="19"/>
      <c r="W13" s="2"/>
      <c r="X13" s="2">
        <f t="shared" si="2"/>
        <v>-279845.89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 t="shared" si="4"/>
        <v>0</v>
      </c>
      <c r="E14" s="2"/>
      <c r="F14" s="19"/>
      <c r="G14" s="2"/>
      <c r="H14" s="2">
        <f>--5269.67</f>
        <v>5269.67</v>
      </c>
      <c r="I14" s="2"/>
      <c r="J14" s="19"/>
      <c r="K14" s="2"/>
      <c r="L14" s="2">
        <f t="shared" si="0"/>
        <v>-5269.67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--30208.71</f>
        <v>30208.71</v>
      </c>
      <c r="U14" s="2"/>
      <c r="V14" s="19"/>
      <c r="W14" s="2"/>
      <c r="X14" s="2">
        <f t="shared" si="2"/>
        <v>-30208.71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24429.37</v>
      </c>
      <c r="I16" s="4"/>
      <c r="J16" s="12">
        <f t="shared" ref="J16:J17" si="7">IF(H$12=0,0,H16/H$12)</f>
        <v>1.2549028773615436</v>
      </c>
      <c r="K16" s="4"/>
      <c r="L16" s="4">
        <f t="shared" ref="L16:L17" si="8">+D16-H16</f>
        <v>-24429.37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117409.39</v>
      </c>
      <c r="U16" s="4"/>
      <c r="V16" s="12">
        <f t="shared" ref="V16:V17" si="11">IF(T$12=0,0,T16/T$12)</f>
        <v>0.37867327238492826</v>
      </c>
      <c r="W16" s="4"/>
      <c r="X16" s="4">
        <f t="shared" ref="X16:X17" si="12">+P16-T16</f>
        <v>-117409.39</v>
      </c>
      <c r="Y16" s="4"/>
      <c r="Z16" s="12">
        <f t="shared" ref="Z16:Z17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24429.37</v>
      </c>
      <c r="I17" s="2"/>
      <c r="J17" s="19">
        <f t="shared" si="7"/>
        <v>1.2549028773615436</v>
      </c>
      <c r="K17" s="2"/>
      <c r="L17" s="2">
        <f t="shared" si="8"/>
        <v>-24429.37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117409.39</v>
      </c>
      <c r="U17" s="2"/>
      <c r="V17" s="19">
        <f t="shared" si="11"/>
        <v>0.37867327238492826</v>
      </c>
      <c r="W17" s="2"/>
      <c r="X17" s="2">
        <f t="shared" si="12"/>
        <v>-117409.39</v>
      </c>
      <c r="Y17" s="2"/>
      <c r="Z17" s="19">
        <f t="shared" si="13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8" t="s">
        <v>6</v>
      </c>
      <c r="C19" s="28"/>
      <c r="D19" s="20">
        <f>D12-D16</f>
        <v>0</v>
      </c>
      <c r="E19" s="14"/>
      <c r="F19" s="22">
        <f>IF(D$12=0,0,D19/D$12)</f>
        <v>0</v>
      </c>
      <c r="G19" s="14"/>
      <c r="H19" s="20">
        <f>H12-H16</f>
        <v>-4962.2299999999996</v>
      </c>
      <c r="I19" s="14"/>
      <c r="J19" s="22">
        <f>IF(H$12=0,0,H19/H$12)</f>
        <v>-0.2549028773615436</v>
      </c>
      <c r="K19" s="15"/>
      <c r="L19" s="20">
        <f>+D19-H19</f>
        <v>4962.2299999999996</v>
      </c>
      <c r="M19" s="15"/>
      <c r="N19" s="22">
        <f>IF(H19=0,0,L19/H19)</f>
        <v>-1</v>
      </c>
      <c r="O19" s="29"/>
      <c r="P19" s="20">
        <f>P12-P16</f>
        <v>0</v>
      </c>
      <c r="Q19" s="14"/>
      <c r="R19" s="22">
        <f>IF(P$12=0,0,P19/P$12)</f>
        <v>0</v>
      </c>
      <c r="S19" s="14"/>
      <c r="T19" s="20">
        <f>T12-T16</f>
        <v>192645.21000000002</v>
      </c>
      <c r="U19" s="14"/>
      <c r="V19" s="22">
        <f>IF(T$12=0,0,T19/T$12)</f>
        <v>0.62132672761507168</v>
      </c>
      <c r="W19" s="15"/>
      <c r="X19" s="20">
        <f>+P19-T19</f>
        <v>-192645.21000000002</v>
      </c>
      <c r="Y19" s="15"/>
      <c r="Z19" s="22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9" t="s">
        <v>9</v>
      </c>
      <c r="C21" s="10"/>
      <c r="D21" s="21">
        <f>SUM(OSRRefD22x_0)</f>
        <v>1951.4900000000002</v>
      </c>
      <c r="E21" s="21"/>
      <c r="F21" s="35">
        <f t="shared" ref="F21:F30" si="14">IF(D$12=0,0,D21/D$12)</f>
        <v>0</v>
      </c>
      <c r="G21" s="21"/>
      <c r="H21" s="21">
        <f>SUM(OSRRefH22x_0)</f>
        <v>26454.220000000005</v>
      </c>
      <c r="I21" s="21"/>
      <c r="J21" s="35">
        <f t="shared" ref="J21:J30" si="15">IF(H$12=0,0,H21/H$12)</f>
        <v>1.3589166153836674</v>
      </c>
      <c r="K21" s="4"/>
      <c r="L21" s="21">
        <f t="shared" ref="L21:L30" si="16">+D21-H21</f>
        <v>-24502.730000000003</v>
      </c>
      <c r="M21" s="4"/>
      <c r="N21" s="35">
        <f t="shared" ref="N21:N30" si="17">IF(H21=0,0,L21/H21)</f>
        <v>-0.9262314292388889</v>
      </c>
      <c r="O21" s="10"/>
      <c r="P21" s="21">
        <f>SUM(OSRRefP22x_0)</f>
        <v>5375.57</v>
      </c>
      <c r="Q21" s="21"/>
      <c r="R21" s="35">
        <f t="shared" ref="R21:R30" si="18">IF(P$12=0,0,P21/P$12)</f>
        <v>0</v>
      </c>
      <c r="S21" s="21"/>
      <c r="T21" s="21">
        <f>SUM(OSRRefT22x_0)</f>
        <v>229156.41999999998</v>
      </c>
      <c r="U21" s="21"/>
      <c r="V21" s="35">
        <f t="shared" ref="V21:V30" si="19">IF(T$12=0,0,T21/T$12)</f>
        <v>0.73908408390006131</v>
      </c>
      <c r="W21" s="4"/>
      <c r="X21" s="21">
        <f t="shared" ref="X21:X30" si="20">+P21-T21</f>
        <v>-223780.84999999998</v>
      </c>
      <c r="Y21" s="4"/>
      <c r="Z21" s="35">
        <f t="shared" ref="Z21:Z30" si="21">IF(T21=0,0,X21/T21)</f>
        <v>-0.97654191839792226</v>
      </c>
    </row>
    <row r="22" spans="1:26" s="26" customFormat="1" outlineLevel="1" collapsed="1" x14ac:dyDescent="0.25">
      <c r="A22" s="27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8071.420000000001</v>
      </c>
      <c r="I22" s="1"/>
      <c r="J22" s="5">
        <f t="shared" si="15"/>
        <v>0.41461765826926816</v>
      </c>
      <c r="K22" s="1"/>
      <c r="L22" s="1">
        <f t="shared" si="16"/>
        <v>-8071.420000000001</v>
      </c>
      <c r="M22" s="1"/>
      <c r="N22" s="5">
        <f t="shared" si="17"/>
        <v>-1</v>
      </c>
      <c r="O22" s="13"/>
      <c r="P22" s="1">
        <f>SUM(OSRRefP22_0x_0)</f>
        <v>0</v>
      </c>
      <c r="Q22" s="1"/>
      <c r="R22" s="5">
        <f t="shared" si="18"/>
        <v>0</v>
      </c>
      <c r="S22" s="1"/>
      <c r="T22" s="1">
        <f>SUM(OSRRefT22_0x_0)</f>
        <v>60940.44000000001</v>
      </c>
      <c r="U22" s="1"/>
      <c r="V22" s="5">
        <f t="shared" si="19"/>
        <v>0.19654744680453057</v>
      </c>
      <c r="W22" s="1"/>
      <c r="X22" s="1">
        <f t="shared" si="20"/>
        <v>-60940.44000000001</v>
      </c>
      <c r="Y22" s="1"/>
      <c r="Z22" s="5">
        <f t="shared" si="21"/>
        <v>-1</v>
      </c>
    </row>
    <row r="23" spans="1:26" s="24" customFormat="1" hidden="1" outlineLevel="2" x14ac:dyDescent="0.25">
      <c r="A23" s="25"/>
      <c r="B23" s="11" t="str">
        <f>CONCATENATE("          ", "6111", " - ", "F.I.C.A.")</f>
        <v xml:space="preserve">          6111 - F.I.C.A.</v>
      </c>
      <c r="C23" s="11"/>
      <c r="D23" s="6"/>
      <c r="E23" s="2"/>
      <c r="F23" s="7">
        <f t="shared" si="14"/>
        <v>0</v>
      </c>
      <c r="G23" s="2"/>
      <c r="H23" s="6">
        <v>848.1</v>
      </c>
      <c r="I23" s="2"/>
      <c r="J23" s="7">
        <f t="shared" si="15"/>
        <v>4.3565721518415139E-2</v>
      </c>
      <c r="K23" s="2"/>
      <c r="L23" s="6">
        <f t="shared" si="16"/>
        <v>-848.1</v>
      </c>
      <c r="M23" s="2"/>
      <c r="N23" s="7">
        <f t="shared" si="17"/>
        <v>-1</v>
      </c>
      <c r="O23" s="11"/>
      <c r="P23" s="6"/>
      <c r="Q23" s="2"/>
      <c r="R23" s="7">
        <f t="shared" si="18"/>
        <v>0</v>
      </c>
      <c r="S23" s="2"/>
      <c r="T23" s="6">
        <v>9232.2099999999991</v>
      </c>
      <c r="U23" s="2"/>
      <c r="V23" s="7">
        <f t="shared" si="19"/>
        <v>2.9776078148816363E-2</v>
      </c>
      <c r="W23" s="2"/>
      <c r="X23" s="6">
        <f t="shared" si="20"/>
        <v>-9232.2099999999991</v>
      </c>
      <c r="Y23" s="2"/>
      <c r="Z23" s="7">
        <f t="shared" si="21"/>
        <v>-1</v>
      </c>
    </row>
    <row r="24" spans="1:26" s="24" customFormat="1" hidden="1" outlineLevel="2" x14ac:dyDescent="0.25">
      <c r="A24" s="25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4"/>
        <v>0</v>
      </c>
      <c r="G24" s="2"/>
      <c r="H24" s="6">
        <v>568.63</v>
      </c>
      <c r="I24" s="2"/>
      <c r="J24" s="7">
        <f t="shared" si="15"/>
        <v>2.9209734968773021E-2</v>
      </c>
      <c r="K24" s="2"/>
      <c r="L24" s="6">
        <f t="shared" si="16"/>
        <v>-568.63</v>
      </c>
      <c r="M24" s="2"/>
      <c r="N24" s="7">
        <f t="shared" si="17"/>
        <v>-1</v>
      </c>
      <c r="O24" s="11"/>
      <c r="P24" s="6"/>
      <c r="Q24" s="2"/>
      <c r="R24" s="7">
        <f t="shared" si="18"/>
        <v>0</v>
      </c>
      <c r="S24" s="2"/>
      <c r="T24" s="6">
        <v>2409.04</v>
      </c>
      <c r="U24" s="2"/>
      <c r="V24" s="7">
        <f t="shared" si="19"/>
        <v>7.769728299467254E-3</v>
      </c>
      <c r="W24" s="2"/>
      <c r="X24" s="6">
        <f t="shared" si="20"/>
        <v>-2409.04</v>
      </c>
      <c r="Y24" s="2"/>
      <c r="Z24" s="7">
        <f t="shared" si="21"/>
        <v>-1</v>
      </c>
    </row>
    <row r="25" spans="1:26" s="24" customFormat="1" hidden="1" outlineLevel="2" x14ac:dyDescent="0.25">
      <c r="A25" s="25"/>
      <c r="B25" s="11" t="str">
        <f>CONCATENATE("          ", "6113", " - ", "GROUP INSURANCE")</f>
        <v xml:space="preserve">          6113 - GROUP INSURANCE</v>
      </c>
      <c r="C25" s="11"/>
      <c r="D25" s="6"/>
      <c r="E25" s="2"/>
      <c r="F25" s="7">
        <f t="shared" si="14"/>
        <v>0</v>
      </c>
      <c r="G25" s="2"/>
      <c r="H25" s="6">
        <v>5245.28</v>
      </c>
      <c r="I25" s="2"/>
      <c r="J25" s="7">
        <f t="shared" si="15"/>
        <v>0.26944276354924246</v>
      </c>
      <c r="K25" s="2"/>
      <c r="L25" s="6">
        <f t="shared" si="16"/>
        <v>-5245.28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26493.64</v>
      </c>
      <c r="U25" s="2"/>
      <c r="V25" s="7">
        <f t="shared" si="19"/>
        <v>8.5448304911457523E-2</v>
      </c>
      <c r="W25" s="2"/>
      <c r="X25" s="6">
        <f t="shared" si="20"/>
        <v>-26493.64</v>
      </c>
      <c r="Y25" s="2"/>
      <c r="Z25" s="7">
        <f t="shared" si="21"/>
        <v>-1</v>
      </c>
    </row>
    <row r="26" spans="1:26" s="24" customFormat="1" hidden="1" outlineLevel="2" x14ac:dyDescent="0.25">
      <c r="A26" s="25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4"/>
        <v>0</v>
      </c>
      <c r="G26" s="2"/>
      <c r="H26" s="6">
        <v>42.38</v>
      </c>
      <c r="I26" s="2"/>
      <c r="J26" s="7">
        <f t="shared" si="15"/>
        <v>2.1770018605711985E-3</v>
      </c>
      <c r="K26" s="2"/>
      <c r="L26" s="6">
        <f t="shared" si="16"/>
        <v>-42.38</v>
      </c>
      <c r="M26" s="2"/>
      <c r="N26" s="7">
        <f t="shared" si="17"/>
        <v>-1</v>
      </c>
      <c r="O26" s="11"/>
      <c r="P26" s="6"/>
      <c r="Q26" s="2"/>
      <c r="R26" s="7">
        <f t="shared" si="18"/>
        <v>0</v>
      </c>
      <c r="S26" s="2"/>
      <c r="T26" s="6">
        <v>328.39</v>
      </c>
      <c r="U26" s="2"/>
      <c r="V26" s="7">
        <f t="shared" si="19"/>
        <v>1.0591360360401036E-3</v>
      </c>
      <c r="W26" s="2"/>
      <c r="X26" s="6">
        <f t="shared" si="20"/>
        <v>-328.39</v>
      </c>
      <c r="Y26" s="2"/>
      <c r="Z26" s="7">
        <f t="shared" si="21"/>
        <v>-1</v>
      </c>
    </row>
    <row r="27" spans="1:26" s="24" customFormat="1" hidden="1" outlineLevel="2" x14ac:dyDescent="0.25">
      <c r="A27" s="25"/>
      <c r="B27" s="11" t="str">
        <f>CONCATENATE("          ", "6115", " - ", "P.E.R.S.")</f>
        <v xml:space="preserve">          6115 - P.E.R.S.</v>
      </c>
      <c r="C27" s="11"/>
      <c r="D27" s="6"/>
      <c r="E27" s="2"/>
      <c r="F27" s="7">
        <f t="shared" si="14"/>
        <v>0</v>
      </c>
      <c r="G27" s="2"/>
      <c r="H27" s="6">
        <v>214.92</v>
      </c>
      <c r="I27" s="2"/>
      <c r="J27" s="7">
        <f t="shared" si="15"/>
        <v>1.1040142517082633E-2</v>
      </c>
      <c r="K27" s="2"/>
      <c r="L27" s="6">
        <f t="shared" si="16"/>
        <v>-214.92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5248.41</v>
      </c>
      <c r="U27" s="2"/>
      <c r="V27" s="7">
        <f t="shared" si="19"/>
        <v>1.6927373436807579E-2</v>
      </c>
      <c r="W27" s="2"/>
      <c r="X27" s="6">
        <f t="shared" si="20"/>
        <v>-5248.41</v>
      </c>
      <c r="Y27" s="2"/>
      <c r="Z27" s="7">
        <f t="shared" si="21"/>
        <v>-1</v>
      </c>
    </row>
    <row r="28" spans="1:26" s="24" customFormat="1" hidden="1" outlineLevel="2" x14ac:dyDescent="0.25">
      <c r="A28" s="25"/>
      <c r="B28" s="11" t="str">
        <f>CONCATENATE("          ", "6118", " - ", "VACATION")</f>
        <v xml:space="preserve">          6118 - VACATION</v>
      </c>
      <c r="C28" s="11"/>
      <c r="D28" s="6"/>
      <c r="E28" s="2"/>
      <c r="F28" s="7">
        <f t="shared" si="14"/>
        <v>0</v>
      </c>
      <c r="G28" s="2"/>
      <c r="H28" s="6">
        <v>294.56</v>
      </c>
      <c r="I28" s="2"/>
      <c r="J28" s="7">
        <f t="shared" si="15"/>
        <v>1.5131138934635495E-2</v>
      </c>
      <c r="K28" s="2"/>
      <c r="L28" s="6">
        <f t="shared" si="16"/>
        <v>-294.56</v>
      </c>
      <c r="M28" s="2"/>
      <c r="N28" s="7">
        <f t="shared" si="17"/>
        <v>-1</v>
      </c>
      <c r="O28" s="11"/>
      <c r="P28" s="6"/>
      <c r="Q28" s="2"/>
      <c r="R28" s="7">
        <f t="shared" si="18"/>
        <v>0</v>
      </c>
      <c r="S28" s="2"/>
      <c r="T28" s="6">
        <v>6188.27</v>
      </c>
      <c r="U28" s="2"/>
      <c r="V28" s="7">
        <f t="shared" si="19"/>
        <v>1.9958645993318595E-2</v>
      </c>
      <c r="W28" s="2"/>
      <c r="X28" s="6">
        <f t="shared" si="20"/>
        <v>-6188.27</v>
      </c>
      <c r="Y28" s="2"/>
      <c r="Z28" s="7">
        <f t="shared" si="21"/>
        <v>-1</v>
      </c>
    </row>
    <row r="29" spans="1:26" s="24" customFormat="1" hidden="1" outlineLevel="2" x14ac:dyDescent="0.25">
      <c r="A29" s="25"/>
      <c r="B29" s="11" t="str">
        <f>CONCATENATE("          ", "6119", " - ", "SICK LEAVE")</f>
        <v xml:space="preserve">          6119 - SICK LEAVE</v>
      </c>
      <c r="C29" s="11"/>
      <c r="D29" s="6"/>
      <c r="E29" s="2"/>
      <c r="F29" s="7">
        <f t="shared" si="14"/>
        <v>0</v>
      </c>
      <c r="G29" s="2"/>
      <c r="H29" s="6">
        <v>282.88</v>
      </c>
      <c r="I29" s="2"/>
      <c r="J29" s="7">
        <f t="shared" si="15"/>
        <v>1.4531153523321865E-2</v>
      </c>
      <c r="K29" s="2"/>
      <c r="L29" s="6">
        <f t="shared" si="16"/>
        <v>-282.88</v>
      </c>
      <c r="M29" s="2"/>
      <c r="N29" s="7">
        <f t="shared" si="17"/>
        <v>-1</v>
      </c>
      <c r="O29" s="11"/>
      <c r="P29" s="6"/>
      <c r="Q29" s="2"/>
      <c r="R29" s="7">
        <f t="shared" si="18"/>
        <v>0</v>
      </c>
      <c r="S29" s="2"/>
      <c r="T29" s="6">
        <v>8535.61</v>
      </c>
      <c r="U29" s="2"/>
      <c r="V29" s="7">
        <f t="shared" si="19"/>
        <v>2.7529377083907156E-2</v>
      </c>
      <c r="W29" s="2"/>
      <c r="X29" s="6">
        <f t="shared" si="20"/>
        <v>-8535.61</v>
      </c>
      <c r="Y29" s="2"/>
      <c r="Z29" s="7">
        <f t="shared" si="21"/>
        <v>-1</v>
      </c>
    </row>
    <row r="30" spans="1:26" s="24" customFormat="1" hidden="1" outlineLevel="2" x14ac:dyDescent="0.25">
      <c r="A30" s="25"/>
      <c r="B30" s="11" t="str">
        <f>CONCATENATE("          ", "6156", " - ", "EMPLOYEE MEALS")</f>
        <v xml:space="preserve">          6156 - EMPLOYEE MEALS</v>
      </c>
      <c r="C30" s="11"/>
      <c r="D30" s="6"/>
      <c r="E30" s="2"/>
      <c r="F30" s="7">
        <f t="shared" si="14"/>
        <v>0</v>
      </c>
      <c r="G30" s="2"/>
      <c r="H30" s="6">
        <v>574.66999999999996</v>
      </c>
      <c r="I30" s="2"/>
      <c r="J30" s="7">
        <f t="shared" si="15"/>
        <v>2.9520001397226298E-2</v>
      </c>
      <c r="K30" s="2"/>
      <c r="L30" s="6">
        <f t="shared" si="16"/>
        <v>-574.66999999999996</v>
      </c>
      <c r="M30" s="2"/>
      <c r="N30" s="7">
        <f t="shared" si="17"/>
        <v>-1</v>
      </c>
      <c r="O30" s="11"/>
      <c r="P30" s="6"/>
      <c r="Q30" s="2"/>
      <c r="R30" s="7">
        <f t="shared" si="18"/>
        <v>0</v>
      </c>
      <c r="S30" s="2"/>
      <c r="T30" s="6">
        <v>2504.87</v>
      </c>
      <c r="U30" s="2"/>
      <c r="V30" s="7">
        <f t="shared" si="19"/>
        <v>8.0788028947159623E-3</v>
      </c>
      <c r="W30" s="2"/>
      <c r="X30" s="6">
        <f t="shared" si="20"/>
        <v>-2504.87</v>
      </c>
      <c r="Y30" s="2"/>
      <c r="Z30" s="7">
        <f t="shared" si="21"/>
        <v>-1</v>
      </c>
    </row>
    <row r="31" spans="1:26" s="26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0</v>
      </c>
      <c r="E31" s="1"/>
      <c r="F31" s="5">
        <f t="shared" ref="F31:F37" si="22">IF(D$12=0,0,D31/D$12)</f>
        <v>0</v>
      </c>
      <c r="G31" s="1"/>
      <c r="H31" s="1">
        <f>SUM(OSRRefH22_1x_0)</f>
        <v>14272.71</v>
      </c>
      <c r="I31" s="1"/>
      <c r="J31" s="5">
        <f t="shared" ref="J31:J37" si="23">IF(H$12=0,0,H31/H$12)</f>
        <v>0.73316933047175903</v>
      </c>
      <c r="K31" s="1"/>
      <c r="L31" s="1">
        <f t="shared" ref="L31:L37" si="24">+D31-H31</f>
        <v>-14272.71</v>
      </c>
      <c r="M31" s="1"/>
      <c r="N31" s="5">
        <f t="shared" ref="N31:N37" si="25">IF(H31=0,0,L31/H31)</f>
        <v>-1</v>
      </c>
      <c r="O31" s="13"/>
      <c r="P31" s="1">
        <f>SUM(OSRRefP22_1x_0)</f>
        <v>0</v>
      </c>
      <c r="Q31" s="1"/>
      <c r="R31" s="5">
        <f t="shared" ref="R31:R37" si="26">IF(P$12=0,0,P31/P$12)</f>
        <v>0</v>
      </c>
      <c r="S31" s="1"/>
      <c r="T31" s="1">
        <f>SUM(OSRRefT22_1x_0)</f>
        <v>134187.77000000002</v>
      </c>
      <c r="U31" s="1"/>
      <c r="V31" s="5">
        <f t="shared" ref="V31:V37" si="27">IF(T$12=0,0,T31/T$12)</f>
        <v>0.43278754774159134</v>
      </c>
      <c r="W31" s="1"/>
      <c r="X31" s="1">
        <f t="shared" ref="X31:X37" si="28">+P31-T31</f>
        <v>-134187.77000000002</v>
      </c>
      <c r="Y31" s="1"/>
      <c r="Z31" s="5">
        <f t="shared" ref="Z31:Z37" si="29">IF(T31=0,0,X31/T31)</f>
        <v>-1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22"/>
        <v>0</v>
      </c>
      <c r="G32" s="2"/>
      <c r="H32" s="6">
        <v>3076.94</v>
      </c>
      <c r="I32" s="2"/>
      <c r="J32" s="7">
        <f t="shared" si="23"/>
        <v>0.15805814310679434</v>
      </c>
      <c r="K32" s="2"/>
      <c r="L32" s="6">
        <f t="shared" si="24"/>
        <v>-3076.94</v>
      </c>
      <c r="M32" s="2"/>
      <c r="N32" s="7">
        <f t="shared" si="25"/>
        <v>-1</v>
      </c>
      <c r="O32" s="11"/>
      <c r="P32" s="6"/>
      <c r="Q32" s="2"/>
      <c r="R32" s="7">
        <f t="shared" si="26"/>
        <v>0</v>
      </c>
      <c r="S32" s="2"/>
      <c r="T32" s="6">
        <v>47207.07</v>
      </c>
      <c r="U32" s="2"/>
      <c r="V32" s="7">
        <f t="shared" si="27"/>
        <v>0.15225405460844638</v>
      </c>
      <c r="W32" s="2"/>
      <c r="X32" s="6">
        <f t="shared" si="28"/>
        <v>-47207.07</v>
      </c>
      <c r="Y32" s="2"/>
      <c r="Z32" s="7">
        <f t="shared" si="29"/>
        <v>-1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22"/>
        <v>0</v>
      </c>
      <c r="G33" s="2"/>
      <c r="H33" s="6">
        <v>4586.96</v>
      </c>
      <c r="I33" s="2"/>
      <c r="J33" s="7">
        <f t="shared" si="23"/>
        <v>0.23562577759239417</v>
      </c>
      <c r="K33" s="2"/>
      <c r="L33" s="6">
        <f t="shared" si="24"/>
        <v>-4586.96</v>
      </c>
      <c r="M33" s="2"/>
      <c r="N33" s="7">
        <f t="shared" si="25"/>
        <v>-1</v>
      </c>
      <c r="O33" s="11"/>
      <c r="P33" s="6"/>
      <c r="Q33" s="2"/>
      <c r="R33" s="7">
        <f t="shared" si="26"/>
        <v>0</v>
      </c>
      <c r="S33" s="2"/>
      <c r="T33" s="6">
        <v>27276.75</v>
      </c>
      <c r="U33" s="2"/>
      <c r="V33" s="7">
        <f t="shared" si="27"/>
        <v>8.7974021349788059E-2</v>
      </c>
      <c r="W33" s="2"/>
      <c r="X33" s="6">
        <f t="shared" si="28"/>
        <v>-27276.75</v>
      </c>
      <c r="Y33" s="2"/>
      <c r="Z33" s="7">
        <f t="shared" si="29"/>
        <v>-1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>
        <v>3422.24</v>
      </c>
      <c r="I34" s="2"/>
      <c r="J34" s="7">
        <f t="shared" si="23"/>
        <v>0.17579572551489331</v>
      </c>
      <c r="K34" s="2"/>
      <c r="L34" s="6">
        <f t="shared" si="24"/>
        <v>-3422.24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29198.609999999997</v>
      </c>
      <c r="U34" s="2"/>
      <c r="V34" s="7">
        <f t="shared" si="27"/>
        <v>9.4172478008711993E-2</v>
      </c>
      <c r="W34" s="2"/>
      <c r="X34" s="6">
        <f t="shared" si="28"/>
        <v>-29198.609999999997</v>
      </c>
      <c r="Y34" s="2"/>
      <c r="Z34" s="7">
        <f t="shared" si="29"/>
        <v>-1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2"/>
        <v>0</v>
      </c>
      <c r="G35" s="2"/>
      <c r="H35" s="6"/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1299.6300000000001</v>
      </c>
      <c r="U35" s="2"/>
      <c r="V35" s="7">
        <f t="shared" si="27"/>
        <v>4.1916165733390182E-3</v>
      </c>
      <c r="W35" s="2"/>
      <c r="X35" s="6">
        <f t="shared" si="28"/>
        <v>-1299.6300000000001</v>
      </c>
      <c r="Y35" s="2"/>
      <c r="Z35" s="7">
        <f t="shared" si="29"/>
        <v>-1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2"/>
        <v>0</v>
      </c>
      <c r="G36" s="2"/>
      <c r="H36" s="6">
        <v>3186.57</v>
      </c>
      <c r="I36" s="2"/>
      <c r="J36" s="7">
        <f t="shared" si="23"/>
        <v>0.1636896842576773</v>
      </c>
      <c r="K36" s="2"/>
      <c r="L36" s="6">
        <f t="shared" si="24"/>
        <v>-3186.57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25800.489999999998</v>
      </c>
      <c r="U36" s="2"/>
      <c r="V36" s="7">
        <f t="shared" si="27"/>
        <v>8.3212730919005856E-2</v>
      </c>
      <c r="W36" s="2"/>
      <c r="X36" s="6">
        <f t="shared" si="28"/>
        <v>-25800.489999999998</v>
      </c>
      <c r="Y36" s="2"/>
      <c r="Z36" s="7">
        <f t="shared" si="29"/>
        <v>-1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2"/>
        <v>0</v>
      </c>
      <c r="G37" s="2"/>
      <c r="H37" s="6"/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3405.22</v>
      </c>
      <c r="U37" s="2"/>
      <c r="V37" s="7">
        <f t="shared" si="27"/>
        <v>1.0982646282299955E-2</v>
      </c>
      <c r="W37" s="2"/>
      <c r="X37" s="6">
        <f t="shared" si="28"/>
        <v>-3405.22</v>
      </c>
      <c r="Y37" s="2"/>
      <c r="Z37" s="7">
        <f t="shared" si="29"/>
        <v>-1</v>
      </c>
    </row>
    <row r="38" spans="1:26" s="26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2" si="30">IF(D$12=0,0,D38/D$12)</f>
        <v>0</v>
      </c>
      <c r="G38" s="1"/>
      <c r="H38" s="1">
        <f>SUM(OSRRefH22_2x_0)</f>
        <v>0</v>
      </c>
      <c r="I38" s="1"/>
      <c r="J38" s="5">
        <f t="shared" ref="J38:J52" si="31">IF(H$12=0,0,H38/H$12)</f>
        <v>0</v>
      </c>
      <c r="K38" s="1"/>
      <c r="L38" s="1">
        <f t="shared" ref="L38:L52" si="32">+D38-H38</f>
        <v>0</v>
      </c>
      <c r="M38" s="1"/>
      <c r="N38" s="5">
        <f t="shared" ref="N38:N52" si="33">IF(H38=0,0,L38/H38)</f>
        <v>0</v>
      </c>
      <c r="O38" s="13"/>
      <c r="P38" s="1">
        <f>SUM(OSRRefP22_2x_0)</f>
        <v>0</v>
      </c>
      <c r="Q38" s="1"/>
      <c r="R38" s="5">
        <f t="shared" ref="R38:R52" si="34">IF(P$12=0,0,P38/P$12)</f>
        <v>0</v>
      </c>
      <c r="S38" s="1"/>
      <c r="T38" s="1">
        <f>SUM(OSRRefT22_2x_0)</f>
        <v>339.52</v>
      </c>
      <c r="U38" s="1"/>
      <c r="V38" s="5">
        <f t="shared" ref="V38:V52" si="35">IF(T$12=0,0,T38/T$12)</f>
        <v>1.0950329393597125E-3</v>
      </c>
      <c r="W38" s="1"/>
      <c r="X38" s="1">
        <f t="shared" ref="X38:X52" si="36">+P38-T38</f>
        <v>-339.52</v>
      </c>
      <c r="Y38" s="1"/>
      <c r="Z38" s="5">
        <f t="shared" ref="Z38:Z52" si="37">IF(T38=0,0,X38/T38)</f>
        <v>-1</v>
      </c>
    </row>
    <row r="39" spans="1:26" s="24" customFormat="1" hidden="1" outlineLevel="2" x14ac:dyDescent="0.25">
      <c r="A39" s="25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30"/>
        <v>0</v>
      </c>
      <c r="G39" s="2"/>
      <c r="H39" s="6"/>
      <c r="I39" s="2"/>
      <c r="J39" s="7">
        <f t="shared" si="31"/>
        <v>0</v>
      </c>
      <c r="K39" s="2"/>
      <c r="L39" s="6">
        <f t="shared" si="32"/>
        <v>0</v>
      </c>
      <c r="M39" s="2"/>
      <c r="N39" s="7">
        <f t="shared" si="33"/>
        <v>0</v>
      </c>
      <c r="O39" s="11"/>
      <c r="P39" s="6"/>
      <c r="Q39" s="2"/>
      <c r="R39" s="7">
        <f t="shared" si="34"/>
        <v>0</v>
      </c>
      <c r="S39" s="2"/>
      <c r="T39" s="6">
        <v>339.52</v>
      </c>
      <c r="U39" s="2"/>
      <c r="V39" s="7">
        <f t="shared" si="35"/>
        <v>1.0950329393597125E-3</v>
      </c>
      <c r="W39" s="2"/>
      <c r="X39" s="6">
        <f t="shared" si="36"/>
        <v>-339.52</v>
      </c>
      <c r="Y39" s="2"/>
      <c r="Z39" s="7">
        <f t="shared" si="37"/>
        <v>-1</v>
      </c>
    </row>
    <row r="40" spans="1:26" s="26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-0.51</v>
      </c>
      <c r="I40" s="1"/>
      <c r="J40" s="5">
        <f t="shared" si="31"/>
        <v>-2.6197993130988939E-5</v>
      </c>
      <c r="K40" s="1"/>
      <c r="L40" s="1">
        <f t="shared" si="32"/>
        <v>0.51</v>
      </c>
      <c r="M40" s="1"/>
      <c r="N40" s="5">
        <f t="shared" si="33"/>
        <v>-1</v>
      </c>
      <c r="O40" s="13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-0.34</v>
      </c>
      <c r="U40" s="1"/>
      <c r="V40" s="5">
        <f t="shared" si="35"/>
        <v>-1.0965810537885906E-6</v>
      </c>
      <c r="W40" s="1"/>
      <c r="X40" s="1">
        <f t="shared" si="36"/>
        <v>0.34</v>
      </c>
      <c r="Y40" s="1"/>
      <c r="Z40" s="5">
        <f t="shared" si="37"/>
        <v>-1</v>
      </c>
    </row>
    <row r="41" spans="1:26" s="24" customFormat="1" hidden="1" outlineLevel="2" x14ac:dyDescent="0.25">
      <c r="A41" s="25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30"/>
        <v>0</v>
      </c>
      <c r="G41" s="2"/>
      <c r="H41" s="6">
        <v>-0.51</v>
      </c>
      <c r="I41" s="2"/>
      <c r="J41" s="7">
        <f t="shared" si="31"/>
        <v>-2.6197993130988939E-5</v>
      </c>
      <c r="K41" s="2"/>
      <c r="L41" s="6">
        <f t="shared" si="32"/>
        <v>0.51</v>
      </c>
      <c r="M41" s="2"/>
      <c r="N41" s="7">
        <f t="shared" si="33"/>
        <v>-1</v>
      </c>
      <c r="O41" s="11"/>
      <c r="P41" s="6"/>
      <c r="Q41" s="2"/>
      <c r="R41" s="7">
        <f t="shared" si="34"/>
        <v>0</v>
      </c>
      <c r="S41" s="2"/>
      <c r="T41" s="6">
        <v>-0.34</v>
      </c>
      <c r="U41" s="2"/>
      <c r="V41" s="7">
        <f t="shared" si="35"/>
        <v>-1.0965810537885906E-6</v>
      </c>
      <c r="W41" s="2"/>
      <c r="X41" s="6">
        <f t="shared" si="36"/>
        <v>0.34</v>
      </c>
      <c r="Y41" s="2"/>
      <c r="Z41" s="7">
        <f t="shared" si="37"/>
        <v>-1</v>
      </c>
    </row>
    <row r="42" spans="1:26" s="26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577.13</v>
      </c>
      <c r="I42" s="1"/>
      <c r="J42" s="5">
        <f t="shared" si="31"/>
        <v>2.9646368187622837E-2</v>
      </c>
      <c r="K42" s="1"/>
      <c r="L42" s="1">
        <f t="shared" si="32"/>
        <v>-577.13</v>
      </c>
      <c r="M42" s="1"/>
      <c r="N42" s="5">
        <f t="shared" si="33"/>
        <v>-1</v>
      </c>
      <c r="O42" s="13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4107.07</v>
      </c>
      <c r="U42" s="1"/>
      <c r="V42" s="5">
        <f t="shared" si="35"/>
        <v>1.324627984877502E-2</v>
      </c>
      <c r="W42" s="1"/>
      <c r="X42" s="1">
        <f t="shared" si="36"/>
        <v>-4107.07</v>
      </c>
      <c r="Y42" s="1"/>
      <c r="Z42" s="5">
        <f t="shared" si="37"/>
        <v>-1</v>
      </c>
    </row>
    <row r="43" spans="1:26" s="24" customFormat="1" hidden="1" outlineLevel="2" x14ac:dyDescent="0.25">
      <c r="A43" s="25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30"/>
        <v>0</v>
      </c>
      <c r="G43" s="2"/>
      <c r="H43" s="6">
        <v>577.13</v>
      </c>
      <c r="I43" s="2"/>
      <c r="J43" s="7">
        <f t="shared" si="31"/>
        <v>2.9646368187622837E-2</v>
      </c>
      <c r="K43" s="2"/>
      <c r="L43" s="6">
        <f t="shared" si="32"/>
        <v>-577.13</v>
      </c>
      <c r="M43" s="2"/>
      <c r="N43" s="7">
        <f t="shared" si="33"/>
        <v>-1</v>
      </c>
      <c r="O43" s="11"/>
      <c r="P43" s="6"/>
      <c r="Q43" s="2"/>
      <c r="R43" s="7">
        <f t="shared" si="34"/>
        <v>0</v>
      </c>
      <c r="S43" s="2"/>
      <c r="T43" s="6">
        <v>4107.07</v>
      </c>
      <c r="U43" s="2"/>
      <c r="V43" s="7">
        <f t="shared" si="35"/>
        <v>1.324627984877502E-2</v>
      </c>
      <c r="W43" s="2"/>
      <c r="X43" s="6">
        <f t="shared" si="36"/>
        <v>-4107.07</v>
      </c>
      <c r="Y43" s="2"/>
      <c r="Z43" s="7">
        <f t="shared" si="37"/>
        <v>-1</v>
      </c>
    </row>
    <row r="44" spans="1:26" s="26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577.36</v>
      </c>
      <c r="E44" s="1"/>
      <c r="F44" s="5">
        <f t="shared" si="30"/>
        <v>0</v>
      </c>
      <c r="G44" s="1"/>
      <c r="H44" s="1">
        <f>SUM(OSRRefH22_5x_0)</f>
        <v>297.99</v>
      </c>
      <c r="I44" s="1"/>
      <c r="J44" s="5">
        <f t="shared" si="31"/>
        <v>1.530733328059489E-2</v>
      </c>
      <c r="K44" s="1"/>
      <c r="L44" s="1">
        <f t="shared" si="32"/>
        <v>279.37</v>
      </c>
      <c r="M44" s="1"/>
      <c r="N44" s="5">
        <f t="shared" si="33"/>
        <v>0.93751468170072816</v>
      </c>
      <c r="O44" s="13"/>
      <c r="P44" s="1">
        <f>SUM(OSRRefP22_5x_0)</f>
        <v>3225.79</v>
      </c>
      <c r="Q44" s="1"/>
      <c r="R44" s="5">
        <f t="shared" si="34"/>
        <v>0</v>
      </c>
      <c r="S44" s="1"/>
      <c r="T44" s="1">
        <f>SUM(OSRRefT22_5x_0)</f>
        <v>1489.95</v>
      </c>
      <c r="U44" s="1"/>
      <c r="V44" s="5">
        <f t="shared" si="35"/>
        <v>4.8054439443891489E-3</v>
      </c>
      <c r="W44" s="1"/>
      <c r="X44" s="1">
        <f t="shared" si="36"/>
        <v>1735.84</v>
      </c>
      <c r="Y44" s="1"/>
      <c r="Z44" s="5">
        <f t="shared" si="37"/>
        <v>1.1650323836370347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577.36</v>
      </c>
      <c r="E45" s="2"/>
      <c r="F45" s="7">
        <f t="shared" si="30"/>
        <v>0</v>
      </c>
      <c r="G45" s="2"/>
      <c r="H45" s="6">
        <v>297.99</v>
      </c>
      <c r="I45" s="2"/>
      <c r="J45" s="7">
        <f t="shared" si="31"/>
        <v>1.530733328059489E-2</v>
      </c>
      <c r="K45" s="2"/>
      <c r="L45" s="6">
        <f t="shared" si="32"/>
        <v>279.37</v>
      </c>
      <c r="M45" s="2"/>
      <c r="N45" s="7">
        <f t="shared" si="33"/>
        <v>0.93751468170072816</v>
      </c>
      <c r="O45" s="11"/>
      <c r="P45" s="6">
        <v>3225.79</v>
      </c>
      <c r="Q45" s="2"/>
      <c r="R45" s="7">
        <f t="shared" si="34"/>
        <v>0</v>
      </c>
      <c r="S45" s="2"/>
      <c r="T45" s="6">
        <v>1489.95</v>
      </c>
      <c r="U45" s="2"/>
      <c r="V45" s="7">
        <f t="shared" si="35"/>
        <v>4.8054439443891489E-3</v>
      </c>
      <c r="W45" s="2"/>
      <c r="X45" s="6">
        <f t="shared" si="36"/>
        <v>1735.84</v>
      </c>
      <c r="Y45" s="2"/>
      <c r="Z45" s="7">
        <f t="shared" si="37"/>
        <v>1.1650323836370347</v>
      </c>
    </row>
    <row r="46" spans="1:26" s="26" customFormat="1" outlineLevel="1" collapsed="1" x14ac:dyDescent="0.25">
      <c r="A46" s="27"/>
      <c r="B46" s="13" t="str">
        <f>CONCATENATE("     ","Equipment Rental                                  ")</f>
        <v xml:space="preserve">     Equipment Rental                                  </v>
      </c>
      <c r="C46" s="13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235.4</v>
      </c>
      <c r="I46" s="1"/>
      <c r="J46" s="5">
        <f t="shared" si="31"/>
        <v>1.2092171731440777E-2</v>
      </c>
      <c r="K46" s="1"/>
      <c r="L46" s="1">
        <f t="shared" si="32"/>
        <v>-235.4</v>
      </c>
      <c r="M46" s="1"/>
      <c r="N46" s="5">
        <f t="shared" si="33"/>
        <v>-1</v>
      </c>
      <c r="O46" s="13"/>
      <c r="P46" s="1">
        <f>SUM(OSRRefP22_6x_0)</f>
        <v>16.239999999999998</v>
      </c>
      <c r="Q46" s="1"/>
      <c r="R46" s="5">
        <f t="shared" si="34"/>
        <v>0</v>
      </c>
      <c r="S46" s="1"/>
      <c r="T46" s="1">
        <f>SUM(OSRRefT22_6x_0)</f>
        <v>473.47</v>
      </c>
      <c r="U46" s="1"/>
      <c r="V46" s="5">
        <f t="shared" si="35"/>
        <v>1.5270536221684825E-3</v>
      </c>
      <c r="W46" s="1"/>
      <c r="X46" s="1">
        <f t="shared" si="36"/>
        <v>-457.23</v>
      </c>
      <c r="Y46" s="1"/>
      <c r="Z46" s="5">
        <f t="shared" si="37"/>
        <v>-0.96570004435339085</v>
      </c>
    </row>
    <row r="47" spans="1:26" s="24" customFormat="1" hidden="1" outlineLevel="2" x14ac:dyDescent="0.25">
      <c r="A47" s="25"/>
      <c r="B47" s="11" t="str">
        <f>CONCATENATE("          ", "6351", " - ", "EQUIPMENT RENTAL")</f>
        <v xml:space="preserve">          6351 - EQUIPMENT RENTAL</v>
      </c>
      <c r="C47" s="11"/>
      <c r="D47" s="6"/>
      <c r="E47" s="2"/>
      <c r="F47" s="7">
        <f t="shared" si="30"/>
        <v>0</v>
      </c>
      <c r="G47" s="2"/>
      <c r="H47" s="6">
        <v>235.4</v>
      </c>
      <c r="I47" s="2"/>
      <c r="J47" s="7">
        <f t="shared" si="31"/>
        <v>1.2092171731440777E-2</v>
      </c>
      <c r="K47" s="2"/>
      <c r="L47" s="6">
        <f t="shared" si="32"/>
        <v>-235.4</v>
      </c>
      <c r="M47" s="2"/>
      <c r="N47" s="7">
        <f t="shared" si="33"/>
        <v>-1</v>
      </c>
      <c r="O47" s="11"/>
      <c r="P47" s="6">
        <v>16.239999999999998</v>
      </c>
      <c r="Q47" s="2"/>
      <c r="R47" s="7">
        <f t="shared" si="34"/>
        <v>0</v>
      </c>
      <c r="S47" s="2"/>
      <c r="T47" s="6">
        <v>473.47</v>
      </c>
      <c r="U47" s="2"/>
      <c r="V47" s="7">
        <f t="shared" si="35"/>
        <v>1.5270536221684825E-3</v>
      </c>
      <c r="W47" s="2"/>
      <c r="X47" s="6">
        <f t="shared" si="36"/>
        <v>-457.23</v>
      </c>
      <c r="Y47" s="2"/>
      <c r="Z47" s="7">
        <f t="shared" si="37"/>
        <v>-0.96570004435339085</v>
      </c>
    </row>
    <row r="48" spans="1:26" s="26" customFormat="1" outlineLevel="1" collapsed="1" x14ac:dyDescent="0.25">
      <c r="A48" s="27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10</v>
      </c>
      <c r="I48" s="1"/>
      <c r="J48" s="5">
        <f t="shared" si="31"/>
        <v>5.136861398233125E-4</v>
      </c>
      <c r="K48" s="1"/>
      <c r="L48" s="1">
        <f t="shared" si="32"/>
        <v>-10</v>
      </c>
      <c r="M48" s="1"/>
      <c r="N48" s="5">
        <f t="shared" si="33"/>
        <v>-1</v>
      </c>
      <c r="O48" s="13"/>
      <c r="P48" s="1">
        <f>SUM(OSRRefP22_7x_0)</f>
        <v>0</v>
      </c>
      <c r="Q48" s="1"/>
      <c r="R48" s="5">
        <f t="shared" si="34"/>
        <v>0</v>
      </c>
      <c r="S48" s="1"/>
      <c r="T48" s="1">
        <f>SUM(OSRRefT22_7x_0)</f>
        <v>2457.08</v>
      </c>
      <c r="U48" s="1"/>
      <c r="V48" s="5">
        <f t="shared" si="35"/>
        <v>7.9246687518907954E-3</v>
      </c>
      <c r="W48" s="1"/>
      <c r="X48" s="1">
        <f t="shared" si="36"/>
        <v>-2457.08</v>
      </c>
      <c r="Y48" s="1"/>
      <c r="Z48" s="5">
        <f t="shared" si="37"/>
        <v>-1</v>
      </c>
    </row>
    <row r="49" spans="1:26" s="24" customFormat="1" hidden="1" outlineLevel="2" x14ac:dyDescent="0.25">
      <c r="A49" s="25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30"/>
        <v>0</v>
      </c>
      <c r="G49" s="2"/>
      <c r="H49" s="6">
        <v>10</v>
      </c>
      <c r="I49" s="2"/>
      <c r="J49" s="7">
        <f t="shared" si="31"/>
        <v>5.136861398233125E-4</v>
      </c>
      <c r="K49" s="2"/>
      <c r="L49" s="6">
        <f t="shared" si="32"/>
        <v>-10</v>
      </c>
      <c r="M49" s="2"/>
      <c r="N49" s="7">
        <f t="shared" si="33"/>
        <v>-1</v>
      </c>
      <c r="O49" s="11"/>
      <c r="P49" s="6"/>
      <c r="Q49" s="2"/>
      <c r="R49" s="7">
        <f t="shared" si="34"/>
        <v>0</v>
      </c>
      <c r="S49" s="2"/>
      <c r="T49" s="6">
        <v>2457.08</v>
      </c>
      <c r="U49" s="2"/>
      <c r="V49" s="7">
        <f t="shared" si="35"/>
        <v>7.9246687518907954E-3</v>
      </c>
      <c r="W49" s="2"/>
      <c r="X49" s="6">
        <f t="shared" si="36"/>
        <v>-2457.08</v>
      </c>
      <c r="Y49" s="2"/>
      <c r="Z49" s="7">
        <f t="shared" si="37"/>
        <v>-1</v>
      </c>
    </row>
    <row r="50" spans="1:26" s="26" customFormat="1" outlineLevel="1" collapsed="1" x14ac:dyDescent="0.25">
      <c r="A50" s="27"/>
      <c r="B50" s="13" t="str">
        <f>CONCATENATE("     ","Repair and Maintenance                            ")</f>
        <v xml:space="preserve">     Repair and Maintenance                            </v>
      </c>
      <c r="C50" s="13"/>
      <c r="D50" s="1">
        <f>SUM(OSRRefD22_8x_0)</f>
        <v>1338.13</v>
      </c>
      <c r="E50" s="1"/>
      <c r="F50" s="5">
        <f t="shared" si="30"/>
        <v>0</v>
      </c>
      <c r="G50" s="1"/>
      <c r="H50" s="1">
        <f>SUM(OSRRefH22_8x_0)</f>
        <v>507.73</v>
      </c>
      <c r="I50" s="1"/>
      <c r="J50" s="5">
        <f t="shared" si="31"/>
        <v>2.608138637724905E-2</v>
      </c>
      <c r="K50" s="1"/>
      <c r="L50" s="1">
        <f t="shared" si="32"/>
        <v>830.40000000000009</v>
      </c>
      <c r="M50" s="1"/>
      <c r="N50" s="5">
        <f t="shared" si="33"/>
        <v>1.6355149390424046</v>
      </c>
      <c r="O50" s="13"/>
      <c r="P50" s="1">
        <f>SUM(OSRRefP22_8x_0)</f>
        <v>1555.93</v>
      </c>
      <c r="Q50" s="1"/>
      <c r="R50" s="5">
        <f t="shared" si="34"/>
        <v>0</v>
      </c>
      <c r="S50" s="1"/>
      <c r="T50" s="1">
        <f>SUM(OSRRefT22_8x_0)</f>
        <v>3632.91</v>
      </c>
      <c r="U50" s="1"/>
      <c r="V50" s="5">
        <f t="shared" si="35"/>
        <v>1.1717000812115026E-2</v>
      </c>
      <c r="W50" s="1"/>
      <c r="X50" s="1">
        <f t="shared" si="36"/>
        <v>-2076.9799999999996</v>
      </c>
      <c r="Y50" s="1"/>
      <c r="Z50" s="5">
        <f t="shared" si="37"/>
        <v>-0.571712483931614</v>
      </c>
    </row>
    <row r="51" spans="1:26" s="24" customFormat="1" hidden="1" outlineLevel="2" x14ac:dyDescent="0.25">
      <c r="A51" s="25"/>
      <c r="B51" s="11" t="str">
        <f>CONCATENATE("          ", "6373", " - ", "MAINTENANCE CONTRACTS")</f>
        <v xml:space="preserve">          6373 - MAINTENANCE CONTRACTS</v>
      </c>
      <c r="C51" s="11"/>
      <c r="D51" s="6"/>
      <c r="E51" s="2"/>
      <c r="F51" s="7">
        <f t="shared" si="30"/>
        <v>0</v>
      </c>
      <c r="G51" s="2"/>
      <c r="H51" s="6"/>
      <c r="I51" s="2"/>
      <c r="J51" s="7">
        <f t="shared" si="31"/>
        <v>0</v>
      </c>
      <c r="K51" s="2"/>
      <c r="L51" s="6">
        <f t="shared" si="32"/>
        <v>0</v>
      </c>
      <c r="M51" s="2"/>
      <c r="N51" s="7">
        <f t="shared" si="33"/>
        <v>0</v>
      </c>
      <c r="O51" s="11"/>
      <c r="P51" s="6">
        <v>217.8</v>
      </c>
      <c r="Q51" s="2"/>
      <c r="R51" s="7">
        <f t="shared" si="34"/>
        <v>0</v>
      </c>
      <c r="S51" s="2"/>
      <c r="T51" s="6">
        <v>76.02</v>
      </c>
      <c r="U51" s="2"/>
      <c r="V51" s="7">
        <f t="shared" si="35"/>
        <v>2.451826226735549E-4</v>
      </c>
      <c r="W51" s="2"/>
      <c r="X51" s="6">
        <f t="shared" si="36"/>
        <v>141.78000000000003</v>
      </c>
      <c r="Y51" s="2"/>
      <c r="Z51" s="7">
        <f t="shared" si="37"/>
        <v>1.8650355169692192</v>
      </c>
    </row>
    <row r="52" spans="1:26" s="24" customFormat="1" hidden="1" outlineLevel="2" x14ac:dyDescent="0.25">
      <c r="A52" s="25"/>
      <c r="B52" s="11" t="str">
        <f>CONCATENATE("          ", "6375", " - ", "OUTSIDE REPAIRS &amp; MAINTENANCE")</f>
        <v xml:space="preserve">          6375 - OUTSIDE REPAIRS &amp; MAINTENANCE</v>
      </c>
      <c r="C52" s="11"/>
      <c r="D52" s="6">
        <v>1338.13</v>
      </c>
      <c r="E52" s="2"/>
      <c r="F52" s="7">
        <f t="shared" si="30"/>
        <v>0</v>
      </c>
      <c r="G52" s="2"/>
      <c r="H52" s="6">
        <v>507.73</v>
      </c>
      <c r="I52" s="2"/>
      <c r="J52" s="7">
        <f t="shared" si="31"/>
        <v>2.608138637724905E-2</v>
      </c>
      <c r="K52" s="2"/>
      <c r="L52" s="6">
        <f t="shared" si="32"/>
        <v>830.40000000000009</v>
      </c>
      <c r="M52" s="2"/>
      <c r="N52" s="7">
        <f t="shared" si="33"/>
        <v>1.6355149390424046</v>
      </c>
      <c r="O52" s="11"/>
      <c r="P52" s="6">
        <v>1338.13</v>
      </c>
      <c r="Q52" s="2"/>
      <c r="R52" s="7">
        <f t="shared" si="34"/>
        <v>0</v>
      </c>
      <c r="S52" s="2"/>
      <c r="T52" s="6">
        <v>3556.89</v>
      </c>
      <c r="U52" s="2"/>
      <c r="V52" s="7">
        <f t="shared" si="35"/>
        <v>1.1471818189441471E-2</v>
      </c>
      <c r="W52" s="2"/>
      <c r="X52" s="6">
        <f t="shared" si="36"/>
        <v>-2218.7599999999998</v>
      </c>
      <c r="Y52" s="2"/>
      <c r="Z52" s="7">
        <f t="shared" si="37"/>
        <v>-0.62379213301507774</v>
      </c>
    </row>
    <row r="53" spans="1:26" s="26" customFormat="1" outlineLevel="1" collapsed="1" x14ac:dyDescent="0.25">
      <c r="A53" s="27"/>
      <c r="B53" s="13" t="str">
        <f>CONCATENATE("     ","Services                                          ")</f>
        <v xml:space="preserve">     Services                                          </v>
      </c>
      <c r="C53" s="13"/>
      <c r="D53" s="1">
        <f>SUM(OSRRefD22_9x_0)</f>
        <v>0</v>
      </c>
      <c r="E53" s="1"/>
      <c r="F53" s="5">
        <f t="shared" ref="F53:F55" si="38">IF(D$12=0,0,D53/D$12)</f>
        <v>0</v>
      </c>
      <c r="G53" s="1"/>
      <c r="H53" s="1">
        <f>SUM(OSRRefH22_9x_0)</f>
        <v>1411.42</v>
      </c>
      <c r="I53" s="1"/>
      <c r="J53" s="5">
        <f t="shared" ref="J53:J55" si="39">IF(H$12=0,0,H53/H$12)</f>
        <v>7.2502689146941982E-2</v>
      </c>
      <c r="K53" s="1"/>
      <c r="L53" s="1">
        <f t="shared" ref="L53:L55" si="40">+D53-H53</f>
        <v>-1411.42</v>
      </c>
      <c r="M53" s="1"/>
      <c r="N53" s="5">
        <f t="shared" ref="N53:N55" si="41">IF(H53=0,0,L53/H53)</f>
        <v>-1</v>
      </c>
      <c r="O53" s="13"/>
      <c r="P53" s="1">
        <f>SUM(OSRRefP22_9x_0)</f>
        <v>320.58</v>
      </c>
      <c r="Q53" s="1"/>
      <c r="R53" s="5">
        <f t="shared" ref="R53:R55" si="42">IF(P$12=0,0,P53/P$12)</f>
        <v>0</v>
      </c>
      <c r="S53" s="1"/>
      <c r="T53" s="1">
        <f>SUM(OSRRefT22_9x_0)</f>
        <v>11963.21</v>
      </c>
      <c r="U53" s="1"/>
      <c r="V53" s="5">
        <f t="shared" ref="V53:V55" si="43">IF(T$12=0,0,T53/T$12)</f>
        <v>3.8584204201453545E-2</v>
      </c>
      <c r="W53" s="1"/>
      <c r="X53" s="1">
        <f t="shared" ref="X53:X55" si="44">+P53-T53</f>
        <v>-11642.63</v>
      </c>
      <c r="Y53" s="1"/>
      <c r="Z53" s="5">
        <f t="shared" ref="Z53:Z55" si="45">IF(T53=0,0,X53/T53)</f>
        <v>-0.97320284438708338</v>
      </c>
    </row>
    <row r="54" spans="1:26" s="24" customFormat="1" hidden="1" outlineLevel="2" x14ac:dyDescent="0.25">
      <c r="A54" s="25"/>
      <c r="B54" s="11" t="str">
        <f>CONCATENATE("          ", "6283", " - ", "PLANT SERVICE")</f>
        <v xml:space="preserve">          6283 - PLANT SERVICE</v>
      </c>
      <c r="C54" s="11"/>
      <c r="D54" s="6"/>
      <c r="E54" s="2"/>
      <c r="F54" s="7">
        <f t="shared" si="38"/>
        <v>0</v>
      </c>
      <c r="G54" s="2"/>
      <c r="H54" s="6">
        <v>62.95</v>
      </c>
      <c r="I54" s="2"/>
      <c r="J54" s="7">
        <f t="shared" si="39"/>
        <v>3.2336542501877523E-3</v>
      </c>
      <c r="K54" s="2"/>
      <c r="L54" s="6">
        <f t="shared" si="40"/>
        <v>-62.95</v>
      </c>
      <c r="M54" s="2"/>
      <c r="N54" s="7">
        <f t="shared" si="41"/>
        <v>-1</v>
      </c>
      <c r="O54" s="11"/>
      <c r="P54" s="6"/>
      <c r="Q54" s="2"/>
      <c r="R54" s="7">
        <f t="shared" si="42"/>
        <v>0</v>
      </c>
      <c r="S54" s="2"/>
      <c r="T54" s="6">
        <v>251.8</v>
      </c>
      <c r="U54" s="2"/>
      <c r="V54" s="7">
        <f t="shared" si="43"/>
        <v>8.1211502748225624E-4</v>
      </c>
      <c r="W54" s="2"/>
      <c r="X54" s="6">
        <f t="shared" si="44"/>
        <v>-251.8</v>
      </c>
      <c r="Y54" s="2"/>
      <c r="Z54" s="7">
        <f t="shared" si="45"/>
        <v>-1</v>
      </c>
    </row>
    <row r="55" spans="1:26" s="24" customFormat="1" hidden="1" outlineLevel="2" x14ac:dyDescent="0.25">
      <c r="A55" s="25"/>
      <c r="B55" s="11" t="str">
        <f>CONCATENATE("          ", "6286", " - ", "LAUNDRY EXPENSE")</f>
        <v xml:space="preserve">          6286 - LAUNDRY EXPENSE</v>
      </c>
      <c r="C55" s="11"/>
      <c r="D55" s="6"/>
      <c r="E55" s="2"/>
      <c r="F55" s="7">
        <f t="shared" si="38"/>
        <v>0</v>
      </c>
      <c r="G55" s="2"/>
      <c r="H55" s="6">
        <v>1348.47</v>
      </c>
      <c r="I55" s="2"/>
      <c r="J55" s="7">
        <f t="shared" si="39"/>
        <v>6.926903489675422E-2</v>
      </c>
      <c r="K55" s="2"/>
      <c r="L55" s="6">
        <f t="shared" si="40"/>
        <v>-1348.47</v>
      </c>
      <c r="M55" s="2"/>
      <c r="N55" s="7">
        <f t="shared" si="41"/>
        <v>-1</v>
      </c>
      <c r="O55" s="11"/>
      <c r="P55" s="6">
        <v>320.58</v>
      </c>
      <c r="Q55" s="2"/>
      <c r="R55" s="7">
        <f t="shared" si="42"/>
        <v>0</v>
      </c>
      <c r="S55" s="2"/>
      <c r="T55" s="6">
        <v>11711.41</v>
      </c>
      <c r="U55" s="2"/>
      <c r="V55" s="7">
        <f t="shared" si="43"/>
        <v>3.7772089173971291E-2</v>
      </c>
      <c r="W55" s="2"/>
      <c r="X55" s="6">
        <f t="shared" si="44"/>
        <v>-11390.83</v>
      </c>
      <c r="Y55" s="2"/>
      <c r="Z55" s="7">
        <f t="shared" si="45"/>
        <v>-0.97262669482154585</v>
      </c>
    </row>
    <row r="56" spans="1:26" s="26" customFormat="1" outlineLevel="1" collapsed="1" x14ac:dyDescent="0.25">
      <c r="A56" s="27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SUM(OSRRefD22_10x_0)</f>
        <v>0</v>
      </c>
      <c r="E56" s="1"/>
      <c r="F56" s="5">
        <f t="shared" ref="F56:F62" si="46">IF(D$12=0,0,D56/D$12)</f>
        <v>0</v>
      </c>
      <c r="G56" s="1"/>
      <c r="H56" s="1">
        <f>SUM(OSRRefH22_10x_0)</f>
        <v>878.64999999999986</v>
      </c>
      <c r="I56" s="1"/>
      <c r="J56" s="5">
        <f t="shared" ref="J56:J62" si="47">IF(H$12=0,0,H56/H$12)</f>
        <v>4.5135032675575351E-2</v>
      </c>
      <c r="K56" s="1"/>
      <c r="L56" s="1">
        <f t="shared" ref="L56:L62" si="48">+D56-H56</f>
        <v>-878.64999999999986</v>
      </c>
      <c r="M56" s="1"/>
      <c r="N56" s="5">
        <f t="shared" ref="N56:N62" si="49">IF(H56=0,0,L56/H56)</f>
        <v>-1</v>
      </c>
      <c r="O56" s="13"/>
      <c r="P56" s="1">
        <f>SUM(OSRRefP22_10x_0)</f>
        <v>0</v>
      </c>
      <c r="Q56" s="1"/>
      <c r="R56" s="5">
        <f t="shared" ref="R56:R62" si="50">IF(P$12=0,0,P56/P$12)</f>
        <v>0</v>
      </c>
      <c r="S56" s="1"/>
      <c r="T56" s="1">
        <f>SUM(OSRRefT22_10x_0)</f>
        <v>8434.0300000000007</v>
      </c>
      <c r="U56" s="1"/>
      <c r="V56" s="5">
        <f t="shared" ref="V56:V62" si="51">IF(T$12=0,0,T56/T$12)</f>
        <v>2.7201757367895846E-2</v>
      </c>
      <c r="W56" s="1"/>
      <c r="X56" s="1">
        <f t="shared" ref="X56:X62" si="52">+P56-T56</f>
        <v>-8434.0300000000007</v>
      </c>
      <c r="Y56" s="1"/>
      <c r="Z56" s="5">
        <f t="shared" ref="Z56:Z62" si="53">IF(T56=0,0,X56/T56)</f>
        <v>-1</v>
      </c>
    </row>
    <row r="57" spans="1:26" s="24" customFormat="1" hidden="1" outlineLevel="2" x14ac:dyDescent="0.25">
      <c r="A57" s="25"/>
      <c r="B57" s="11" t="str">
        <f>CONCATENATE("          ", "6234", " - ", "EXPENDABLE SUPPLIES &amp; EQUIPMEN")</f>
        <v xml:space="preserve">          6234 - EXPENDABLE SUPPLIES &amp; EQUIPMEN</v>
      </c>
      <c r="C57" s="11"/>
      <c r="D57" s="6"/>
      <c r="E57" s="2"/>
      <c r="F57" s="7">
        <f t="shared" si="46"/>
        <v>0</v>
      </c>
      <c r="G57" s="2"/>
      <c r="H57" s="6">
        <v>66.95</v>
      </c>
      <c r="I57" s="2"/>
      <c r="J57" s="7">
        <f t="shared" si="47"/>
        <v>3.4391287061170776E-3</v>
      </c>
      <c r="K57" s="2"/>
      <c r="L57" s="6">
        <f t="shared" si="48"/>
        <v>-66.95</v>
      </c>
      <c r="M57" s="2"/>
      <c r="N57" s="7">
        <f t="shared" si="49"/>
        <v>-1</v>
      </c>
      <c r="O57" s="11"/>
      <c r="P57" s="6"/>
      <c r="Q57" s="2"/>
      <c r="R57" s="7">
        <f t="shared" si="50"/>
        <v>0</v>
      </c>
      <c r="S57" s="2"/>
      <c r="T57" s="6">
        <v>287.29000000000002</v>
      </c>
      <c r="U57" s="2"/>
      <c r="V57" s="7">
        <f t="shared" si="51"/>
        <v>9.2657873806742419E-4</v>
      </c>
      <c r="W57" s="2"/>
      <c r="X57" s="6">
        <f t="shared" si="52"/>
        <v>-287.29000000000002</v>
      </c>
      <c r="Y57" s="2"/>
      <c r="Z57" s="7">
        <f t="shared" si="53"/>
        <v>-1</v>
      </c>
    </row>
    <row r="58" spans="1:26" s="24" customFormat="1" hidden="1" outlineLevel="2" x14ac:dyDescent="0.25">
      <c r="A58" s="25"/>
      <c r="B58" s="11" t="str">
        <f>CONCATENATE("          ", "6239", " - ", "KITCHEN SUPPLIES")</f>
        <v xml:space="preserve">          6239 - KITCHEN SUPPLIES</v>
      </c>
      <c r="C58" s="11"/>
      <c r="D58" s="6"/>
      <c r="E58" s="2"/>
      <c r="F58" s="7">
        <f t="shared" si="46"/>
        <v>0</v>
      </c>
      <c r="G58" s="2"/>
      <c r="H58" s="6">
        <v>14.58</v>
      </c>
      <c r="I58" s="2"/>
      <c r="J58" s="7">
        <f t="shared" si="47"/>
        <v>7.4895439186238968E-4</v>
      </c>
      <c r="K58" s="2"/>
      <c r="L58" s="6">
        <f t="shared" si="48"/>
        <v>-14.58</v>
      </c>
      <c r="M58" s="2"/>
      <c r="N58" s="7">
        <f t="shared" si="49"/>
        <v>-1</v>
      </c>
      <c r="O58" s="11"/>
      <c r="P58" s="6"/>
      <c r="Q58" s="2"/>
      <c r="R58" s="7">
        <f t="shared" si="50"/>
        <v>0</v>
      </c>
      <c r="S58" s="2"/>
      <c r="T58" s="6">
        <v>3349.27</v>
      </c>
      <c r="U58" s="2"/>
      <c r="V58" s="7">
        <f t="shared" si="51"/>
        <v>1.0802194194183861E-2</v>
      </c>
      <c r="W58" s="2"/>
      <c r="X58" s="6">
        <f t="shared" si="52"/>
        <v>-3349.27</v>
      </c>
      <c r="Y58" s="2"/>
      <c r="Z58" s="7">
        <f t="shared" si="53"/>
        <v>-1</v>
      </c>
    </row>
    <row r="59" spans="1:26" s="24" customFormat="1" hidden="1" outlineLevel="2" x14ac:dyDescent="0.25">
      <c r="A59" s="25"/>
      <c r="B59" s="11" t="str">
        <f>CONCATENATE("          ", "6241", " - ", "OFFICE EXPENSE")</f>
        <v xml:space="preserve">          6241 - OFFICE EXPENSE</v>
      </c>
      <c r="C59" s="11"/>
      <c r="D59" s="6"/>
      <c r="E59" s="2"/>
      <c r="F59" s="7">
        <f t="shared" si="46"/>
        <v>0</v>
      </c>
      <c r="G59" s="2"/>
      <c r="H59" s="6"/>
      <c r="I59" s="2"/>
      <c r="J59" s="7">
        <f t="shared" si="47"/>
        <v>0</v>
      </c>
      <c r="K59" s="2"/>
      <c r="L59" s="6">
        <f t="shared" si="48"/>
        <v>0</v>
      </c>
      <c r="M59" s="2"/>
      <c r="N59" s="7">
        <f t="shared" si="49"/>
        <v>0</v>
      </c>
      <c r="O59" s="11"/>
      <c r="P59" s="6"/>
      <c r="Q59" s="2"/>
      <c r="R59" s="7">
        <f t="shared" si="50"/>
        <v>0</v>
      </c>
      <c r="S59" s="2"/>
      <c r="T59" s="6">
        <v>618.12</v>
      </c>
      <c r="U59" s="2"/>
      <c r="V59" s="7">
        <f t="shared" si="51"/>
        <v>1.9935843557876576E-3</v>
      </c>
      <c r="W59" s="2"/>
      <c r="X59" s="6">
        <f t="shared" si="52"/>
        <v>-618.12</v>
      </c>
      <c r="Y59" s="2"/>
      <c r="Z59" s="7">
        <f t="shared" si="53"/>
        <v>-1</v>
      </c>
    </row>
    <row r="60" spans="1:26" s="24" customFormat="1" hidden="1" outlineLevel="2" x14ac:dyDescent="0.25">
      <c r="A60" s="25"/>
      <c r="B60" s="11" t="str">
        <f>CONCATENATE("          ", "6243", " - ", "PAPER SUPPLIES")</f>
        <v xml:space="preserve">          6243 - PAPER SUPPLIES</v>
      </c>
      <c r="C60" s="11"/>
      <c r="D60" s="6"/>
      <c r="E60" s="2"/>
      <c r="F60" s="7">
        <f t="shared" si="46"/>
        <v>0</v>
      </c>
      <c r="G60" s="2"/>
      <c r="H60" s="6">
        <v>628.16999999999996</v>
      </c>
      <c r="I60" s="2"/>
      <c r="J60" s="7">
        <f t="shared" si="47"/>
        <v>3.2268222245281024E-2</v>
      </c>
      <c r="K60" s="2"/>
      <c r="L60" s="6">
        <f t="shared" si="48"/>
        <v>-628.16999999999996</v>
      </c>
      <c r="M60" s="2"/>
      <c r="N60" s="7">
        <f t="shared" si="49"/>
        <v>-1</v>
      </c>
      <c r="O60" s="11"/>
      <c r="P60" s="6"/>
      <c r="Q60" s="2"/>
      <c r="R60" s="7">
        <f t="shared" si="50"/>
        <v>0</v>
      </c>
      <c r="S60" s="2"/>
      <c r="T60" s="6">
        <v>3208.69</v>
      </c>
      <c r="U60" s="2"/>
      <c r="V60" s="7">
        <f t="shared" si="51"/>
        <v>1.0348790180826215E-2</v>
      </c>
      <c r="W60" s="2"/>
      <c r="X60" s="6">
        <f t="shared" si="52"/>
        <v>-3208.69</v>
      </c>
      <c r="Y60" s="2"/>
      <c r="Z60" s="7">
        <f t="shared" si="53"/>
        <v>-1</v>
      </c>
    </row>
    <row r="61" spans="1:26" s="24" customFormat="1" hidden="1" outlineLevel="2" x14ac:dyDescent="0.25">
      <c r="A61" s="25"/>
      <c r="B61" s="11" t="str">
        <f>CONCATENATE("          ", "6247", " - ", "STORE SUPPLIES")</f>
        <v xml:space="preserve">          6247 - STORE SUPPLIES</v>
      </c>
      <c r="C61" s="11"/>
      <c r="D61" s="6"/>
      <c r="E61" s="2"/>
      <c r="F61" s="7">
        <f t="shared" si="46"/>
        <v>0</v>
      </c>
      <c r="G61" s="2"/>
      <c r="H61" s="6"/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/>
      <c r="Q61" s="2"/>
      <c r="R61" s="7">
        <f t="shared" si="50"/>
        <v>0</v>
      </c>
      <c r="S61" s="2"/>
      <c r="T61" s="6">
        <v>366.09</v>
      </c>
      <c r="U61" s="2"/>
      <c r="V61" s="7">
        <f t="shared" si="51"/>
        <v>1.1807275234748974E-3</v>
      </c>
      <c r="W61" s="2"/>
      <c r="X61" s="6">
        <f t="shared" si="52"/>
        <v>-366.09</v>
      </c>
      <c r="Y61" s="2"/>
      <c r="Z61" s="7">
        <f t="shared" si="53"/>
        <v>-1</v>
      </c>
    </row>
    <row r="62" spans="1:26" s="24" customFormat="1" hidden="1" outlineLevel="2" x14ac:dyDescent="0.25">
      <c r="A62" s="25"/>
      <c r="B62" s="11" t="str">
        <f>CONCATENATE("          ", "6248", " - ", "UNIFORMS")</f>
        <v xml:space="preserve">          6248 - UNIFORMS</v>
      </c>
      <c r="C62" s="11"/>
      <c r="D62" s="6"/>
      <c r="E62" s="2"/>
      <c r="F62" s="7">
        <f t="shared" si="46"/>
        <v>0</v>
      </c>
      <c r="G62" s="2"/>
      <c r="H62" s="6">
        <v>168.95</v>
      </c>
      <c r="I62" s="2"/>
      <c r="J62" s="7">
        <f t="shared" si="47"/>
        <v>8.6787273323148638E-3</v>
      </c>
      <c r="K62" s="2"/>
      <c r="L62" s="6">
        <f t="shared" si="48"/>
        <v>-168.95</v>
      </c>
      <c r="M62" s="2"/>
      <c r="N62" s="7">
        <f t="shared" si="49"/>
        <v>-1</v>
      </c>
      <c r="O62" s="11"/>
      <c r="P62" s="6"/>
      <c r="Q62" s="2"/>
      <c r="R62" s="7">
        <f t="shared" si="50"/>
        <v>0</v>
      </c>
      <c r="S62" s="2"/>
      <c r="T62" s="6">
        <v>604.57000000000005</v>
      </c>
      <c r="U62" s="2"/>
      <c r="V62" s="7">
        <f t="shared" si="51"/>
        <v>1.9498823755557892E-3</v>
      </c>
      <c r="W62" s="2"/>
      <c r="X62" s="6">
        <f t="shared" si="52"/>
        <v>-604.57000000000005</v>
      </c>
      <c r="Y62" s="2"/>
      <c r="Z62" s="7">
        <f t="shared" si="53"/>
        <v>-1</v>
      </c>
    </row>
    <row r="63" spans="1:26" s="26" customFormat="1" outlineLevel="1" collapsed="1" x14ac:dyDescent="0.25">
      <c r="A63" s="27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SUM(OSRRefD22_11x_0)</f>
        <v>36</v>
      </c>
      <c r="E63" s="1"/>
      <c r="F63" s="5">
        <f t="shared" ref="F63:F66" si="54">IF(D$12=0,0,D63/D$12)</f>
        <v>0</v>
      </c>
      <c r="G63" s="1"/>
      <c r="H63" s="1">
        <f>SUM(OSRRefH22_11x_0)</f>
        <v>192.28</v>
      </c>
      <c r="I63" s="1"/>
      <c r="J63" s="5">
        <f t="shared" ref="J63:J66" si="55">IF(H$12=0,0,H63/H$12)</f>
        <v>9.8771570965226537E-3</v>
      </c>
      <c r="K63" s="1"/>
      <c r="L63" s="1">
        <f t="shared" ref="L63:L66" si="56">+D63-H63</f>
        <v>-156.28</v>
      </c>
      <c r="M63" s="1"/>
      <c r="N63" s="5">
        <f t="shared" ref="N63:N66" si="57">IF(H63=0,0,L63/H63)</f>
        <v>-0.81277303931766176</v>
      </c>
      <c r="O63" s="13"/>
      <c r="P63" s="1">
        <f>SUM(OSRRefP22_11x_0)</f>
        <v>257.02999999999997</v>
      </c>
      <c r="Q63" s="1"/>
      <c r="R63" s="5">
        <f t="shared" ref="R63:R66" si="58">IF(P$12=0,0,P63/P$12)</f>
        <v>0</v>
      </c>
      <c r="S63" s="1"/>
      <c r="T63" s="1">
        <f>SUM(OSRRefT22_11x_0)</f>
        <v>956.31</v>
      </c>
      <c r="U63" s="1"/>
      <c r="V63" s="5">
        <f t="shared" ref="V63:V66" si="59">IF(T$12=0,0,T63/T$12)</f>
        <v>3.084327728084021E-3</v>
      </c>
      <c r="W63" s="1"/>
      <c r="X63" s="1">
        <f t="shared" ref="X63:X66" si="60">+P63-T63</f>
        <v>-699.28</v>
      </c>
      <c r="Y63" s="1"/>
      <c r="Z63" s="5">
        <f t="shared" ref="Z63:Z66" si="61">IF(T63=0,0,X63/T63)</f>
        <v>-0.73122732168439109</v>
      </c>
    </row>
    <row r="64" spans="1:26" s="24" customFormat="1" hidden="1" outlineLevel="2" x14ac:dyDescent="0.25">
      <c r="A64" s="25"/>
      <c r="B64" s="11" t="str">
        <f>CONCATENATE("          ", "6309", " - ", "TELEPHONE")</f>
        <v xml:space="preserve">          6309 - TELEPHONE</v>
      </c>
      <c r="C64" s="11"/>
      <c r="D64" s="6">
        <v>36</v>
      </c>
      <c r="E64" s="2"/>
      <c r="F64" s="7">
        <f t="shared" si="54"/>
        <v>0</v>
      </c>
      <c r="G64" s="2"/>
      <c r="H64" s="6">
        <v>192.28</v>
      </c>
      <c r="I64" s="2"/>
      <c r="J64" s="7">
        <f t="shared" si="55"/>
        <v>9.8771570965226537E-3</v>
      </c>
      <c r="K64" s="2"/>
      <c r="L64" s="6">
        <f t="shared" si="56"/>
        <v>-156.28</v>
      </c>
      <c r="M64" s="2"/>
      <c r="N64" s="7">
        <f t="shared" si="57"/>
        <v>-0.81277303931766176</v>
      </c>
      <c r="O64" s="11"/>
      <c r="P64" s="6">
        <v>257.02999999999997</v>
      </c>
      <c r="Q64" s="2"/>
      <c r="R64" s="7">
        <f t="shared" si="58"/>
        <v>0</v>
      </c>
      <c r="S64" s="2"/>
      <c r="T64" s="6">
        <v>956.31</v>
      </c>
      <c r="U64" s="2"/>
      <c r="V64" s="7">
        <f t="shared" si="59"/>
        <v>3.084327728084021E-3</v>
      </c>
      <c r="W64" s="2"/>
      <c r="X64" s="6">
        <f t="shared" si="60"/>
        <v>-699.28</v>
      </c>
      <c r="Y64" s="2"/>
      <c r="Z64" s="7">
        <f t="shared" si="61"/>
        <v>-0.73122732168439109</v>
      </c>
    </row>
    <row r="65" spans="1:26" s="26" customFormat="1" outlineLevel="1" collapsed="1" x14ac:dyDescent="0.25">
      <c r="A65" s="27"/>
      <c r="B65" s="13" t="str">
        <f>CONCATENATE("     ","Training                                          ")</f>
        <v xml:space="preserve">     Training                                          </v>
      </c>
      <c r="C65" s="13"/>
      <c r="D65" s="1">
        <f>SUM(OSRRefD22_12x_0)</f>
        <v>0</v>
      </c>
      <c r="E65" s="1"/>
      <c r="F65" s="5">
        <f t="shared" si="54"/>
        <v>0</v>
      </c>
      <c r="G65" s="1"/>
      <c r="H65" s="1">
        <f>SUM(OSRRefH22_12x_0)</f>
        <v>0</v>
      </c>
      <c r="I65" s="1"/>
      <c r="J65" s="5">
        <f t="shared" si="55"/>
        <v>0</v>
      </c>
      <c r="K65" s="1"/>
      <c r="L65" s="1">
        <f t="shared" si="56"/>
        <v>0</v>
      </c>
      <c r="M65" s="1"/>
      <c r="N65" s="5">
        <f t="shared" si="57"/>
        <v>0</v>
      </c>
      <c r="O65" s="13"/>
      <c r="P65" s="1">
        <f>SUM(OSRRefP22_12x_0)</f>
        <v>0</v>
      </c>
      <c r="Q65" s="1"/>
      <c r="R65" s="5">
        <f t="shared" si="58"/>
        <v>0</v>
      </c>
      <c r="S65" s="1"/>
      <c r="T65" s="1">
        <f>SUM(OSRRefT22_12x_0)</f>
        <v>175</v>
      </c>
      <c r="U65" s="1"/>
      <c r="V65" s="5">
        <f t="shared" si="59"/>
        <v>5.6441671886177456E-4</v>
      </c>
      <c r="W65" s="1"/>
      <c r="X65" s="1">
        <f t="shared" si="60"/>
        <v>-175</v>
      </c>
      <c r="Y65" s="1"/>
      <c r="Z65" s="5">
        <f t="shared" si="61"/>
        <v>-1</v>
      </c>
    </row>
    <row r="66" spans="1:26" s="24" customFormat="1" hidden="1" outlineLevel="2" x14ac:dyDescent="0.25">
      <c r="A66" s="25"/>
      <c r="B66" s="11" t="str">
        <f>CONCATENATE("          ", "6376", " - ", "TRAINING")</f>
        <v xml:space="preserve">          6376 - TRAINING</v>
      </c>
      <c r="C66" s="11"/>
      <c r="D66" s="6"/>
      <c r="E66" s="2"/>
      <c r="F66" s="7">
        <f t="shared" si="54"/>
        <v>0</v>
      </c>
      <c r="G66" s="2"/>
      <c r="H66" s="6"/>
      <c r="I66" s="2"/>
      <c r="J66" s="7">
        <f t="shared" si="55"/>
        <v>0</v>
      </c>
      <c r="K66" s="2"/>
      <c r="L66" s="6">
        <f t="shared" si="56"/>
        <v>0</v>
      </c>
      <c r="M66" s="2"/>
      <c r="N66" s="7">
        <f t="shared" si="57"/>
        <v>0</v>
      </c>
      <c r="O66" s="11"/>
      <c r="P66" s="6"/>
      <c r="Q66" s="2"/>
      <c r="R66" s="7">
        <f t="shared" si="58"/>
        <v>0</v>
      </c>
      <c r="S66" s="2"/>
      <c r="T66" s="6">
        <v>175</v>
      </c>
      <c r="U66" s="2"/>
      <c r="V66" s="7">
        <f t="shared" si="59"/>
        <v>5.6441671886177456E-4</v>
      </c>
      <c r="W66" s="2"/>
      <c r="X66" s="6">
        <f t="shared" si="60"/>
        <v>-175</v>
      </c>
      <c r="Y66" s="2"/>
      <c r="Z66" s="7">
        <f t="shared" si="61"/>
        <v>-1</v>
      </c>
    </row>
    <row r="67" spans="1:26" s="53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9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8" t="s">
        <v>3</v>
      </c>
      <c r="C70" s="28"/>
      <c r="D70" s="20">
        <f>+D19-D21+D68</f>
        <v>-1951.4900000000002</v>
      </c>
      <c r="E70" s="14"/>
      <c r="F70" s="22">
        <f>IF(D$12=0,0,D70/D$12)</f>
        <v>0</v>
      </c>
      <c r="G70" s="14"/>
      <c r="H70" s="20">
        <f>+H19-H21+H68</f>
        <v>-31416.450000000004</v>
      </c>
      <c r="I70" s="14"/>
      <c r="J70" s="22">
        <f>IF(H$12=0,0,H70/H$12)</f>
        <v>-1.613819492745211</v>
      </c>
      <c r="K70" s="15"/>
      <c r="L70" s="20">
        <f>+D70-H70</f>
        <v>29464.960000000003</v>
      </c>
      <c r="M70" s="15"/>
      <c r="N70" s="22">
        <f>IF(H70=0,0,L70/H70)</f>
        <v>-0.93788317903518692</v>
      </c>
      <c r="O70" s="29"/>
      <c r="P70" s="20">
        <f>+P19-P21+P68</f>
        <v>-5375.57</v>
      </c>
      <c r="Q70" s="14"/>
      <c r="R70" s="22">
        <f>IF(P$12=0,0,P70/P$12)</f>
        <v>0</v>
      </c>
      <c r="S70" s="14"/>
      <c r="T70" s="20">
        <f>+T19-T21+T68</f>
        <v>-36511.209999999963</v>
      </c>
      <c r="U70" s="14"/>
      <c r="V70" s="22">
        <f>IF(T$12=0,0,T70/T$12)</f>
        <v>-0.11775735628498968</v>
      </c>
      <c r="W70" s="15"/>
      <c r="X70" s="20">
        <f>+P70-T70</f>
        <v>31135.639999999963</v>
      </c>
      <c r="Y70" s="15"/>
      <c r="Z70" s="22">
        <f>IF(T70=0,0,X70/T70)</f>
        <v>-0.85276932755720758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1"/>
      <c r="B72" s="10" t="s">
        <v>13</v>
      </c>
      <c r="C72" s="10"/>
      <c r="D72" s="4"/>
      <c r="E72" s="4"/>
      <c r="F72" s="12">
        <f>IF(D$12=0,0,D72/D$12)</f>
        <v>0</v>
      </c>
      <c r="G72" s="4"/>
      <c r="H72" s="4">
        <v>3581.4</v>
      </c>
      <c r="I72" s="4"/>
      <c r="J72" s="12">
        <f>IF(H$12=0,0,H72/H$12)</f>
        <v>0.18397155411632116</v>
      </c>
      <c r="K72" s="4"/>
      <c r="L72" s="4">
        <f>+D72-H72</f>
        <v>-3581.4</v>
      </c>
      <c r="M72" s="4"/>
      <c r="N72" s="12">
        <f>IF(H72=0,0,L72/H72)</f>
        <v>-1</v>
      </c>
      <c r="O72" s="10"/>
      <c r="P72" s="4"/>
      <c r="Q72" s="4"/>
      <c r="R72" s="12">
        <f>IF(P$12=0,0,P72/P$12)</f>
        <v>0</v>
      </c>
      <c r="S72" s="4"/>
      <c r="T72" s="4">
        <v>32832.68</v>
      </c>
      <c r="U72" s="4"/>
      <c r="V72" s="12">
        <f>IF(T$12=0,0,T72/T$12)</f>
        <v>0.10589322009736349</v>
      </c>
      <c r="W72" s="4"/>
      <c r="X72" s="4">
        <f>+P72-T72</f>
        <v>-32832.68</v>
      </c>
      <c r="Y72" s="4"/>
      <c r="Z72" s="12">
        <f>IF(T72=0,0,X72/T72)</f>
        <v>-1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8" t="s">
        <v>4</v>
      </c>
      <c r="C74" s="28"/>
      <c r="D74" s="31">
        <f>+D70-D72</f>
        <v>-1951.4900000000002</v>
      </c>
      <c r="E74" s="14"/>
      <c r="F74" s="34">
        <f>IF(D$12=0,0,D74/D$12)</f>
        <v>0</v>
      </c>
      <c r="G74" s="14"/>
      <c r="H74" s="31">
        <f>+H70-H72</f>
        <v>-34997.850000000006</v>
      </c>
      <c r="I74" s="14"/>
      <c r="J74" s="34">
        <f>IF(H$12=0,0,H74/H$12)</f>
        <v>-1.7977910468615321</v>
      </c>
      <c r="K74" s="15"/>
      <c r="L74" s="31">
        <f>D74-H74</f>
        <v>33046.360000000008</v>
      </c>
      <c r="M74" s="15"/>
      <c r="N74" s="34">
        <f>IF(H74=0,0,L74/H74)</f>
        <v>-0.94423971758265157</v>
      </c>
      <c r="O74" s="29"/>
      <c r="P74" s="31">
        <f>+P70-P72</f>
        <v>-5375.57</v>
      </c>
      <c r="Q74" s="14"/>
      <c r="R74" s="34">
        <f>IF(P$12=0,0,P74/P$12)</f>
        <v>0</v>
      </c>
      <c r="S74" s="14"/>
      <c r="T74" s="31">
        <f>+T70-T72</f>
        <v>-69343.889999999956</v>
      </c>
      <c r="U74" s="14"/>
      <c r="V74" s="34">
        <f>IF(T$12=0,0,T74/T$12)</f>
        <v>-0.22365057638235314</v>
      </c>
      <c r="W74" s="15"/>
      <c r="X74" s="31">
        <f>P74-T74</f>
        <v>63968.319999999956</v>
      </c>
      <c r="Y74" s="15"/>
      <c r="Z74" s="34">
        <f>IF(T74=0,0,X74/T74)</f>
        <v>-0.92247954361948825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5</v>
      </c>
      <c r="C77" s="28"/>
      <c r="D77" s="32">
        <f>SUM(D74:D76)</f>
        <v>-1951.4900000000002</v>
      </c>
      <c r="E77" s="14"/>
      <c r="F77" s="30">
        <f>IF(D$12=0,0,D77/D$12)</f>
        <v>0</v>
      </c>
      <c r="G77" s="14"/>
      <c r="H77" s="32">
        <f>SUM(H74:H76)</f>
        <v>-34997.850000000006</v>
      </c>
      <c r="I77" s="14"/>
      <c r="J77" s="30">
        <f>IF(H$12=0,0,H77/H$12)</f>
        <v>-1.7977910468615321</v>
      </c>
      <c r="K77" s="15"/>
      <c r="L77" s="32">
        <f>+D77-H77</f>
        <v>33046.360000000008</v>
      </c>
      <c r="M77" s="15"/>
      <c r="N77" s="30">
        <f>IF(H77=0,0,L77/H77)</f>
        <v>-0.94423971758265157</v>
      </c>
      <c r="O77" s="29"/>
      <c r="P77" s="32">
        <f>SUM(P74:P76)</f>
        <v>-5375.57</v>
      </c>
      <c r="Q77" s="14"/>
      <c r="R77" s="30">
        <f>IF(P$12=0,0,P77/P$12)</f>
        <v>0</v>
      </c>
      <c r="S77" s="14"/>
      <c r="T77" s="32">
        <f>SUM(T74:T76)</f>
        <v>-69343.889999999956</v>
      </c>
      <c r="U77" s="14"/>
      <c r="V77" s="30">
        <f>IF(T$12=0,0,T77/T$12)</f>
        <v>-0.22365057638235314</v>
      </c>
      <c r="W77" s="15"/>
      <c r="X77" s="32">
        <f>+P77-T77</f>
        <v>63968.319999999956</v>
      </c>
      <c r="Y77" s="15"/>
      <c r="Z77" s="30">
        <f>IF(T77=0,0,X77/T77)</f>
        <v>-0.92247954361948825</v>
      </c>
    </row>
    <row r="78" spans="1:26" ht="15.75" thickTop="1" x14ac:dyDescent="0.25">
      <c r="A78" s="9"/>
      <c r="C78" s="9"/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54">
        <v>44174.685972719904</v>
      </c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56" t="s">
        <v>313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61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","413", " - ", "Beach Walk")</f>
        <v>Department 413 - Beach Walk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32220.039999999997</v>
      </c>
      <c r="I12" s="4"/>
      <c r="J12" s="12"/>
      <c r="K12" s="4"/>
      <c r="L12" s="4">
        <f t="shared" ref="L12:L14" si="0">+D12-H12</f>
        <v>-32220.039999999997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162103.64000000001</v>
      </c>
      <c r="U12" s="4"/>
      <c r="V12" s="12"/>
      <c r="W12" s="4"/>
      <c r="X12" s="4">
        <f t="shared" ref="X12:X14" si="2">+P12-T12</f>
        <v>-162103.64000000001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--7347.44</f>
        <v>7347.44</v>
      </c>
      <c r="I13" s="2"/>
      <c r="J13" s="19"/>
      <c r="K13" s="2"/>
      <c r="L13" s="2">
        <f t="shared" si="0"/>
        <v>-7347.44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--39088.7</f>
        <v>39088.699999999997</v>
      </c>
      <c r="U13" s="2"/>
      <c r="V13" s="19"/>
      <c r="W13" s="2"/>
      <c r="X13" s="2">
        <f t="shared" si="2"/>
        <v>-39088.699999999997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--24872.6</f>
        <v>24872.6</v>
      </c>
      <c r="I14" s="2"/>
      <c r="J14" s="19"/>
      <c r="K14" s="2"/>
      <c r="L14" s="2">
        <f t="shared" si="0"/>
        <v>-24872.6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--123014.94</f>
        <v>123014.94</v>
      </c>
      <c r="U14" s="2"/>
      <c r="V14" s="19"/>
      <c r="W14" s="2"/>
      <c r="X14" s="2">
        <f t="shared" si="2"/>
        <v>-123014.94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10812.21</v>
      </c>
      <c r="I16" s="4"/>
      <c r="J16" s="12">
        <f t="shared" ref="J16:J18" si="7">IF(H$12=0,0,H16/H$12)</f>
        <v>0.33557407129227651</v>
      </c>
      <c r="K16" s="4"/>
      <c r="L16" s="4">
        <f t="shared" ref="L16:L18" si="8">+D16-H16</f>
        <v>-10812.21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49268.49</v>
      </c>
      <c r="U16" s="4"/>
      <c r="V16" s="12">
        <f t="shared" ref="V16:V18" si="11">IF(T$12=0,0,T16/T$12)</f>
        <v>0.30393204002081625</v>
      </c>
      <c r="W16" s="4"/>
      <c r="X16" s="4">
        <f t="shared" ref="X16:X18" si="12">+P16-T16</f>
        <v>-49268.49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10315.129999999999</v>
      </c>
      <c r="I17" s="2"/>
      <c r="J17" s="19">
        <f t="shared" si="7"/>
        <v>0.32014640577727405</v>
      </c>
      <c r="K17" s="2"/>
      <c r="L17" s="2">
        <f t="shared" si="8"/>
        <v>-10315.129999999999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53765.56</v>
      </c>
      <c r="U17" s="2"/>
      <c r="V17" s="19">
        <f t="shared" si="11"/>
        <v>0.33167398338495047</v>
      </c>
      <c r="W17" s="2"/>
      <c r="X17" s="2">
        <f t="shared" si="12"/>
        <v>-53765.56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497.08</v>
      </c>
      <c r="I18" s="2"/>
      <c r="J18" s="19">
        <f t="shared" si="7"/>
        <v>1.5427665515002464E-2</v>
      </c>
      <c r="K18" s="2"/>
      <c r="L18" s="2">
        <f t="shared" si="8"/>
        <v>-497.08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-4497.07</v>
      </c>
      <c r="U18" s="2"/>
      <c r="V18" s="19">
        <f t="shared" si="11"/>
        <v>-2.77419433641342E-2</v>
      </c>
      <c r="W18" s="2"/>
      <c r="X18" s="2">
        <f t="shared" si="12"/>
        <v>4497.07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21407.829999999998</v>
      </c>
      <c r="I20" s="14"/>
      <c r="J20" s="22">
        <f>IF(H$12=0,0,H20/H$12)</f>
        <v>0.66442592870772355</v>
      </c>
      <c r="K20" s="15"/>
      <c r="L20" s="20">
        <f>+D20-H20</f>
        <v>-21407.829999999998</v>
      </c>
      <c r="M20" s="15"/>
      <c r="N20" s="22">
        <f>IF(H20=0,0,L20/H20)</f>
        <v>-1</v>
      </c>
      <c r="O20" s="29"/>
      <c r="P20" s="20">
        <f>P12-P16</f>
        <v>0</v>
      </c>
      <c r="Q20" s="14"/>
      <c r="R20" s="22">
        <f>IF(P$12=0,0,P20/P$12)</f>
        <v>0</v>
      </c>
      <c r="S20" s="14"/>
      <c r="T20" s="20">
        <f>T12-T16</f>
        <v>112835.15000000002</v>
      </c>
      <c r="U20" s="14"/>
      <c r="V20" s="22">
        <f>IF(T$12=0,0,T20/T$12)</f>
        <v>0.6960679599791838</v>
      </c>
      <c r="W20" s="15"/>
      <c r="X20" s="20">
        <f>+P20-T20</f>
        <v>-112835.15000000002</v>
      </c>
      <c r="Y20" s="15"/>
      <c r="Z20" s="22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196.03</v>
      </c>
      <c r="E22" s="21"/>
      <c r="F22" s="35">
        <f t="shared" ref="F22:F31" si="14">IF(D$12=0,0,D22/D$12)</f>
        <v>0</v>
      </c>
      <c r="G22" s="21"/>
      <c r="H22" s="21">
        <f>SUM(OSRRefH22x_0)</f>
        <v>18447.080000000002</v>
      </c>
      <c r="I22" s="21"/>
      <c r="J22" s="35">
        <f t="shared" ref="J22:J31" si="15">IF(H$12=0,0,H22/H$12)</f>
        <v>0.57253436060290441</v>
      </c>
      <c r="K22" s="4"/>
      <c r="L22" s="21">
        <f t="shared" ref="L22:L31" si="16">+D22-H22</f>
        <v>-18251.050000000003</v>
      </c>
      <c r="M22" s="4"/>
      <c r="N22" s="35">
        <f t="shared" ref="N22:N31" si="17">IF(H22=0,0,L22/H22)</f>
        <v>-0.98937338592340907</v>
      </c>
      <c r="O22" s="10"/>
      <c r="P22" s="21">
        <f>SUM(OSRRefP22x_0)</f>
        <v>4761.7299999999996</v>
      </c>
      <c r="Q22" s="21"/>
      <c r="R22" s="35">
        <f t="shared" ref="R22:R31" si="18">IF(P$12=0,0,P22/P$12)</f>
        <v>0</v>
      </c>
      <c r="S22" s="21"/>
      <c r="T22" s="21">
        <f>SUM(OSRRefT22x_0)</f>
        <v>105647.4</v>
      </c>
      <c r="U22" s="21"/>
      <c r="V22" s="35">
        <f t="shared" ref="V22:V31" si="19">IF(T$12=0,0,T22/T$12)</f>
        <v>0.65172749976496513</v>
      </c>
      <c r="W22" s="4"/>
      <c r="X22" s="21">
        <f t="shared" ref="X22:X31" si="20">+P22-T22</f>
        <v>-100885.67</v>
      </c>
      <c r="Y22" s="4"/>
      <c r="Z22" s="35">
        <f t="shared" ref="Z22:Z31" si="21">IF(T22=0,0,X22/T22)</f>
        <v>-0.95492809098946119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3451.63</v>
      </c>
      <c r="I23" s="1"/>
      <c r="J23" s="5">
        <f t="shared" si="15"/>
        <v>0.10712680679477743</v>
      </c>
      <c r="K23" s="1"/>
      <c r="L23" s="1">
        <f t="shared" si="16"/>
        <v>-3451.63</v>
      </c>
      <c r="M23" s="1"/>
      <c r="N23" s="5">
        <f t="shared" si="17"/>
        <v>-1</v>
      </c>
      <c r="O23" s="13"/>
      <c r="P23" s="1">
        <f>SUM(OSRRefP22_0x_0)</f>
        <v>1493.43</v>
      </c>
      <c r="Q23" s="1"/>
      <c r="R23" s="5">
        <f t="shared" si="18"/>
        <v>0</v>
      </c>
      <c r="S23" s="1"/>
      <c r="T23" s="1">
        <f>SUM(OSRRefT22_0x_0)</f>
        <v>17548.02</v>
      </c>
      <c r="U23" s="1"/>
      <c r="V23" s="5">
        <f t="shared" si="19"/>
        <v>0.1082518566517075</v>
      </c>
      <c r="W23" s="1"/>
      <c r="X23" s="1">
        <f t="shared" si="20"/>
        <v>-16054.59</v>
      </c>
      <c r="Y23" s="1"/>
      <c r="Z23" s="5">
        <f t="shared" si="21"/>
        <v>-0.91489467187751095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628.29</v>
      </c>
      <c r="I24" s="2"/>
      <c r="J24" s="7">
        <f t="shared" si="15"/>
        <v>1.9499975791463946E-2</v>
      </c>
      <c r="K24" s="2"/>
      <c r="L24" s="6">
        <f t="shared" si="16"/>
        <v>-628.29</v>
      </c>
      <c r="M24" s="2"/>
      <c r="N24" s="7">
        <f t="shared" si="17"/>
        <v>-1</v>
      </c>
      <c r="O24" s="11"/>
      <c r="P24" s="6">
        <v>191.51</v>
      </c>
      <c r="Q24" s="2"/>
      <c r="R24" s="7">
        <f t="shared" si="18"/>
        <v>0</v>
      </c>
      <c r="S24" s="2"/>
      <c r="T24" s="6">
        <v>3801.94</v>
      </c>
      <c r="U24" s="2"/>
      <c r="V24" s="7">
        <f t="shared" si="19"/>
        <v>2.3453760816228433E-2</v>
      </c>
      <c r="W24" s="2"/>
      <c r="X24" s="6">
        <f t="shared" si="20"/>
        <v>-3610.4300000000003</v>
      </c>
      <c r="Y24" s="2"/>
      <c r="Z24" s="7">
        <f t="shared" si="21"/>
        <v>-0.9496283476330506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554.91999999999996</v>
      </c>
      <c r="I25" s="2"/>
      <c r="J25" s="7">
        <f t="shared" si="15"/>
        <v>1.7222821573157576E-2</v>
      </c>
      <c r="K25" s="2"/>
      <c r="L25" s="6">
        <f t="shared" si="16"/>
        <v>-554.91999999999996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1747.32</v>
      </c>
      <c r="U25" s="2"/>
      <c r="V25" s="7">
        <f t="shared" si="19"/>
        <v>1.0779030008209562E-2</v>
      </c>
      <c r="W25" s="2"/>
      <c r="X25" s="6">
        <f t="shared" si="20"/>
        <v>-1747.32</v>
      </c>
      <c r="Y25" s="2"/>
      <c r="Z25" s="7">
        <f t="shared" si="21"/>
        <v>-1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1290.46</v>
      </c>
      <c r="I26" s="2"/>
      <c r="J26" s="7">
        <f t="shared" si="15"/>
        <v>4.0051471072040885E-2</v>
      </c>
      <c r="K26" s="2"/>
      <c r="L26" s="6">
        <f t="shared" si="16"/>
        <v>-1290.46</v>
      </c>
      <c r="M26" s="2"/>
      <c r="N26" s="7">
        <f t="shared" si="17"/>
        <v>-1</v>
      </c>
      <c r="O26" s="11"/>
      <c r="P26" s="6">
        <v>718.51</v>
      </c>
      <c r="Q26" s="2"/>
      <c r="R26" s="7">
        <f t="shared" si="18"/>
        <v>0</v>
      </c>
      <c r="S26" s="2"/>
      <c r="T26" s="6">
        <v>6440.72</v>
      </c>
      <c r="U26" s="2"/>
      <c r="V26" s="7">
        <f t="shared" si="19"/>
        <v>3.973211212283697E-2</v>
      </c>
      <c r="W26" s="2"/>
      <c r="X26" s="6">
        <f t="shared" si="20"/>
        <v>-5722.21</v>
      </c>
      <c r="Y26" s="2"/>
      <c r="Z26" s="7">
        <f t="shared" si="21"/>
        <v>-0.88844259647989665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37.19</v>
      </c>
      <c r="I27" s="2"/>
      <c r="J27" s="7">
        <f t="shared" si="15"/>
        <v>1.1542505844188897E-3</v>
      </c>
      <c r="K27" s="2"/>
      <c r="L27" s="6">
        <f t="shared" si="16"/>
        <v>-37.19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166.92</v>
      </c>
      <c r="U27" s="2"/>
      <c r="V27" s="7">
        <f t="shared" si="19"/>
        <v>1.0297116091902685E-3</v>
      </c>
      <c r="W27" s="2"/>
      <c r="X27" s="6">
        <f t="shared" si="20"/>
        <v>-166.92</v>
      </c>
      <c r="Y27" s="2"/>
      <c r="Z27" s="7">
        <f t="shared" si="21"/>
        <v>-1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326.52</v>
      </c>
      <c r="I28" s="2"/>
      <c r="J28" s="7">
        <f t="shared" si="15"/>
        <v>1.0134065631203438E-2</v>
      </c>
      <c r="K28" s="2"/>
      <c r="L28" s="6">
        <f t="shared" si="16"/>
        <v>-326.52</v>
      </c>
      <c r="M28" s="2"/>
      <c r="N28" s="7">
        <f t="shared" si="17"/>
        <v>-1</v>
      </c>
      <c r="O28" s="11"/>
      <c r="P28" s="6">
        <v>377.03</v>
      </c>
      <c r="Q28" s="2"/>
      <c r="R28" s="7">
        <f t="shared" si="18"/>
        <v>0</v>
      </c>
      <c r="S28" s="2"/>
      <c r="T28" s="6">
        <v>1632.6</v>
      </c>
      <c r="U28" s="2"/>
      <c r="V28" s="7">
        <f t="shared" si="19"/>
        <v>1.0071334610376423E-2</v>
      </c>
      <c r="W28" s="2"/>
      <c r="X28" s="6">
        <f t="shared" si="20"/>
        <v>-1255.57</v>
      </c>
      <c r="Y28" s="2"/>
      <c r="Z28" s="7">
        <f t="shared" si="21"/>
        <v>-0.76906161950263385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269.38</v>
      </c>
      <c r="I29" s="2"/>
      <c r="J29" s="7">
        <f t="shared" si="15"/>
        <v>8.3606351823275211E-3</v>
      </c>
      <c r="K29" s="2"/>
      <c r="L29" s="6">
        <f t="shared" si="16"/>
        <v>-269.38</v>
      </c>
      <c r="M29" s="2"/>
      <c r="N29" s="7">
        <f t="shared" si="17"/>
        <v>-1</v>
      </c>
      <c r="O29" s="11"/>
      <c r="P29" s="6">
        <v>93.89</v>
      </c>
      <c r="Q29" s="2"/>
      <c r="R29" s="7">
        <f t="shared" si="18"/>
        <v>0</v>
      </c>
      <c r="S29" s="2"/>
      <c r="T29" s="6">
        <v>1565.68</v>
      </c>
      <c r="U29" s="2"/>
      <c r="V29" s="7">
        <f t="shared" si="19"/>
        <v>9.6585122949737583E-3</v>
      </c>
      <c r="W29" s="2"/>
      <c r="X29" s="6">
        <f t="shared" si="20"/>
        <v>-1471.79</v>
      </c>
      <c r="Y29" s="2"/>
      <c r="Z29" s="7">
        <f t="shared" si="21"/>
        <v>-0.94003244596597002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215.62</v>
      </c>
      <c r="I30" s="2"/>
      <c r="J30" s="7">
        <f t="shared" si="15"/>
        <v>6.6921083896854267E-3</v>
      </c>
      <c r="K30" s="2"/>
      <c r="L30" s="6">
        <f t="shared" si="16"/>
        <v>-215.62</v>
      </c>
      <c r="M30" s="2"/>
      <c r="N30" s="7">
        <f t="shared" si="17"/>
        <v>-1</v>
      </c>
      <c r="O30" s="11"/>
      <c r="P30" s="6">
        <v>112.49</v>
      </c>
      <c r="Q30" s="2"/>
      <c r="R30" s="7">
        <f t="shared" si="18"/>
        <v>0</v>
      </c>
      <c r="S30" s="2"/>
      <c r="T30" s="6">
        <v>1519.8</v>
      </c>
      <c r="U30" s="2"/>
      <c r="V30" s="7">
        <f t="shared" si="19"/>
        <v>9.3754834869840056E-3</v>
      </c>
      <c r="W30" s="2"/>
      <c r="X30" s="6">
        <f t="shared" si="20"/>
        <v>-1407.31</v>
      </c>
      <c r="Y30" s="2"/>
      <c r="Z30" s="7">
        <f t="shared" si="21"/>
        <v>-0.9259836820634294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129.25</v>
      </c>
      <c r="I31" s="2"/>
      <c r="J31" s="7">
        <f t="shared" si="15"/>
        <v>4.0114785704797387E-3</v>
      </c>
      <c r="K31" s="2"/>
      <c r="L31" s="6">
        <f t="shared" si="16"/>
        <v>-129.25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673.04</v>
      </c>
      <c r="U31" s="2"/>
      <c r="V31" s="7">
        <f t="shared" si="19"/>
        <v>4.1519117029080897E-3</v>
      </c>
      <c r="W31" s="2"/>
      <c r="X31" s="6">
        <f t="shared" si="20"/>
        <v>-673.04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6" si="22">IF(D$12=0,0,D32/D$12)</f>
        <v>0</v>
      </c>
      <c r="G32" s="1"/>
      <c r="H32" s="1">
        <f>SUM(OSRRefH22_1x_0)</f>
        <v>12494.59</v>
      </c>
      <c r="I32" s="1"/>
      <c r="J32" s="5">
        <f t="shared" ref="J32:J36" si="23">IF(H$12=0,0,H32/H$12)</f>
        <v>0.38778940063389122</v>
      </c>
      <c r="K32" s="1"/>
      <c r="L32" s="1">
        <f t="shared" ref="L32:L36" si="24">+D32-H32</f>
        <v>-12494.59</v>
      </c>
      <c r="M32" s="1"/>
      <c r="N32" s="5">
        <f t="shared" ref="N32:N36" si="25">IF(H32=0,0,L32/H32)</f>
        <v>-1</v>
      </c>
      <c r="O32" s="13"/>
      <c r="P32" s="1">
        <f>SUM(OSRRefP22_1x_0)</f>
        <v>2259.48</v>
      </c>
      <c r="Q32" s="1"/>
      <c r="R32" s="5">
        <f t="shared" ref="R32:R36" si="26">IF(P$12=0,0,P32/P$12)</f>
        <v>0</v>
      </c>
      <c r="S32" s="1"/>
      <c r="T32" s="1">
        <f>SUM(OSRRefT22_1x_0)</f>
        <v>65675.009999999995</v>
      </c>
      <c r="U32" s="1"/>
      <c r="V32" s="5">
        <f t="shared" ref="V32:V36" si="27">IF(T$12=0,0,T32/T$12)</f>
        <v>0.40514210538393824</v>
      </c>
      <c r="W32" s="1"/>
      <c r="X32" s="1">
        <f t="shared" ref="X32:X36" si="28">+P32-T32</f>
        <v>-63415.529999999992</v>
      </c>
      <c r="Y32" s="1"/>
      <c r="Z32" s="5">
        <f t="shared" ref="Z32:Z36" si="29">IF(T32=0,0,X32/T32)</f>
        <v>-0.96559604635005003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4440.8900000000003</v>
      </c>
      <c r="I33" s="2"/>
      <c r="J33" s="7">
        <f t="shared" si="23"/>
        <v>0.13783005855982799</v>
      </c>
      <c r="K33" s="2"/>
      <c r="L33" s="6">
        <f t="shared" si="24"/>
        <v>-4440.8900000000003</v>
      </c>
      <c r="M33" s="2"/>
      <c r="N33" s="7">
        <f t="shared" si="25"/>
        <v>-1</v>
      </c>
      <c r="O33" s="11"/>
      <c r="P33" s="6">
        <v>2259.48</v>
      </c>
      <c r="Q33" s="2"/>
      <c r="R33" s="7">
        <f t="shared" si="26"/>
        <v>0</v>
      </c>
      <c r="S33" s="2"/>
      <c r="T33" s="6">
        <v>24541.759999999998</v>
      </c>
      <c r="U33" s="2"/>
      <c r="V33" s="7">
        <f t="shared" si="27"/>
        <v>0.15139548994704866</v>
      </c>
      <c r="W33" s="2"/>
      <c r="X33" s="6">
        <f t="shared" si="28"/>
        <v>-22282.28</v>
      </c>
      <c r="Y33" s="2"/>
      <c r="Z33" s="7">
        <f t="shared" si="29"/>
        <v>-0.90793325336080222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>
        <v>3538.7</v>
      </c>
      <c r="I34" s="2"/>
      <c r="J34" s="7">
        <f t="shared" si="23"/>
        <v>0.10982916222326229</v>
      </c>
      <c r="K34" s="2"/>
      <c r="L34" s="6">
        <f t="shared" si="24"/>
        <v>-3538.7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17893.939999999999</v>
      </c>
      <c r="U34" s="2"/>
      <c r="V34" s="7">
        <f t="shared" si="27"/>
        <v>0.11038580009677758</v>
      </c>
      <c r="W34" s="2"/>
      <c r="X34" s="6">
        <f t="shared" si="28"/>
        <v>-17893.939999999999</v>
      </c>
      <c r="Y34" s="2"/>
      <c r="Z34" s="7">
        <f t="shared" si="29"/>
        <v>-1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22"/>
        <v>0</v>
      </c>
      <c r="G35" s="2"/>
      <c r="H35" s="6">
        <v>3969</v>
      </c>
      <c r="I35" s="2"/>
      <c r="J35" s="7">
        <f t="shared" si="23"/>
        <v>0.12318420461302966</v>
      </c>
      <c r="K35" s="2"/>
      <c r="L35" s="6">
        <f t="shared" si="24"/>
        <v>-3969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20935.310000000001</v>
      </c>
      <c r="U35" s="2"/>
      <c r="V35" s="7">
        <f t="shared" si="27"/>
        <v>0.12914768601124565</v>
      </c>
      <c r="W35" s="2"/>
      <c r="X35" s="6">
        <f t="shared" si="28"/>
        <v>-20935.310000000001</v>
      </c>
      <c r="Y35" s="2"/>
      <c r="Z35" s="7">
        <f t="shared" si="29"/>
        <v>-1</v>
      </c>
    </row>
    <row r="36" spans="1:26" s="24" customFormat="1" hidden="1" outlineLevel="2" x14ac:dyDescent="0.25">
      <c r="A36" s="25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22"/>
        <v>0</v>
      </c>
      <c r="G36" s="2"/>
      <c r="H36" s="6">
        <v>546</v>
      </c>
      <c r="I36" s="2"/>
      <c r="J36" s="7">
        <f t="shared" si="23"/>
        <v>1.6945975237771277E-2</v>
      </c>
      <c r="K36" s="2"/>
      <c r="L36" s="6">
        <f t="shared" si="24"/>
        <v>-546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2304</v>
      </c>
      <c r="U36" s="2"/>
      <c r="V36" s="7">
        <f t="shared" si="27"/>
        <v>1.4213129328866396E-2</v>
      </c>
      <c r="W36" s="2"/>
      <c r="X36" s="6">
        <f t="shared" si="28"/>
        <v>-2304</v>
      </c>
      <c r="Y36" s="2"/>
      <c r="Z36" s="7">
        <f t="shared" si="29"/>
        <v>-1</v>
      </c>
    </row>
    <row r="37" spans="1:26" s="26" customFormat="1" outlineLevel="1" collapsed="1" x14ac:dyDescent="0.25">
      <c r="A37" s="27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50" si="30">IF(D$12=0,0,D37/D$12)</f>
        <v>0</v>
      </c>
      <c r="G37" s="1"/>
      <c r="H37" s="1">
        <f>SUM(OSRRefH22_2x_0)</f>
        <v>135.28</v>
      </c>
      <c r="I37" s="1"/>
      <c r="J37" s="5">
        <f t="shared" ref="J37:J50" si="31">IF(H$12=0,0,H37/H$12)</f>
        <v>4.198629176127653E-3</v>
      </c>
      <c r="K37" s="1"/>
      <c r="L37" s="1">
        <f t="shared" ref="L37:L50" si="32">+D37-H37</f>
        <v>-135.28</v>
      </c>
      <c r="M37" s="1"/>
      <c r="N37" s="5">
        <f t="shared" ref="N37:N50" si="33">IF(H37=0,0,L37/H37)</f>
        <v>-1</v>
      </c>
      <c r="O37" s="13"/>
      <c r="P37" s="1">
        <f>SUM(OSRRefP22_2x_0)</f>
        <v>0</v>
      </c>
      <c r="Q37" s="1"/>
      <c r="R37" s="5">
        <f t="shared" ref="R37:R50" si="34">IF(P$12=0,0,P37/P$12)</f>
        <v>0</v>
      </c>
      <c r="S37" s="1"/>
      <c r="T37" s="1">
        <f>SUM(OSRRefT22_2x_0)</f>
        <v>1465</v>
      </c>
      <c r="U37" s="1"/>
      <c r="V37" s="5">
        <f t="shared" ref="V37:V50" si="35">IF(T$12=0,0,T37/T$12)</f>
        <v>9.0374281539883985E-3</v>
      </c>
      <c r="W37" s="1"/>
      <c r="X37" s="1">
        <f t="shared" ref="X37:X50" si="36">+P37-T37</f>
        <v>-1465</v>
      </c>
      <c r="Y37" s="1"/>
      <c r="Z37" s="5">
        <f t="shared" ref="Z37:Z50" si="37">IF(T37=0,0,X37/T37)</f>
        <v>-1</v>
      </c>
    </row>
    <row r="38" spans="1:26" s="24" customFormat="1" hidden="1" outlineLevel="2" x14ac:dyDescent="0.25">
      <c r="A38" s="25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30"/>
        <v>0</v>
      </c>
      <c r="G38" s="2"/>
      <c r="H38" s="6">
        <v>135.28</v>
      </c>
      <c r="I38" s="2"/>
      <c r="J38" s="7">
        <f t="shared" si="31"/>
        <v>4.198629176127653E-3</v>
      </c>
      <c r="K38" s="2"/>
      <c r="L38" s="6">
        <f t="shared" si="32"/>
        <v>-135.28</v>
      </c>
      <c r="M38" s="2"/>
      <c r="N38" s="7">
        <f t="shared" si="33"/>
        <v>-1</v>
      </c>
      <c r="O38" s="11"/>
      <c r="P38" s="6"/>
      <c r="Q38" s="2"/>
      <c r="R38" s="7">
        <f t="shared" si="34"/>
        <v>0</v>
      </c>
      <c r="S38" s="2"/>
      <c r="T38" s="6">
        <v>1465</v>
      </c>
      <c r="U38" s="2"/>
      <c r="V38" s="7">
        <f t="shared" si="35"/>
        <v>9.0374281539883985E-3</v>
      </c>
      <c r="W38" s="2"/>
      <c r="X38" s="6">
        <f t="shared" si="36"/>
        <v>-1465</v>
      </c>
      <c r="Y38" s="2"/>
      <c r="Z38" s="7">
        <f t="shared" si="37"/>
        <v>-1</v>
      </c>
    </row>
    <row r="39" spans="1:26" s="26" customFormat="1" outlineLevel="1" collapsed="1" x14ac:dyDescent="0.25">
      <c r="A39" s="27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2.04</v>
      </c>
      <c r="I39" s="1"/>
      <c r="J39" s="5">
        <f t="shared" si="31"/>
        <v>6.3314632756508062E-5</v>
      </c>
      <c r="K39" s="1"/>
      <c r="L39" s="1">
        <f t="shared" si="32"/>
        <v>-2.04</v>
      </c>
      <c r="M39" s="1"/>
      <c r="N39" s="5">
        <f t="shared" si="33"/>
        <v>-1</v>
      </c>
      <c r="O39" s="13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-24.52</v>
      </c>
      <c r="U39" s="1"/>
      <c r="V39" s="5">
        <f t="shared" si="35"/>
        <v>-1.5126125483672049E-4</v>
      </c>
      <c r="W39" s="1"/>
      <c r="X39" s="1">
        <f t="shared" si="36"/>
        <v>24.52</v>
      </c>
      <c r="Y39" s="1"/>
      <c r="Z39" s="5">
        <f t="shared" si="37"/>
        <v>-1</v>
      </c>
    </row>
    <row r="40" spans="1:26" s="24" customFormat="1" hidden="1" outlineLevel="2" x14ac:dyDescent="0.25">
      <c r="A40" s="25"/>
      <c r="B40" s="11" t="str">
        <f>CONCATENATE("          ", "6272", " - ", "CASH (OVER/SHORT)")</f>
        <v xml:space="preserve">          6272 - CASH (OVER/SHORT)</v>
      </c>
      <c r="C40" s="11"/>
      <c r="D40" s="6"/>
      <c r="E40" s="2"/>
      <c r="F40" s="7">
        <f t="shared" si="30"/>
        <v>0</v>
      </c>
      <c r="G40" s="2"/>
      <c r="H40" s="6">
        <v>2.04</v>
      </c>
      <c r="I40" s="2"/>
      <c r="J40" s="7">
        <f t="shared" si="31"/>
        <v>6.3314632756508062E-5</v>
      </c>
      <c r="K40" s="2"/>
      <c r="L40" s="6">
        <f t="shared" si="32"/>
        <v>-2.04</v>
      </c>
      <c r="M40" s="2"/>
      <c r="N40" s="7">
        <f t="shared" si="33"/>
        <v>-1</v>
      </c>
      <c r="O40" s="11"/>
      <c r="P40" s="6"/>
      <c r="Q40" s="2"/>
      <c r="R40" s="7">
        <f t="shared" si="34"/>
        <v>0</v>
      </c>
      <c r="S40" s="2"/>
      <c r="T40" s="6">
        <v>-24.52</v>
      </c>
      <c r="U40" s="2"/>
      <c r="V40" s="7">
        <f t="shared" si="35"/>
        <v>-1.5126125483672049E-4</v>
      </c>
      <c r="W40" s="2"/>
      <c r="X40" s="6">
        <f t="shared" si="36"/>
        <v>24.52</v>
      </c>
      <c r="Y40" s="2"/>
      <c r="Z40" s="7">
        <f t="shared" si="37"/>
        <v>-1</v>
      </c>
    </row>
    <row r="41" spans="1:26" s="26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0</v>
      </c>
      <c r="E41" s="1"/>
      <c r="F41" s="5">
        <f t="shared" si="30"/>
        <v>0</v>
      </c>
      <c r="G41" s="1"/>
      <c r="H41" s="1">
        <f>SUM(OSRRefH22_4x_0)</f>
        <v>1040.6099999999999</v>
      </c>
      <c r="I41" s="1"/>
      <c r="J41" s="5">
        <f t="shared" si="31"/>
        <v>3.2296980388602868E-2</v>
      </c>
      <c r="K41" s="1"/>
      <c r="L41" s="1">
        <f t="shared" si="32"/>
        <v>-1040.6099999999999</v>
      </c>
      <c r="M41" s="1"/>
      <c r="N41" s="5">
        <f t="shared" si="33"/>
        <v>-1</v>
      </c>
      <c r="O41" s="13"/>
      <c r="P41" s="1">
        <f>SUM(OSRRefP22_4x_0)</f>
        <v>0</v>
      </c>
      <c r="Q41" s="1"/>
      <c r="R41" s="5">
        <f t="shared" si="34"/>
        <v>0</v>
      </c>
      <c r="S41" s="1"/>
      <c r="T41" s="1">
        <f>SUM(OSRRefT22_4x_0)</f>
        <v>5663.37</v>
      </c>
      <c r="U41" s="1"/>
      <c r="V41" s="5">
        <f t="shared" si="35"/>
        <v>3.4936723197579025E-2</v>
      </c>
      <c r="W41" s="1"/>
      <c r="X41" s="1">
        <f t="shared" si="36"/>
        <v>-5663.37</v>
      </c>
      <c r="Y41" s="1"/>
      <c r="Z41" s="5">
        <f t="shared" si="37"/>
        <v>-1</v>
      </c>
    </row>
    <row r="42" spans="1:26" s="24" customFormat="1" hidden="1" outlineLevel="2" x14ac:dyDescent="0.25">
      <c r="A42" s="25"/>
      <c r="B42" s="11" t="str">
        <f>CONCATENATE("          ", "6381", " - ", "BANK/CREDIT CARD FEES")</f>
        <v xml:space="preserve">          6381 - BANK/CREDIT CARD FEES</v>
      </c>
      <c r="C42" s="11"/>
      <c r="D42" s="6"/>
      <c r="E42" s="2"/>
      <c r="F42" s="7">
        <f t="shared" si="30"/>
        <v>0</v>
      </c>
      <c r="G42" s="2"/>
      <c r="H42" s="6">
        <v>1040.6099999999999</v>
      </c>
      <c r="I42" s="2"/>
      <c r="J42" s="7">
        <f t="shared" si="31"/>
        <v>3.2296980388602868E-2</v>
      </c>
      <c r="K42" s="2"/>
      <c r="L42" s="6">
        <f t="shared" si="32"/>
        <v>-1040.6099999999999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5663.37</v>
      </c>
      <c r="U42" s="2"/>
      <c r="V42" s="7">
        <f t="shared" si="35"/>
        <v>3.4936723197579025E-2</v>
      </c>
      <c r="W42" s="2"/>
      <c r="X42" s="6">
        <f t="shared" si="36"/>
        <v>-5663.37</v>
      </c>
      <c r="Y42" s="2"/>
      <c r="Z42" s="7">
        <f t="shared" si="37"/>
        <v>-1</v>
      </c>
    </row>
    <row r="43" spans="1:26" s="26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58.03</v>
      </c>
      <c r="E43" s="1"/>
      <c r="F43" s="5">
        <f t="shared" si="30"/>
        <v>0</v>
      </c>
      <c r="G43" s="1"/>
      <c r="H43" s="1">
        <f>SUM(OSRRefH22_5x_0)</f>
        <v>630.21</v>
      </c>
      <c r="I43" s="1"/>
      <c r="J43" s="5">
        <f t="shared" si="31"/>
        <v>1.9559566034058309E-2</v>
      </c>
      <c r="K43" s="1"/>
      <c r="L43" s="1">
        <f t="shared" si="32"/>
        <v>-572.18000000000006</v>
      </c>
      <c r="M43" s="1"/>
      <c r="N43" s="5">
        <f t="shared" si="33"/>
        <v>-0.90791958236143511</v>
      </c>
      <c r="O43" s="13"/>
      <c r="P43" s="1">
        <f>SUM(OSRRefP22_5x_0)</f>
        <v>290.14999999999998</v>
      </c>
      <c r="Q43" s="1"/>
      <c r="R43" s="5">
        <f t="shared" si="34"/>
        <v>0</v>
      </c>
      <c r="S43" s="1"/>
      <c r="T43" s="1">
        <f>SUM(OSRRefT22_5x_0)</f>
        <v>3151.05</v>
      </c>
      <c r="U43" s="1"/>
      <c r="V43" s="5">
        <f t="shared" si="35"/>
        <v>1.9438490091894297E-2</v>
      </c>
      <c r="W43" s="1"/>
      <c r="X43" s="1">
        <f t="shared" si="36"/>
        <v>-2860.9</v>
      </c>
      <c r="Y43" s="1"/>
      <c r="Z43" s="5">
        <f t="shared" si="37"/>
        <v>-0.90791958236143511</v>
      </c>
    </row>
    <row r="44" spans="1:26" s="24" customFormat="1" hidden="1" outlineLevel="2" x14ac:dyDescent="0.25">
      <c r="A44" s="25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58.03</v>
      </c>
      <c r="E44" s="2"/>
      <c r="F44" s="7">
        <f t="shared" si="30"/>
        <v>0</v>
      </c>
      <c r="G44" s="2"/>
      <c r="H44" s="6">
        <v>630.21</v>
      </c>
      <c r="I44" s="2"/>
      <c r="J44" s="7">
        <f t="shared" si="31"/>
        <v>1.9559566034058309E-2</v>
      </c>
      <c r="K44" s="2"/>
      <c r="L44" s="6">
        <f t="shared" si="32"/>
        <v>-572.18000000000006</v>
      </c>
      <c r="M44" s="2"/>
      <c r="N44" s="7">
        <f t="shared" si="33"/>
        <v>-0.90791958236143511</v>
      </c>
      <c r="O44" s="11"/>
      <c r="P44" s="6">
        <v>290.14999999999998</v>
      </c>
      <c r="Q44" s="2"/>
      <c r="R44" s="7">
        <f t="shared" si="34"/>
        <v>0</v>
      </c>
      <c r="S44" s="2"/>
      <c r="T44" s="6">
        <v>3151.05</v>
      </c>
      <c r="U44" s="2"/>
      <c r="V44" s="7">
        <f t="shared" si="35"/>
        <v>1.9438490091894297E-2</v>
      </c>
      <c r="W44" s="2"/>
      <c r="X44" s="6">
        <f t="shared" si="36"/>
        <v>-2860.9</v>
      </c>
      <c r="Y44" s="2"/>
      <c r="Z44" s="7">
        <f t="shared" si="37"/>
        <v>-0.90791958236143511</v>
      </c>
    </row>
    <row r="45" spans="1:26" s="26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si="30"/>
        <v>0</v>
      </c>
      <c r="G45" s="1"/>
      <c r="H45" s="1">
        <f>SUM(OSRRefH22_6x_0)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3"/>
      <c r="P45" s="1">
        <f>SUM(OSRRefP22_6x_0)</f>
        <v>0</v>
      </c>
      <c r="Q45" s="1"/>
      <c r="R45" s="5">
        <f t="shared" si="34"/>
        <v>0</v>
      </c>
      <c r="S45" s="1"/>
      <c r="T45" s="1">
        <f>SUM(OSRRefT22_6x_0)</f>
        <v>851.35</v>
      </c>
      <c r="U45" s="1"/>
      <c r="V45" s="5">
        <f t="shared" si="35"/>
        <v>5.2518870026607668E-3</v>
      </c>
      <c r="W45" s="1"/>
      <c r="X45" s="1">
        <f t="shared" si="36"/>
        <v>-851.35</v>
      </c>
      <c r="Y45" s="1"/>
      <c r="Z45" s="5">
        <f t="shared" si="37"/>
        <v>-1</v>
      </c>
    </row>
    <row r="46" spans="1:26" s="24" customFormat="1" hidden="1" outlineLevel="2" x14ac:dyDescent="0.25">
      <c r="A46" s="25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30"/>
        <v>0</v>
      </c>
      <c r="G46" s="2"/>
      <c r="H46" s="6"/>
      <c r="I46" s="2"/>
      <c r="J46" s="7">
        <f t="shared" si="31"/>
        <v>0</v>
      </c>
      <c r="K46" s="2"/>
      <c r="L46" s="6">
        <f t="shared" si="32"/>
        <v>0</v>
      </c>
      <c r="M46" s="2"/>
      <c r="N46" s="7">
        <f t="shared" si="33"/>
        <v>0</v>
      </c>
      <c r="O46" s="11"/>
      <c r="P46" s="6"/>
      <c r="Q46" s="2"/>
      <c r="R46" s="7">
        <f t="shared" si="34"/>
        <v>0</v>
      </c>
      <c r="S46" s="2"/>
      <c r="T46" s="6">
        <v>851.35</v>
      </c>
      <c r="U46" s="2"/>
      <c r="V46" s="7">
        <f t="shared" si="35"/>
        <v>5.2518870026607668E-3</v>
      </c>
      <c r="W46" s="2"/>
      <c r="X46" s="6">
        <f t="shared" si="36"/>
        <v>-851.35</v>
      </c>
      <c r="Y46" s="2"/>
      <c r="Z46" s="7">
        <f t="shared" si="37"/>
        <v>-1</v>
      </c>
    </row>
    <row r="47" spans="1:26" s="26" customFormat="1" outlineLevel="1" collapsed="1" x14ac:dyDescent="0.25">
      <c r="A47" s="27"/>
      <c r="B47" s="13" t="str">
        <f>CONCATENATE("     ","Repair and Maintenance                            ")</f>
        <v xml:space="preserve">     Repair and Maintenance                            </v>
      </c>
      <c r="C47" s="13"/>
      <c r="D47" s="1">
        <f>SUM(OSRRefD22_7x_0)</f>
        <v>0</v>
      </c>
      <c r="E47" s="1"/>
      <c r="F47" s="5">
        <f t="shared" si="30"/>
        <v>0</v>
      </c>
      <c r="G47" s="1"/>
      <c r="H47" s="1">
        <f>SUM(OSRRefH22_7x_0)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3"/>
      <c r="P47" s="1">
        <f>SUM(OSRRefP22_7x_0)</f>
        <v>244.35</v>
      </c>
      <c r="Q47" s="1"/>
      <c r="R47" s="5">
        <f t="shared" si="34"/>
        <v>0</v>
      </c>
      <c r="S47" s="1"/>
      <c r="T47" s="1">
        <f>SUM(OSRRefT22_7x_0)</f>
        <v>7677.8099999999995</v>
      </c>
      <c r="U47" s="1"/>
      <c r="V47" s="5">
        <f t="shared" si="35"/>
        <v>4.7363587887354036E-2</v>
      </c>
      <c r="W47" s="1"/>
      <c r="X47" s="1">
        <f t="shared" si="36"/>
        <v>-7433.4599999999991</v>
      </c>
      <c r="Y47" s="1"/>
      <c r="Z47" s="5">
        <f t="shared" si="37"/>
        <v>-0.96817451851504521</v>
      </c>
    </row>
    <row r="48" spans="1:26" s="24" customFormat="1" hidden="1" outlineLevel="2" x14ac:dyDescent="0.25">
      <c r="A48" s="25"/>
      <c r="B48" s="11" t="str">
        <f>CONCATENATE("          ", "6371", " - ", "COMPUTER SOFTWARE MAINTENANCE")</f>
        <v xml:space="preserve">          6371 - COMPUTER SOFTWARE MAINTENANCE</v>
      </c>
      <c r="C48" s="11"/>
      <c r="D48" s="6"/>
      <c r="E48" s="2"/>
      <c r="F48" s="7">
        <f t="shared" si="30"/>
        <v>0</v>
      </c>
      <c r="G48" s="2"/>
      <c r="H48" s="6"/>
      <c r="I48" s="2"/>
      <c r="J48" s="7">
        <f t="shared" si="31"/>
        <v>0</v>
      </c>
      <c r="K48" s="2"/>
      <c r="L48" s="6">
        <f t="shared" si="32"/>
        <v>0</v>
      </c>
      <c r="M48" s="2"/>
      <c r="N48" s="7">
        <f t="shared" si="33"/>
        <v>0</v>
      </c>
      <c r="O48" s="11"/>
      <c r="P48" s="6"/>
      <c r="Q48" s="2"/>
      <c r="R48" s="7">
        <f t="shared" si="34"/>
        <v>0</v>
      </c>
      <c r="S48" s="2"/>
      <c r="T48" s="6">
        <v>874.62</v>
      </c>
      <c r="U48" s="2"/>
      <c r="V48" s="7">
        <f t="shared" si="35"/>
        <v>5.395437141325142E-3</v>
      </c>
      <c r="W48" s="2"/>
      <c r="X48" s="6">
        <f t="shared" si="36"/>
        <v>-874.62</v>
      </c>
      <c r="Y48" s="2"/>
      <c r="Z48" s="7">
        <f t="shared" si="37"/>
        <v>-1</v>
      </c>
    </row>
    <row r="49" spans="1:26" s="24" customFormat="1" hidden="1" outlineLevel="2" x14ac:dyDescent="0.25">
      <c r="A49" s="25"/>
      <c r="B49" s="11" t="str">
        <f>CONCATENATE("          ", "6373", " - ", "MAINTENANCE CONTRACTS")</f>
        <v xml:space="preserve">          6373 - MAINTENANCE CONTRACTS</v>
      </c>
      <c r="C49" s="11"/>
      <c r="D49" s="6"/>
      <c r="E49" s="2"/>
      <c r="F49" s="7">
        <f t="shared" si="30"/>
        <v>0</v>
      </c>
      <c r="G49" s="2"/>
      <c r="H49" s="6"/>
      <c r="I49" s="2"/>
      <c r="J49" s="7">
        <f t="shared" si="31"/>
        <v>0</v>
      </c>
      <c r="K49" s="2"/>
      <c r="L49" s="6">
        <f t="shared" si="32"/>
        <v>0</v>
      </c>
      <c r="M49" s="2"/>
      <c r="N49" s="7">
        <f t="shared" si="33"/>
        <v>0</v>
      </c>
      <c r="O49" s="11"/>
      <c r="P49" s="6">
        <v>244.35</v>
      </c>
      <c r="Q49" s="2"/>
      <c r="R49" s="7">
        <f t="shared" si="34"/>
        <v>0</v>
      </c>
      <c r="S49" s="2"/>
      <c r="T49" s="6">
        <v>157.29</v>
      </c>
      <c r="U49" s="2"/>
      <c r="V49" s="7">
        <f t="shared" si="35"/>
        <v>9.7030517019852224E-4</v>
      </c>
      <c r="W49" s="2"/>
      <c r="X49" s="6">
        <f t="shared" si="36"/>
        <v>87.06</v>
      </c>
      <c r="Y49" s="2"/>
      <c r="Z49" s="7">
        <f t="shared" si="37"/>
        <v>0.55349990463475118</v>
      </c>
    </row>
    <row r="50" spans="1:26" s="24" customFormat="1" hidden="1" outlineLevel="2" x14ac:dyDescent="0.25">
      <c r="A50" s="25"/>
      <c r="B50" s="11" t="str">
        <f>CONCATENATE("          ", "6375", " - ", "OUTSIDE REPAIRS &amp; MAINTENANCE")</f>
        <v xml:space="preserve">          6375 - OUTSIDE REPAIRS &amp; MAINTENANCE</v>
      </c>
      <c r="C50" s="11"/>
      <c r="D50" s="6"/>
      <c r="E50" s="2"/>
      <c r="F50" s="7">
        <f t="shared" si="30"/>
        <v>0</v>
      </c>
      <c r="G50" s="2"/>
      <c r="H50" s="6"/>
      <c r="I50" s="2"/>
      <c r="J50" s="7">
        <f t="shared" si="31"/>
        <v>0</v>
      </c>
      <c r="K50" s="2"/>
      <c r="L50" s="6">
        <f t="shared" si="32"/>
        <v>0</v>
      </c>
      <c r="M50" s="2"/>
      <c r="N50" s="7">
        <f t="shared" si="33"/>
        <v>0</v>
      </c>
      <c r="O50" s="11"/>
      <c r="P50" s="6"/>
      <c r="Q50" s="2"/>
      <c r="R50" s="7">
        <f t="shared" si="34"/>
        <v>0</v>
      </c>
      <c r="S50" s="2"/>
      <c r="T50" s="6">
        <v>6645.9</v>
      </c>
      <c r="U50" s="2"/>
      <c r="V50" s="7">
        <f t="shared" si="35"/>
        <v>4.0997845575830368E-2</v>
      </c>
      <c r="W50" s="2"/>
      <c r="X50" s="6">
        <f t="shared" si="36"/>
        <v>-6645.9</v>
      </c>
      <c r="Y50" s="2"/>
      <c r="Z50" s="7">
        <f t="shared" si="37"/>
        <v>-1</v>
      </c>
    </row>
    <row r="51" spans="1:26" s="26" customFormat="1" outlineLevel="1" collapsed="1" x14ac:dyDescent="0.25">
      <c r="A51" s="27"/>
      <c r="B51" s="13" t="str">
        <f>CONCATENATE("     ","Services                                          ")</f>
        <v xml:space="preserve">     Services                                          </v>
      </c>
      <c r="C51" s="13"/>
      <c r="D51" s="1">
        <f>SUM(OSRRefD22_8x_0)</f>
        <v>0</v>
      </c>
      <c r="E51" s="1"/>
      <c r="F51" s="5">
        <f t="shared" ref="F51:F53" si="38">IF(D$12=0,0,D51/D$12)</f>
        <v>0</v>
      </c>
      <c r="G51" s="1"/>
      <c r="H51" s="1">
        <f>SUM(OSRRefH22_8x_0)</f>
        <v>78.900000000000006</v>
      </c>
      <c r="I51" s="1"/>
      <c r="J51" s="5">
        <f t="shared" ref="J51:J53" si="39">IF(H$12=0,0,H51/H$12)</f>
        <v>2.4487865316120032E-3</v>
      </c>
      <c r="K51" s="1"/>
      <c r="L51" s="1">
        <f t="shared" ref="L51:L53" si="40">+D51-H51</f>
        <v>-78.900000000000006</v>
      </c>
      <c r="M51" s="1"/>
      <c r="N51" s="5">
        <f t="shared" ref="N51:N53" si="41">IF(H51=0,0,L51/H51)</f>
        <v>-1</v>
      </c>
      <c r="O51" s="13"/>
      <c r="P51" s="1">
        <f>SUM(OSRRefP22_8x_0)</f>
        <v>286.62</v>
      </c>
      <c r="Q51" s="1"/>
      <c r="R51" s="5">
        <f t="shared" ref="R51:R53" si="42">IF(P$12=0,0,P51/P$12)</f>
        <v>0</v>
      </c>
      <c r="S51" s="1"/>
      <c r="T51" s="1">
        <f>SUM(OSRRefT22_8x_0)</f>
        <v>352.67</v>
      </c>
      <c r="U51" s="1"/>
      <c r="V51" s="5">
        <f t="shared" ref="V51:V53" si="43">IF(T$12=0,0,T51/T$12)</f>
        <v>2.1755834724007431E-3</v>
      </c>
      <c r="W51" s="1"/>
      <c r="X51" s="1">
        <f t="shared" ref="X51:X53" si="44">+P51-T51</f>
        <v>-66.050000000000011</v>
      </c>
      <c r="Y51" s="1"/>
      <c r="Z51" s="5">
        <f t="shared" ref="Z51:Z53" si="45">IF(T51=0,0,X51/T51)</f>
        <v>-0.18728556440865402</v>
      </c>
    </row>
    <row r="52" spans="1:26" s="24" customFormat="1" hidden="1" outlineLevel="2" x14ac:dyDescent="0.25">
      <c r="A52" s="25"/>
      <c r="B52" s="11" t="str">
        <f>CONCATENATE("          ", "6282", " - ", "JANITORIAL/EXTERMINATOR EXPENS")</f>
        <v xml:space="preserve">          6282 - JANITORIAL/EXTERMINATOR EXPENS</v>
      </c>
      <c r="C52" s="11"/>
      <c r="D52" s="6"/>
      <c r="E52" s="2"/>
      <c r="F52" s="7">
        <f t="shared" si="38"/>
        <v>0</v>
      </c>
      <c r="G52" s="2"/>
      <c r="H52" s="6"/>
      <c r="I52" s="2"/>
      <c r="J52" s="7">
        <f t="shared" si="39"/>
        <v>0</v>
      </c>
      <c r="K52" s="2"/>
      <c r="L52" s="6">
        <f t="shared" si="40"/>
        <v>0</v>
      </c>
      <c r="M52" s="2"/>
      <c r="N52" s="7">
        <f t="shared" si="41"/>
        <v>0</v>
      </c>
      <c r="O52" s="11"/>
      <c r="P52" s="6">
        <v>286.62</v>
      </c>
      <c r="Q52" s="2"/>
      <c r="R52" s="7">
        <f t="shared" si="42"/>
        <v>0</v>
      </c>
      <c r="S52" s="2"/>
      <c r="T52" s="6"/>
      <c r="U52" s="2"/>
      <c r="V52" s="7">
        <f t="shared" si="43"/>
        <v>0</v>
      </c>
      <c r="W52" s="2"/>
      <c r="X52" s="6">
        <f t="shared" si="44"/>
        <v>286.62</v>
      </c>
      <c r="Y52" s="2"/>
      <c r="Z52" s="7">
        <f t="shared" si="45"/>
        <v>0</v>
      </c>
    </row>
    <row r="53" spans="1:26" s="24" customFormat="1" hidden="1" outlineLevel="2" x14ac:dyDescent="0.25">
      <c r="A53" s="25"/>
      <c r="B53" s="11" t="str">
        <f>CONCATENATE("          ", "6286", " - ", "LAUNDRY EXPENSE")</f>
        <v xml:space="preserve">          6286 - LAUNDRY EXPENSE</v>
      </c>
      <c r="C53" s="11"/>
      <c r="D53" s="6"/>
      <c r="E53" s="2"/>
      <c r="F53" s="7">
        <f t="shared" si="38"/>
        <v>0</v>
      </c>
      <c r="G53" s="2"/>
      <c r="H53" s="6">
        <v>78.900000000000006</v>
      </c>
      <c r="I53" s="2"/>
      <c r="J53" s="7">
        <f t="shared" si="39"/>
        <v>2.4487865316120032E-3</v>
      </c>
      <c r="K53" s="2"/>
      <c r="L53" s="6">
        <f t="shared" si="40"/>
        <v>-78.900000000000006</v>
      </c>
      <c r="M53" s="2"/>
      <c r="N53" s="7">
        <f t="shared" si="41"/>
        <v>-1</v>
      </c>
      <c r="O53" s="11"/>
      <c r="P53" s="6"/>
      <c r="Q53" s="2"/>
      <c r="R53" s="7">
        <f t="shared" si="42"/>
        <v>0</v>
      </c>
      <c r="S53" s="2"/>
      <c r="T53" s="6">
        <v>352.67</v>
      </c>
      <c r="U53" s="2"/>
      <c r="V53" s="7">
        <f t="shared" si="43"/>
        <v>2.1755834724007431E-3</v>
      </c>
      <c r="W53" s="2"/>
      <c r="X53" s="6">
        <f t="shared" si="44"/>
        <v>-352.67</v>
      </c>
      <c r="Y53" s="2"/>
      <c r="Z53" s="7">
        <f t="shared" si="45"/>
        <v>-1</v>
      </c>
    </row>
    <row r="54" spans="1:26" s="26" customFormat="1" outlineLevel="1" collapsed="1" x14ac:dyDescent="0.25">
      <c r="A54" s="27"/>
      <c r="B54" s="13" t="str">
        <f>CONCATENATE("     ","Supplies                                          ")</f>
        <v xml:space="preserve">     Supplies                                          </v>
      </c>
      <c r="C54" s="13"/>
      <c r="D54" s="1">
        <f>SUM(OSRRefD22_9x_0)</f>
        <v>0</v>
      </c>
      <c r="E54" s="1"/>
      <c r="F54" s="5">
        <f t="shared" ref="F54:F59" si="46">IF(D$12=0,0,D54/D$12)</f>
        <v>0</v>
      </c>
      <c r="G54" s="1"/>
      <c r="H54" s="1">
        <f>SUM(OSRRefH22_9x_0)</f>
        <v>542.82000000000005</v>
      </c>
      <c r="I54" s="1"/>
      <c r="J54" s="5">
        <f t="shared" ref="J54:J59" si="47">IF(H$12=0,0,H54/H$12)</f>
        <v>1.6847278898474368E-2</v>
      </c>
      <c r="K54" s="1"/>
      <c r="L54" s="1">
        <f t="shared" ref="L54:L59" si="48">+D54-H54</f>
        <v>-542.82000000000005</v>
      </c>
      <c r="M54" s="1"/>
      <c r="N54" s="5">
        <f t="shared" ref="N54:N59" si="49">IF(H54=0,0,L54/H54)</f>
        <v>-1</v>
      </c>
      <c r="O54" s="13"/>
      <c r="P54" s="1">
        <f>SUM(OSRRefP22_9x_0)</f>
        <v>0</v>
      </c>
      <c r="Q54" s="1"/>
      <c r="R54" s="5">
        <f t="shared" ref="R54:R59" si="50">IF(P$12=0,0,P54/P$12)</f>
        <v>0</v>
      </c>
      <c r="S54" s="1"/>
      <c r="T54" s="1">
        <f>SUM(OSRRefT22_9x_0)</f>
        <v>2932.6400000000003</v>
      </c>
      <c r="U54" s="1"/>
      <c r="V54" s="5">
        <f t="shared" ref="V54:V59" si="51">IF(T$12=0,0,T54/T$12)</f>
        <v>1.8091142185332792E-2</v>
      </c>
      <c r="W54" s="1"/>
      <c r="X54" s="1">
        <f t="shared" ref="X54:X59" si="52">+P54-T54</f>
        <v>-2932.6400000000003</v>
      </c>
      <c r="Y54" s="1"/>
      <c r="Z54" s="5">
        <f t="shared" ref="Z54:Z59" si="53">IF(T54=0,0,X54/T54)</f>
        <v>-1</v>
      </c>
    </row>
    <row r="55" spans="1:26" s="24" customFormat="1" hidden="1" outlineLevel="2" x14ac:dyDescent="0.25">
      <c r="A55" s="25"/>
      <c r="B55" s="11" t="str">
        <f>CONCATENATE("          ", "6239", " - ", "KITCHEN SUPPLIES")</f>
        <v xml:space="preserve">          6239 - KITCHEN SUPPLIES</v>
      </c>
      <c r="C55" s="11"/>
      <c r="D55" s="6"/>
      <c r="E55" s="2"/>
      <c r="F55" s="7">
        <f t="shared" si="46"/>
        <v>0</v>
      </c>
      <c r="G55" s="2"/>
      <c r="H55" s="6"/>
      <c r="I55" s="2"/>
      <c r="J55" s="7">
        <f t="shared" si="47"/>
        <v>0</v>
      </c>
      <c r="K55" s="2"/>
      <c r="L55" s="6">
        <f t="shared" si="48"/>
        <v>0</v>
      </c>
      <c r="M55" s="2"/>
      <c r="N55" s="7">
        <f t="shared" si="49"/>
        <v>0</v>
      </c>
      <c r="O55" s="11"/>
      <c r="P55" s="6"/>
      <c r="Q55" s="2"/>
      <c r="R55" s="7">
        <f t="shared" si="50"/>
        <v>0</v>
      </c>
      <c r="S55" s="2"/>
      <c r="T55" s="6">
        <v>540.89</v>
      </c>
      <c r="U55" s="2"/>
      <c r="V55" s="7">
        <f t="shared" si="51"/>
        <v>3.336692501167771E-3</v>
      </c>
      <c r="W55" s="2"/>
      <c r="X55" s="6">
        <f t="shared" si="52"/>
        <v>-540.89</v>
      </c>
      <c r="Y55" s="2"/>
      <c r="Z55" s="7">
        <f t="shared" si="53"/>
        <v>-1</v>
      </c>
    </row>
    <row r="56" spans="1:26" s="24" customFormat="1" hidden="1" outlineLevel="2" x14ac:dyDescent="0.25">
      <c r="A56" s="25"/>
      <c r="B56" s="11" t="str">
        <f>CONCATENATE("          ", "6241", " - ", "OFFICE EXPENSE")</f>
        <v xml:space="preserve">          6241 - OFFICE EXPENSE</v>
      </c>
      <c r="C56" s="11"/>
      <c r="D56" s="6"/>
      <c r="E56" s="2"/>
      <c r="F56" s="7">
        <f t="shared" si="46"/>
        <v>0</v>
      </c>
      <c r="G56" s="2"/>
      <c r="H56" s="6">
        <v>490.85</v>
      </c>
      <c r="I56" s="2"/>
      <c r="J56" s="7">
        <f t="shared" si="47"/>
        <v>1.523430759241764E-2</v>
      </c>
      <c r="K56" s="2"/>
      <c r="L56" s="6">
        <f t="shared" si="48"/>
        <v>-490.85</v>
      </c>
      <c r="M56" s="2"/>
      <c r="N56" s="7">
        <f t="shared" si="49"/>
        <v>-1</v>
      </c>
      <c r="O56" s="11"/>
      <c r="P56" s="6"/>
      <c r="Q56" s="2"/>
      <c r="R56" s="7">
        <f t="shared" si="50"/>
        <v>0</v>
      </c>
      <c r="S56" s="2"/>
      <c r="T56" s="6">
        <v>910.32</v>
      </c>
      <c r="U56" s="2"/>
      <c r="V56" s="7">
        <f t="shared" si="51"/>
        <v>5.6156666192073166E-3</v>
      </c>
      <c r="W56" s="2"/>
      <c r="X56" s="6">
        <f t="shared" si="52"/>
        <v>-910.32</v>
      </c>
      <c r="Y56" s="2"/>
      <c r="Z56" s="7">
        <f t="shared" si="53"/>
        <v>-1</v>
      </c>
    </row>
    <row r="57" spans="1:26" s="24" customFormat="1" hidden="1" outlineLevel="2" x14ac:dyDescent="0.25">
      <c r="A57" s="25"/>
      <c r="B57" s="11" t="str">
        <f>CONCATENATE("          ", "6243", " - ", "PAPER SUPPLIES")</f>
        <v xml:space="preserve">          6243 - PAPER SUPPLIES</v>
      </c>
      <c r="C57" s="11"/>
      <c r="D57" s="6"/>
      <c r="E57" s="2"/>
      <c r="F57" s="7">
        <f t="shared" si="46"/>
        <v>0</v>
      </c>
      <c r="G57" s="2"/>
      <c r="H57" s="6">
        <v>51.97</v>
      </c>
      <c r="I57" s="2"/>
      <c r="J57" s="7">
        <f t="shared" si="47"/>
        <v>1.6129713060567274E-3</v>
      </c>
      <c r="K57" s="2"/>
      <c r="L57" s="6">
        <f t="shared" si="48"/>
        <v>-51.97</v>
      </c>
      <c r="M57" s="2"/>
      <c r="N57" s="7">
        <f t="shared" si="49"/>
        <v>-1</v>
      </c>
      <c r="O57" s="11"/>
      <c r="P57" s="6"/>
      <c r="Q57" s="2"/>
      <c r="R57" s="7">
        <f t="shared" si="50"/>
        <v>0</v>
      </c>
      <c r="S57" s="2"/>
      <c r="T57" s="6">
        <v>743.21</v>
      </c>
      <c r="U57" s="2"/>
      <c r="V57" s="7">
        <f t="shared" si="51"/>
        <v>4.5847829203588516E-3</v>
      </c>
      <c r="W57" s="2"/>
      <c r="X57" s="6">
        <f t="shared" si="52"/>
        <v>-743.21</v>
      </c>
      <c r="Y57" s="2"/>
      <c r="Z57" s="7">
        <f t="shared" si="53"/>
        <v>-1</v>
      </c>
    </row>
    <row r="58" spans="1:26" s="24" customFormat="1" hidden="1" outlineLevel="2" x14ac:dyDescent="0.25">
      <c r="A58" s="25"/>
      <c r="B58" s="11" t="str">
        <f>CONCATENATE("          ", "6247", " - ", "STORE SUPPLIES")</f>
        <v xml:space="preserve">          6247 - STORE SUPPLIES</v>
      </c>
      <c r="C58" s="11"/>
      <c r="D58" s="6"/>
      <c r="E58" s="2"/>
      <c r="F58" s="7">
        <f t="shared" si="46"/>
        <v>0</v>
      </c>
      <c r="G58" s="2"/>
      <c r="H58" s="6"/>
      <c r="I58" s="2"/>
      <c r="J58" s="7">
        <f t="shared" si="47"/>
        <v>0</v>
      </c>
      <c r="K58" s="2"/>
      <c r="L58" s="6">
        <f t="shared" si="48"/>
        <v>0</v>
      </c>
      <c r="M58" s="2"/>
      <c r="N58" s="7">
        <f t="shared" si="49"/>
        <v>0</v>
      </c>
      <c r="O58" s="11"/>
      <c r="P58" s="6"/>
      <c r="Q58" s="2"/>
      <c r="R58" s="7">
        <f t="shared" si="50"/>
        <v>0</v>
      </c>
      <c r="S58" s="2"/>
      <c r="T58" s="6">
        <v>42.98</v>
      </c>
      <c r="U58" s="2"/>
      <c r="V58" s="7">
        <f t="shared" si="51"/>
        <v>2.6513901846991219E-4</v>
      </c>
      <c r="W58" s="2"/>
      <c r="X58" s="6">
        <f t="shared" si="52"/>
        <v>-42.98</v>
      </c>
      <c r="Y58" s="2"/>
      <c r="Z58" s="7">
        <f t="shared" si="53"/>
        <v>-1</v>
      </c>
    </row>
    <row r="59" spans="1:26" s="24" customFormat="1" hidden="1" outlineLevel="2" x14ac:dyDescent="0.25">
      <c r="A59" s="25"/>
      <c r="B59" s="11" t="str">
        <f>CONCATENATE("          ", "6248", " - ", "UNIFORMS")</f>
        <v xml:space="preserve">          6248 - UNIFORMS</v>
      </c>
      <c r="C59" s="11"/>
      <c r="D59" s="6"/>
      <c r="E59" s="2"/>
      <c r="F59" s="7">
        <f t="shared" si="46"/>
        <v>0</v>
      </c>
      <c r="G59" s="2"/>
      <c r="H59" s="6"/>
      <c r="I59" s="2"/>
      <c r="J59" s="7">
        <f t="shared" si="47"/>
        <v>0</v>
      </c>
      <c r="K59" s="2"/>
      <c r="L59" s="6">
        <f t="shared" si="48"/>
        <v>0</v>
      </c>
      <c r="M59" s="2"/>
      <c r="N59" s="7">
        <f t="shared" si="49"/>
        <v>0</v>
      </c>
      <c r="O59" s="11"/>
      <c r="P59" s="6"/>
      <c r="Q59" s="2"/>
      <c r="R59" s="7">
        <f t="shared" si="50"/>
        <v>0</v>
      </c>
      <c r="S59" s="2"/>
      <c r="T59" s="6">
        <v>695.24</v>
      </c>
      <c r="U59" s="2"/>
      <c r="V59" s="7">
        <f t="shared" si="51"/>
        <v>4.2888611261289377E-3</v>
      </c>
      <c r="W59" s="2"/>
      <c r="X59" s="6">
        <f t="shared" si="52"/>
        <v>-695.24</v>
      </c>
      <c r="Y59" s="2"/>
      <c r="Z59" s="7">
        <f t="shared" si="53"/>
        <v>-1</v>
      </c>
    </row>
    <row r="60" spans="1:26" s="26" customFormat="1" outlineLevel="1" collapsed="1" x14ac:dyDescent="0.25">
      <c r="A60" s="27"/>
      <c r="B60" s="13" t="str">
        <f>CONCATENATE("     ","Telephone/Data Lines                              ")</f>
        <v xml:space="preserve">     Telephone/Data Lines                              </v>
      </c>
      <c r="C60" s="13"/>
      <c r="D60" s="1">
        <f>SUM(OSRRefD22_10x_0)</f>
        <v>138</v>
      </c>
      <c r="E60" s="1"/>
      <c r="F60" s="5">
        <f t="shared" ref="F60:F61" si="54">IF(D$12=0,0,D60/D$12)</f>
        <v>0</v>
      </c>
      <c r="G60" s="1"/>
      <c r="H60" s="1">
        <f>SUM(OSRRefH22_10x_0)</f>
        <v>71</v>
      </c>
      <c r="I60" s="1"/>
      <c r="J60" s="5">
        <f t="shared" ref="J60:J61" si="55">IF(H$12=0,0,H60/H$12)</f>
        <v>2.2035975126039574E-3</v>
      </c>
      <c r="K60" s="1"/>
      <c r="L60" s="1">
        <f t="shared" ref="L60:L61" si="56">+D60-H60</f>
        <v>67</v>
      </c>
      <c r="M60" s="1"/>
      <c r="N60" s="5">
        <f t="shared" ref="N60:N61" si="57">IF(H60=0,0,L60/H60)</f>
        <v>0.94366197183098588</v>
      </c>
      <c r="O60" s="13"/>
      <c r="P60" s="1">
        <f>SUM(OSRRefP22_10x_0)</f>
        <v>187.7</v>
      </c>
      <c r="Q60" s="1"/>
      <c r="R60" s="5">
        <f t="shared" ref="R60:R61" si="58">IF(P$12=0,0,P60/P$12)</f>
        <v>0</v>
      </c>
      <c r="S60" s="1"/>
      <c r="T60" s="1">
        <f>SUM(OSRRefT22_10x_0)</f>
        <v>355</v>
      </c>
      <c r="U60" s="1"/>
      <c r="V60" s="5">
        <f t="shared" ref="V60:V61" si="59">IF(T$12=0,0,T60/T$12)</f>
        <v>2.1899569929459939E-3</v>
      </c>
      <c r="W60" s="1"/>
      <c r="X60" s="1">
        <f t="shared" ref="X60:X61" si="60">+P60-T60</f>
        <v>-167.3</v>
      </c>
      <c r="Y60" s="1"/>
      <c r="Z60" s="5">
        <f t="shared" ref="Z60:Z61" si="61">IF(T60=0,0,X60/T60)</f>
        <v>-0.47126760563380282</v>
      </c>
    </row>
    <row r="61" spans="1:26" s="24" customFormat="1" hidden="1" outlineLevel="2" x14ac:dyDescent="0.25">
      <c r="A61" s="25"/>
      <c r="B61" s="11" t="str">
        <f>CONCATENATE("          ", "6309", " - ", "TELEPHONE")</f>
        <v xml:space="preserve">          6309 - TELEPHONE</v>
      </c>
      <c r="C61" s="11"/>
      <c r="D61" s="6">
        <v>138</v>
      </c>
      <c r="E61" s="2"/>
      <c r="F61" s="7">
        <f t="shared" si="54"/>
        <v>0</v>
      </c>
      <c r="G61" s="2"/>
      <c r="H61" s="6">
        <v>71</v>
      </c>
      <c r="I61" s="2"/>
      <c r="J61" s="7">
        <f t="shared" si="55"/>
        <v>2.2035975126039574E-3</v>
      </c>
      <c r="K61" s="2"/>
      <c r="L61" s="6">
        <f t="shared" si="56"/>
        <v>67</v>
      </c>
      <c r="M61" s="2"/>
      <c r="N61" s="7">
        <f t="shared" si="57"/>
        <v>0.94366197183098588</v>
      </c>
      <c r="O61" s="11"/>
      <c r="P61" s="6">
        <v>187.7</v>
      </c>
      <c r="Q61" s="2"/>
      <c r="R61" s="7">
        <f t="shared" si="58"/>
        <v>0</v>
      </c>
      <c r="S61" s="2"/>
      <c r="T61" s="6">
        <v>355</v>
      </c>
      <c r="U61" s="2"/>
      <c r="V61" s="7">
        <f t="shared" si="59"/>
        <v>2.1899569929459939E-3</v>
      </c>
      <c r="W61" s="2"/>
      <c r="X61" s="6">
        <f t="shared" si="60"/>
        <v>-167.3</v>
      </c>
      <c r="Y61" s="2"/>
      <c r="Z61" s="7">
        <f t="shared" si="61"/>
        <v>-0.47126760563380282</v>
      </c>
    </row>
    <row r="62" spans="1:26" s="53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collapsed="1" x14ac:dyDescent="0.25">
      <c r="A63" s="10"/>
      <c r="B63" s="29" t="s">
        <v>0</v>
      </c>
      <c r="C63" s="10"/>
      <c r="D63" s="4">
        <f>SUM(OSRRefD25x_0)</f>
        <v>0</v>
      </c>
      <c r="E63" s="4"/>
      <c r="F63" s="12">
        <f t="shared" ref="F63:F64" si="62">IF(D$12=0,0,D63/D$12)</f>
        <v>0</v>
      </c>
      <c r="G63" s="4"/>
      <c r="H63" s="4">
        <f>SUM(OSRRefH25x_0)</f>
        <v>77</v>
      </c>
      <c r="I63" s="4"/>
      <c r="J63" s="12">
        <f t="shared" ref="J63:J64" si="63">IF(H$12=0,0,H63/H$12)</f>
        <v>2.3898170207113339E-3</v>
      </c>
      <c r="K63" s="4"/>
      <c r="L63" s="4">
        <f t="shared" ref="L63:L64" si="64">+D63-H63</f>
        <v>-77</v>
      </c>
      <c r="M63" s="4"/>
      <c r="N63" s="12">
        <f t="shared" ref="N63:N64" si="65">IF(H63=0,0,L63/H63)</f>
        <v>-1</v>
      </c>
      <c r="O63" s="10"/>
      <c r="P63" s="4">
        <f>SUM(OSRRefP25x_0)</f>
        <v>0</v>
      </c>
      <c r="Q63" s="4"/>
      <c r="R63" s="12">
        <f t="shared" ref="R63:R64" si="66">IF(P$12=0,0,P63/P$12)</f>
        <v>0</v>
      </c>
      <c r="S63" s="4"/>
      <c r="T63" s="4">
        <f>SUM(OSRRefT25x_0)</f>
        <v>356</v>
      </c>
      <c r="U63" s="4"/>
      <c r="V63" s="12">
        <f t="shared" ref="V63:V64" si="67">IF(T$12=0,0,T63/T$12)</f>
        <v>2.1961258858838703E-3</v>
      </c>
      <c r="W63" s="4"/>
      <c r="X63" s="4">
        <f t="shared" ref="X63:X64" si="68">+P63-T63</f>
        <v>-356</v>
      </c>
      <c r="Y63" s="4"/>
      <c r="Z63" s="12">
        <f t="shared" ref="Z63:Z64" si="69">IF(T63=0,0,X63/T63)</f>
        <v>-1</v>
      </c>
    </row>
    <row r="64" spans="1:26" s="24" customFormat="1" hidden="1" outlineLevel="1" x14ac:dyDescent="0.25">
      <c r="A64" s="44"/>
      <c r="B64" s="11" t="str">
        <f>CONCATENATE("          ", "9150", " - ", "MISC. INCOME")</f>
        <v xml:space="preserve">          9150 - MISC. INCOME</v>
      </c>
      <c r="C64" s="11"/>
      <c r="D64" s="2">
        <f>0</f>
        <v>0</v>
      </c>
      <c r="E64" s="2"/>
      <c r="F64" s="19">
        <f t="shared" si="62"/>
        <v>0</v>
      </c>
      <c r="G64" s="2"/>
      <c r="H64" s="2">
        <f>--77</f>
        <v>77</v>
      </c>
      <c r="I64" s="2"/>
      <c r="J64" s="19">
        <f t="shared" si="63"/>
        <v>2.3898170207113339E-3</v>
      </c>
      <c r="K64" s="2"/>
      <c r="L64" s="2">
        <f t="shared" si="64"/>
        <v>-77</v>
      </c>
      <c r="M64" s="2"/>
      <c r="N64" s="19">
        <f t="shared" si="65"/>
        <v>-1</v>
      </c>
      <c r="O64" s="11"/>
      <c r="P64" s="2">
        <f>0</f>
        <v>0</v>
      </c>
      <c r="Q64" s="2"/>
      <c r="R64" s="19">
        <f t="shared" si="66"/>
        <v>0</v>
      </c>
      <c r="S64" s="2"/>
      <c r="T64" s="2">
        <f>--356</f>
        <v>356</v>
      </c>
      <c r="U64" s="2"/>
      <c r="V64" s="19">
        <f t="shared" si="67"/>
        <v>2.1961258858838703E-3</v>
      </c>
      <c r="W64" s="2"/>
      <c r="X64" s="2">
        <f t="shared" si="68"/>
        <v>-356</v>
      </c>
      <c r="Y64" s="2"/>
      <c r="Z64" s="19">
        <f t="shared" si="69"/>
        <v>-1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10"/>
      <c r="B66" s="28" t="s">
        <v>3</v>
      </c>
      <c r="C66" s="28"/>
      <c r="D66" s="20">
        <f>+D20-D22+D63</f>
        <v>-196.03</v>
      </c>
      <c r="E66" s="14"/>
      <c r="F66" s="22">
        <f>IF(D$12=0,0,D66/D$12)</f>
        <v>0</v>
      </c>
      <c r="G66" s="14"/>
      <c r="H66" s="20">
        <f>+H20-H22+H63</f>
        <v>3037.7499999999964</v>
      </c>
      <c r="I66" s="14"/>
      <c r="J66" s="22">
        <f>IF(H$12=0,0,H66/H$12)</f>
        <v>9.428138512553047E-2</v>
      </c>
      <c r="K66" s="15"/>
      <c r="L66" s="20">
        <f>+D66-H66</f>
        <v>-3233.7799999999966</v>
      </c>
      <c r="M66" s="15"/>
      <c r="N66" s="22">
        <f>IF(H66=0,0,L66/H66)</f>
        <v>-1.0645313142951198</v>
      </c>
      <c r="O66" s="29"/>
      <c r="P66" s="20">
        <f>+P20-P22+P63</f>
        <v>-4761.7299999999996</v>
      </c>
      <c r="Q66" s="14"/>
      <c r="R66" s="22">
        <f>IF(P$12=0,0,P66/P$12)</f>
        <v>0</v>
      </c>
      <c r="S66" s="14"/>
      <c r="T66" s="20">
        <f>+T20-T22+T63</f>
        <v>7543.7500000000291</v>
      </c>
      <c r="U66" s="14"/>
      <c r="V66" s="22">
        <f>IF(T$12=0,0,T66/T$12)</f>
        <v>4.6536586100102556E-2</v>
      </c>
      <c r="W66" s="15"/>
      <c r="X66" s="20">
        <f>+P66-T66</f>
        <v>-12305.480000000029</v>
      </c>
      <c r="Y66" s="15"/>
      <c r="Z66" s="22">
        <f>IF(T66=0,0,X66/T66)</f>
        <v>-1.6312152444076198</v>
      </c>
    </row>
    <row r="67" spans="1:26" x14ac:dyDescent="0.25">
      <c r="A67" s="9"/>
      <c r="B67" s="10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51"/>
      <c r="B68" s="10" t="s">
        <v>13</v>
      </c>
      <c r="C68" s="10"/>
      <c r="D68" s="4"/>
      <c r="E68" s="4"/>
      <c r="F68" s="12">
        <f>IF(D$12=0,0,D68/D$12)</f>
        <v>0</v>
      </c>
      <c r="G68" s="4"/>
      <c r="H68" s="4">
        <v>4091.27</v>
      </c>
      <c r="I68" s="4"/>
      <c r="J68" s="12">
        <f>IF(H$12=0,0,H68/H$12)</f>
        <v>0.12697904782241115</v>
      </c>
      <c r="K68" s="4"/>
      <c r="L68" s="4">
        <f>+D68-H68</f>
        <v>-4091.27</v>
      </c>
      <c r="M68" s="4"/>
      <c r="N68" s="12">
        <f>IF(H68=0,0,L68/H68)</f>
        <v>-1</v>
      </c>
      <c r="O68" s="10"/>
      <c r="P68" s="4"/>
      <c r="Q68" s="4"/>
      <c r="R68" s="12">
        <f>IF(P$12=0,0,P68/P$12)</f>
        <v>0</v>
      </c>
      <c r="S68" s="4"/>
      <c r="T68" s="4">
        <v>17165.68</v>
      </c>
      <c r="U68" s="4"/>
      <c r="V68" s="12">
        <f>IF(T$12=0,0,T68/T$12)</f>
        <v>0.10589324212583998</v>
      </c>
      <c r="W68" s="4"/>
      <c r="X68" s="4">
        <f>+P68-T68</f>
        <v>-17165.68</v>
      </c>
      <c r="Y68" s="4"/>
      <c r="Z68" s="12">
        <f>IF(T68=0,0,X68/T68)</f>
        <v>-1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8" t="s">
        <v>4</v>
      </c>
      <c r="C70" s="28"/>
      <c r="D70" s="31">
        <f>+D66-D68</f>
        <v>-196.03</v>
      </c>
      <c r="E70" s="14"/>
      <c r="F70" s="34">
        <f>IF(D$12=0,0,D70/D$12)</f>
        <v>0</v>
      </c>
      <c r="G70" s="14"/>
      <c r="H70" s="31">
        <f>+H66-H68</f>
        <v>-1053.5200000000036</v>
      </c>
      <c r="I70" s="14"/>
      <c r="J70" s="34">
        <f>IF(H$12=0,0,H70/H$12)</f>
        <v>-3.2697662696880687E-2</v>
      </c>
      <c r="K70" s="15"/>
      <c r="L70" s="31">
        <f>D70-H70</f>
        <v>857.49000000000365</v>
      </c>
      <c r="M70" s="15"/>
      <c r="N70" s="34">
        <f>IF(H70=0,0,L70/H70)</f>
        <v>-0.81392854430860417</v>
      </c>
      <c r="O70" s="29"/>
      <c r="P70" s="31">
        <f>+P66-P68</f>
        <v>-4761.7299999999996</v>
      </c>
      <c r="Q70" s="14"/>
      <c r="R70" s="34">
        <f>IF(P$12=0,0,P70/P$12)</f>
        <v>0</v>
      </c>
      <c r="S70" s="14"/>
      <c r="T70" s="31">
        <f>+T66-T68</f>
        <v>-9621.9299999999712</v>
      </c>
      <c r="U70" s="14"/>
      <c r="V70" s="34">
        <f>IF(T$12=0,0,T70/T$12)</f>
        <v>-5.9356656025737427E-2</v>
      </c>
      <c r="W70" s="15"/>
      <c r="X70" s="31">
        <f>P70-T70</f>
        <v>4860.1999999999716</v>
      </c>
      <c r="Y70" s="15"/>
      <c r="Z70" s="34">
        <f>IF(T70=0,0,X70/T70)</f>
        <v>-0.50511695678517576</v>
      </c>
    </row>
    <row r="71" spans="1:26" ht="15.75" thickTop="1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8" t="s">
        <v>5</v>
      </c>
      <c r="C73" s="28"/>
      <c r="D73" s="32">
        <f>SUM(D70:D72)</f>
        <v>-196.03</v>
      </c>
      <c r="E73" s="14"/>
      <c r="F73" s="30">
        <f>IF(D$12=0,0,D73/D$12)</f>
        <v>0</v>
      </c>
      <c r="G73" s="14"/>
      <c r="H73" s="32">
        <f>SUM(H70:H72)</f>
        <v>-1053.5200000000036</v>
      </c>
      <c r="I73" s="14"/>
      <c r="J73" s="30">
        <f>IF(H$12=0,0,H73/H$12)</f>
        <v>-3.2697662696880687E-2</v>
      </c>
      <c r="K73" s="15"/>
      <c r="L73" s="32">
        <f>+D73-H73</f>
        <v>857.49000000000365</v>
      </c>
      <c r="M73" s="15"/>
      <c r="N73" s="30">
        <f>IF(H73=0,0,L73/H73)</f>
        <v>-0.81392854430860417</v>
      </c>
      <c r="O73" s="29"/>
      <c r="P73" s="32">
        <f>SUM(P70:P72)</f>
        <v>-4761.7299999999996</v>
      </c>
      <c r="Q73" s="14"/>
      <c r="R73" s="30">
        <f>IF(P$12=0,0,P73/P$12)</f>
        <v>0</v>
      </c>
      <c r="S73" s="14"/>
      <c r="T73" s="32">
        <f>SUM(T70:T72)</f>
        <v>-9621.9299999999712</v>
      </c>
      <c r="U73" s="14"/>
      <c r="V73" s="30">
        <f>IF(T$12=0,0,T73/T$12)</f>
        <v>-5.9356656025737427E-2</v>
      </c>
      <c r="W73" s="15"/>
      <c r="X73" s="32">
        <f>+P73-T73</f>
        <v>4860.1999999999716</v>
      </c>
      <c r="Y73" s="15"/>
      <c r="Z73" s="30">
        <f>IF(T73=0,0,X73/T73)</f>
        <v>-0.50511695678517576</v>
      </c>
    </row>
    <row r="74" spans="1:26" ht="15.75" thickTop="1" x14ac:dyDescent="0.25">
      <c r="A74" s="9"/>
      <c r="C74" s="9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A75" s="9"/>
      <c r="B75" s="54">
        <v>44174.685989270831</v>
      </c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56" t="s">
        <v>313</v>
      </c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A77" s="9"/>
      <c r="B77" s="61"/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","414", " - ", "Starbucks UDP")</f>
        <v>Department 414 - Starbucks UDP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79823.47</v>
      </c>
      <c r="I12" s="4"/>
      <c r="J12" s="12"/>
      <c r="K12" s="4"/>
      <c r="L12" s="4">
        <f t="shared" ref="L12:L14" si="0">+D12-H12</f>
        <v>-79823.47</v>
      </c>
      <c r="M12" s="4"/>
      <c r="N12" s="12">
        <f t="shared" ref="N12:N14" si="1">IF(H12=0,0,L12/H12)</f>
        <v>-1</v>
      </c>
      <c r="O12" s="10"/>
      <c r="P12" s="4">
        <f>SUM(OSRRefP13x_0)</f>
        <v>974.91</v>
      </c>
      <c r="Q12" s="4"/>
      <c r="R12" s="12"/>
      <c r="S12" s="4"/>
      <c r="T12" s="4">
        <f>SUM(OSRRefT13x_0)</f>
        <v>351689.67000000004</v>
      </c>
      <c r="U12" s="4"/>
      <c r="V12" s="12"/>
      <c r="W12" s="4"/>
      <c r="X12" s="4">
        <f t="shared" ref="X12:X14" si="2">+P12-T12</f>
        <v>-350714.76000000007</v>
      </c>
      <c r="Y12" s="4"/>
      <c r="Z12" s="12">
        <f t="shared" ref="Z12:Z14" si="3">IF(T12=0,0,X12/T12)</f>
        <v>-0.99722792540366634</v>
      </c>
    </row>
    <row r="13" spans="1:26" s="24" customFormat="1" hidden="1" outlineLevel="1" x14ac:dyDescent="0.25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 t="shared" ref="D13:D14" si="4">0</f>
        <v>0</v>
      </c>
      <c r="E13" s="2"/>
      <c r="F13" s="19"/>
      <c r="G13" s="2"/>
      <c r="H13" s="2">
        <f>--14656.48</f>
        <v>14656.48</v>
      </c>
      <c r="I13" s="2"/>
      <c r="J13" s="19"/>
      <c r="K13" s="2"/>
      <c r="L13" s="2">
        <f t="shared" si="0"/>
        <v>-14656.48</v>
      </c>
      <c r="M13" s="2"/>
      <c r="N13" s="19">
        <f t="shared" si="1"/>
        <v>-1</v>
      </c>
      <c r="O13" s="11"/>
      <c r="P13" s="2">
        <f>--974.91</f>
        <v>974.91</v>
      </c>
      <c r="Q13" s="2"/>
      <c r="R13" s="19"/>
      <c r="S13" s="2"/>
      <c r="T13" s="2">
        <f>--78802.41</f>
        <v>78802.41</v>
      </c>
      <c r="U13" s="2"/>
      <c r="V13" s="19"/>
      <c r="W13" s="2"/>
      <c r="X13" s="2">
        <f t="shared" si="2"/>
        <v>-77827.5</v>
      </c>
      <c r="Y13" s="2"/>
      <c r="Z13" s="19">
        <f t="shared" si="3"/>
        <v>-0.98762842405454343</v>
      </c>
    </row>
    <row r="14" spans="1:26" s="24" customFormat="1" hidden="1" outlineLevel="1" x14ac:dyDescent="0.25">
      <c r="A14" s="44"/>
      <c r="B14" s="11" t="str">
        <f>CONCATENATE("          ", "4158", " - ", "NON-TAXABLE SALES-FOOD")</f>
        <v xml:space="preserve">          4158 - NON-TAXABLE SALES-FOOD</v>
      </c>
      <c r="C14" s="11"/>
      <c r="D14" s="2">
        <f t="shared" si="4"/>
        <v>0</v>
      </c>
      <c r="E14" s="2"/>
      <c r="F14" s="19"/>
      <c r="G14" s="2"/>
      <c r="H14" s="2">
        <f>--65166.99</f>
        <v>65166.99</v>
      </c>
      <c r="I14" s="2"/>
      <c r="J14" s="19"/>
      <c r="K14" s="2"/>
      <c r="L14" s="2">
        <f t="shared" si="0"/>
        <v>-65166.99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--272887.26</f>
        <v>272887.26</v>
      </c>
      <c r="U14" s="2"/>
      <c r="V14" s="19"/>
      <c r="W14" s="2"/>
      <c r="X14" s="2">
        <f t="shared" si="2"/>
        <v>-272887.26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5">IF(D$12=0,0,D16/D$12)</f>
        <v>0</v>
      </c>
      <c r="G16" s="4"/>
      <c r="H16" s="4">
        <f>SUM(OSRRefH16x_0)</f>
        <v>21736.04</v>
      </c>
      <c r="I16" s="4"/>
      <c r="J16" s="12">
        <f t="shared" ref="J16:J18" si="6">IF(H$12=0,0,H16/H$12)</f>
        <v>0.27230136700396512</v>
      </c>
      <c r="K16" s="4"/>
      <c r="L16" s="4">
        <f t="shared" ref="L16:L18" si="7">+D16-H16</f>
        <v>-21736.04</v>
      </c>
      <c r="M16" s="4"/>
      <c r="N16" s="12">
        <f t="shared" ref="N16:N18" si="8">IF(H16=0,0,L16/H16)</f>
        <v>-1</v>
      </c>
      <c r="O16" s="10"/>
      <c r="P16" s="4">
        <f>SUM(OSRRefP16x_0)</f>
        <v>0</v>
      </c>
      <c r="Q16" s="4"/>
      <c r="R16" s="12">
        <f t="shared" ref="R16:R18" si="9">IF(P$12=0,0,P16/P$12)</f>
        <v>0</v>
      </c>
      <c r="S16" s="4"/>
      <c r="T16" s="4">
        <f>SUM(OSRRefT16x_0)</f>
        <v>114091.54999999999</v>
      </c>
      <c r="U16" s="4"/>
      <c r="V16" s="12">
        <f t="shared" ref="V16:V18" si="10">IF(T$12=0,0,T16/T$12)</f>
        <v>0.32440972747365587</v>
      </c>
      <c r="W16" s="4"/>
      <c r="X16" s="4">
        <f t="shared" ref="X16:X18" si="11">+P16-T16</f>
        <v>-114091.54999999999</v>
      </c>
      <c r="Y16" s="4"/>
      <c r="Z16" s="12">
        <f t="shared" ref="Z16:Z18" si="12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24607.040000000001</v>
      </c>
      <c r="I17" s="2"/>
      <c r="J17" s="19">
        <f t="shared" si="6"/>
        <v>0.30826823238829382</v>
      </c>
      <c r="K17" s="2"/>
      <c r="L17" s="2">
        <f t="shared" si="7"/>
        <v>-24607.040000000001</v>
      </c>
      <c r="M17" s="2"/>
      <c r="N17" s="19">
        <f t="shared" si="8"/>
        <v>-1</v>
      </c>
      <c r="O17" s="11"/>
      <c r="P17" s="2"/>
      <c r="Q17" s="2"/>
      <c r="R17" s="19">
        <f t="shared" si="9"/>
        <v>0</v>
      </c>
      <c r="S17" s="2"/>
      <c r="T17" s="2">
        <v>113655.54999999999</v>
      </c>
      <c r="U17" s="2"/>
      <c r="V17" s="19">
        <f t="shared" si="10"/>
        <v>0.32316999814069025</v>
      </c>
      <c r="W17" s="2"/>
      <c r="X17" s="2">
        <f t="shared" si="11"/>
        <v>-113655.54999999999</v>
      </c>
      <c r="Y17" s="2"/>
      <c r="Z17" s="19">
        <f t="shared" si="12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>
        <v>-2871</v>
      </c>
      <c r="I18" s="2"/>
      <c r="J18" s="19">
        <f t="shared" si="6"/>
        <v>-3.5966865384328695E-2</v>
      </c>
      <c r="K18" s="2"/>
      <c r="L18" s="2">
        <f t="shared" si="7"/>
        <v>2871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436</v>
      </c>
      <c r="U18" s="2"/>
      <c r="V18" s="19">
        <f t="shared" si="10"/>
        <v>1.2397293329656227E-3</v>
      </c>
      <c r="W18" s="2"/>
      <c r="X18" s="2">
        <f t="shared" si="11"/>
        <v>-436</v>
      </c>
      <c r="Y18" s="2"/>
      <c r="Z18" s="19">
        <f t="shared" si="12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58087.43</v>
      </c>
      <c r="I20" s="14"/>
      <c r="J20" s="22">
        <f>IF(H$12=0,0,H20/H$12)</f>
        <v>0.72769863299603488</v>
      </c>
      <c r="K20" s="15"/>
      <c r="L20" s="20">
        <f>+D20-H20</f>
        <v>-58087.43</v>
      </c>
      <c r="M20" s="15"/>
      <c r="N20" s="22">
        <f>IF(H20=0,0,L20/H20)</f>
        <v>-1</v>
      </c>
      <c r="O20" s="29"/>
      <c r="P20" s="20">
        <f>P12-P16</f>
        <v>974.91</v>
      </c>
      <c r="Q20" s="14"/>
      <c r="R20" s="22">
        <f>IF(P$12=0,0,P20/P$12)</f>
        <v>1</v>
      </c>
      <c r="S20" s="14"/>
      <c r="T20" s="20">
        <f>T12-T16</f>
        <v>237598.12000000005</v>
      </c>
      <c r="U20" s="14"/>
      <c r="V20" s="22">
        <f>IF(T$12=0,0,T20/T$12)</f>
        <v>0.67559027252634407</v>
      </c>
      <c r="W20" s="15"/>
      <c r="X20" s="20">
        <f>+P20-T20</f>
        <v>-236623.21000000005</v>
      </c>
      <c r="Y20" s="15"/>
      <c r="Z20" s="22">
        <f>IF(T20=0,0,X20/T20)</f>
        <v>-0.99589681096803295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1825.26</v>
      </c>
      <c r="E22" s="21"/>
      <c r="F22" s="35">
        <f t="shared" ref="F22:F30" si="13">IF(D$12=0,0,D22/D$12)</f>
        <v>0</v>
      </c>
      <c r="G22" s="21"/>
      <c r="H22" s="21">
        <f>SUM(OSRRefH22x_0)</f>
        <v>33416.069999999992</v>
      </c>
      <c r="I22" s="21"/>
      <c r="J22" s="35">
        <f t="shared" ref="J22:J30" si="14">IF(H$12=0,0,H22/H$12)</f>
        <v>0.4186246225577514</v>
      </c>
      <c r="K22" s="4"/>
      <c r="L22" s="21">
        <f t="shared" ref="L22:L30" si="15">+D22-H22</f>
        <v>-31590.809999999994</v>
      </c>
      <c r="M22" s="4"/>
      <c r="N22" s="35">
        <f t="shared" ref="N22:N30" si="16">IF(H22=0,0,L22/H22)</f>
        <v>-0.94537777781767873</v>
      </c>
      <c r="O22" s="10"/>
      <c r="P22" s="21">
        <f>SUM(OSRRefP22x_0)</f>
        <v>10448.06</v>
      </c>
      <c r="Q22" s="21"/>
      <c r="R22" s="35">
        <f t="shared" ref="R22:R30" si="17">IF(P$12=0,0,P22/P$12)</f>
        <v>10.716948231118769</v>
      </c>
      <c r="S22" s="21"/>
      <c r="T22" s="21">
        <f>SUM(OSRRefT22x_0)</f>
        <v>172470.55000000002</v>
      </c>
      <c r="U22" s="21"/>
      <c r="V22" s="35">
        <f t="shared" ref="V22:V30" si="18">IF(T$12=0,0,T22/T$12)</f>
        <v>0.49040550437549102</v>
      </c>
      <c r="W22" s="4"/>
      <c r="X22" s="21">
        <f t="shared" ref="X22:X30" si="19">+P22-T22</f>
        <v>-162022.49000000002</v>
      </c>
      <c r="Y22" s="4"/>
      <c r="Z22" s="35">
        <f t="shared" ref="Z22:Z30" si="20">IF(T22=0,0,X22/T22)</f>
        <v>-0.93942119393716783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2575.96</v>
      </c>
      <c r="I23" s="1"/>
      <c r="J23" s="5">
        <f t="shared" si="14"/>
        <v>3.2270709354028336E-2</v>
      </c>
      <c r="K23" s="1"/>
      <c r="L23" s="1">
        <f t="shared" si="15"/>
        <v>-2575.96</v>
      </c>
      <c r="M23" s="1"/>
      <c r="N23" s="5">
        <f t="shared" si="16"/>
        <v>-1</v>
      </c>
      <c r="O23" s="13"/>
      <c r="P23" s="1">
        <f>SUM(OSRRefP22_0x_0)</f>
        <v>702.51</v>
      </c>
      <c r="Q23" s="1"/>
      <c r="R23" s="5">
        <f t="shared" si="17"/>
        <v>0.72058959288549718</v>
      </c>
      <c r="S23" s="1"/>
      <c r="T23" s="1">
        <f>SUM(OSRRefT22_0x_0)</f>
        <v>12257.609999999999</v>
      </c>
      <c r="U23" s="1"/>
      <c r="V23" s="5">
        <f t="shared" si="18"/>
        <v>3.4853483185900792E-2</v>
      </c>
      <c r="W23" s="1"/>
      <c r="X23" s="1">
        <f t="shared" si="19"/>
        <v>-11555.099999999999</v>
      </c>
      <c r="Y23" s="1"/>
      <c r="Z23" s="5">
        <f t="shared" si="20"/>
        <v>-0.94268784860996557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3"/>
        <v>0</v>
      </c>
      <c r="G24" s="2"/>
      <c r="H24" s="6">
        <v>404.91</v>
      </c>
      <c r="I24" s="2"/>
      <c r="J24" s="7">
        <f t="shared" si="14"/>
        <v>5.0725682559277369E-3</v>
      </c>
      <c r="K24" s="2"/>
      <c r="L24" s="6">
        <f t="shared" si="15"/>
        <v>-404.91</v>
      </c>
      <c r="M24" s="2"/>
      <c r="N24" s="7">
        <f t="shared" si="16"/>
        <v>-1</v>
      </c>
      <c r="O24" s="11"/>
      <c r="P24" s="6"/>
      <c r="Q24" s="2"/>
      <c r="R24" s="7">
        <f t="shared" si="17"/>
        <v>0</v>
      </c>
      <c r="S24" s="2"/>
      <c r="T24" s="6">
        <v>3303.54</v>
      </c>
      <c r="U24" s="2"/>
      <c r="V24" s="7">
        <f t="shared" si="18"/>
        <v>9.3933381665716811E-3</v>
      </c>
      <c r="W24" s="2"/>
      <c r="X24" s="6">
        <f t="shared" si="19"/>
        <v>-3303.54</v>
      </c>
      <c r="Y24" s="2"/>
      <c r="Z24" s="7">
        <f t="shared" si="20"/>
        <v>-1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3"/>
        <v>0</v>
      </c>
      <c r="G25" s="2"/>
      <c r="H25" s="6">
        <v>865.81</v>
      </c>
      <c r="I25" s="2"/>
      <c r="J25" s="7">
        <f t="shared" si="14"/>
        <v>1.0846559288890847E-2</v>
      </c>
      <c r="K25" s="2"/>
      <c r="L25" s="6">
        <f t="shared" si="15"/>
        <v>-865.81</v>
      </c>
      <c r="M25" s="2"/>
      <c r="N25" s="7">
        <f t="shared" si="16"/>
        <v>-1</v>
      </c>
      <c r="O25" s="11"/>
      <c r="P25" s="6"/>
      <c r="Q25" s="2"/>
      <c r="R25" s="7">
        <f t="shared" si="17"/>
        <v>0</v>
      </c>
      <c r="S25" s="2"/>
      <c r="T25" s="6">
        <v>2323.54</v>
      </c>
      <c r="U25" s="2"/>
      <c r="V25" s="7">
        <f t="shared" si="18"/>
        <v>6.6067905833003277E-3</v>
      </c>
      <c r="W25" s="2"/>
      <c r="X25" s="6">
        <f t="shared" si="19"/>
        <v>-2323.54</v>
      </c>
      <c r="Y25" s="2"/>
      <c r="Z25" s="7">
        <f t="shared" si="20"/>
        <v>-1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3"/>
        <v>0</v>
      </c>
      <c r="G26" s="2"/>
      <c r="H26" s="6">
        <v>650.39</v>
      </c>
      <c r="I26" s="2"/>
      <c r="J26" s="7">
        <f t="shared" si="14"/>
        <v>8.147854258904054E-3</v>
      </c>
      <c r="K26" s="2"/>
      <c r="L26" s="6">
        <f t="shared" si="15"/>
        <v>-650.39</v>
      </c>
      <c r="M26" s="2"/>
      <c r="N26" s="7">
        <f t="shared" si="16"/>
        <v>-1</v>
      </c>
      <c r="O26" s="11"/>
      <c r="P26" s="6">
        <v>702.51</v>
      </c>
      <c r="Q26" s="2"/>
      <c r="R26" s="7">
        <f t="shared" si="17"/>
        <v>0.72058959288549718</v>
      </c>
      <c r="S26" s="2"/>
      <c r="T26" s="6">
        <v>3251.95</v>
      </c>
      <c r="U26" s="2"/>
      <c r="V26" s="7">
        <f t="shared" si="18"/>
        <v>9.2466463402237527E-3</v>
      </c>
      <c r="W26" s="2"/>
      <c r="X26" s="6">
        <f t="shared" si="19"/>
        <v>-2549.4399999999996</v>
      </c>
      <c r="Y26" s="2"/>
      <c r="Z26" s="7">
        <f t="shared" si="20"/>
        <v>-0.78397269330709263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3"/>
        <v>0</v>
      </c>
      <c r="G27" s="2"/>
      <c r="H27" s="6">
        <v>58.02</v>
      </c>
      <c r="I27" s="2"/>
      <c r="J27" s="7">
        <f t="shared" si="14"/>
        <v>7.2685389397378992E-4</v>
      </c>
      <c r="K27" s="2"/>
      <c r="L27" s="6">
        <f t="shared" si="15"/>
        <v>-58.02</v>
      </c>
      <c r="M27" s="2"/>
      <c r="N27" s="7">
        <f t="shared" si="16"/>
        <v>-1</v>
      </c>
      <c r="O27" s="11"/>
      <c r="P27" s="6"/>
      <c r="Q27" s="2"/>
      <c r="R27" s="7">
        <f t="shared" si="17"/>
        <v>0</v>
      </c>
      <c r="S27" s="2"/>
      <c r="T27" s="6">
        <v>239.84</v>
      </c>
      <c r="U27" s="2"/>
      <c r="V27" s="7">
        <f t="shared" si="18"/>
        <v>6.8196486976714434E-4</v>
      </c>
      <c r="W27" s="2"/>
      <c r="X27" s="6">
        <f t="shared" si="19"/>
        <v>-239.84</v>
      </c>
      <c r="Y27" s="2"/>
      <c r="Z27" s="7">
        <f t="shared" si="20"/>
        <v>-1</v>
      </c>
    </row>
    <row r="28" spans="1:26" s="24" customFormat="1" hidden="1" outlineLevel="2" x14ac:dyDescent="0.25">
      <c r="A28" s="25"/>
      <c r="B28" s="11" t="str">
        <f>CONCATENATE("          ", "6118", " - ", "VACATION")</f>
        <v xml:space="preserve">          6118 - VACATION</v>
      </c>
      <c r="C28" s="11"/>
      <c r="D28" s="6"/>
      <c r="E28" s="2"/>
      <c r="F28" s="7">
        <f t="shared" si="13"/>
        <v>0</v>
      </c>
      <c r="G28" s="2"/>
      <c r="H28" s="6">
        <v>192.5</v>
      </c>
      <c r="I28" s="2"/>
      <c r="J28" s="7">
        <f t="shared" si="14"/>
        <v>2.4115714338151422E-3</v>
      </c>
      <c r="K28" s="2"/>
      <c r="L28" s="6">
        <f t="shared" si="15"/>
        <v>-192.5</v>
      </c>
      <c r="M28" s="2"/>
      <c r="N28" s="7">
        <f t="shared" si="16"/>
        <v>-1</v>
      </c>
      <c r="O28" s="11"/>
      <c r="P28" s="6"/>
      <c r="Q28" s="2"/>
      <c r="R28" s="7">
        <f t="shared" si="17"/>
        <v>0</v>
      </c>
      <c r="S28" s="2"/>
      <c r="T28" s="6">
        <v>1058.75</v>
      </c>
      <c r="U28" s="2"/>
      <c r="V28" s="7">
        <f t="shared" si="18"/>
        <v>3.0104665854985158E-3</v>
      </c>
      <c r="W28" s="2"/>
      <c r="X28" s="6">
        <f t="shared" si="19"/>
        <v>-1058.75</v>
      </c>
      <c r="Y28" s="2"/>
      <c r="Z28" s="7">
        <f t="shared" si="20"/>
        <v>-1</v>
      </c>
    </row>
    <row r="29" spans="1:26" s="24" customFormat="1" hidden="1" outlineLevel="2" x14ac:dyDescent="0.25">
      <c r="A29" s="25"/>
      <c r="B29" s="11" t="str">
        <f>CONCATENATE("          ", "6119", " - ", "SICK LEAVE")</f>
        <v xml:space="preserve">          6119 - SICK LEAVE</v>
      </c>
      <c r="C29" s="11"/>
      <c r="D29" s="6"/>
      <c r="E29" s="2"/>
      <c r="F29" s="7">
        <f t="shared" si="13"/>
        <v>0</v>
      </c>
      <c r="G29" s="2"/>
      <c r="H29" s="6">
        <v>230.62</v>
      </c>
      <c r="I29" s="2"/>
      <c r="J29" s="7">
        <f t="shared" si="14"/>
        <v>2.8891252159296008E-3</v>
      </c>
      <c r="K29" s="2"/>
      <c r="L29" s="6">
        <f t="shared" si="15"/>
        <v>-230.62</v>
      </c>
      <c r="M29" s="2"/>
      <c r="N29" s="7">
        <f t="shared" si="16"/>
        <v>-1</v>
      </c>
      <c r="O29" s="11"/>
      <c r="P29" s="6"/>
      <c r="Q29" s="2"/>
      <c r="R29" s="7">
        <f t="shared" si="17"/>
        <v>0</v>
      </c>
      <c r="S29" s="2"/>
      <c r="T29" s="6">
        <v>1268.4100000000001</v>
      </c>
      <c r="U29" s="2"/>
      <c r="V29" s="7">
        <f t="shared" si="18"/>
        <v>3.606617163364508E-3</v>
      </c>
      <c r="W29" s="2"/>
      <c r="X29" s="6">
        <f t="shared" si="19"/>
        <v>-1268.4100000000001</v>
      </c>
      <c r="Y29" s="2"/>
      <c r="Z29" s="7">
        <f t="shared" si="20"/>
        <v>-1</v>
      </c>
    </row>
    <row r="30" spans="1:26" s="24" customFormat="1" hidden="1" outlineLevel="2" x14ac:dyDescent="0.25">
      <c r="A30" s="25"/>
      <c r="B30" s="11" t="str">
        <f>CONCATENATE("          ", "6156", " - ", "EMPLOYEE MEALS")</f>
        <v xml:space="preserve">          6156 - EMPLOYEE MEALS</v>
      </c>
      <c r="C30" s="11"/>
      <c r="D30" s="6"/>
      <c r="E30" s="2"/>
      <c r="F30" s="7">
        <f t="shared" si="13"/>
        <v>0</v>
      </c>
      <c r="G30" s="2"/>
      <c r="H30" s="6">
        <v>173.71</v>
      </c>
      <c r="I30" s="2"/>
      <c r="J30" s="7">
        <f t="shared" si="14"/>
        <v>2.1761770065871606E-3</v>
      </c>
      <c r="K30" s="2"/>
      <c r="L30" s="6">
        <f t="shared" si="15"/>
        <v>-173.71</v>
      </c>
      <c r="M30" s="2"/>
      <c r="N30" s="7">
        <f t="shared" si="16"/>
        <v>-1</v>
      </c>
      <c r="O30" s="11"/>
      <c r="P30" s="6"/>
      <c r="Q30" s="2"/>
      <c r="R30" s="7">
        <f t="shared" si="17"/>
        <v>0</v>
      </c>
      <c r="S30" s="2"/>
      <c r="T30" s="6">
        <v>811.58</v>
      </c>
      <c r="U30" s="2"/>
      <c r="V30" s="7">
        <f t="shared" si="18"/>
        <v>2.3076594771748627E-3</v>
      </c>
      <c r="W30" s="2"/>
      <c r="X30" s="6">
        <f t="shared" si="19"/>
        <v>-811.58</v>
      </c>
      <c r="Y30" s="2"/>
      <c r="Z30" s="7">
        <f t="shared" si="20"/>
        <v>-1</v>
      </c>
    </row>
    <row r="31" spans="1:26" s="26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0</v>
      </c>
      <c r="E31" s="1"/>
      <c r="F31" s="5">
        <f t="shared" ref="F31:F35" si="21">IF(D$12=0,0,D31/D$12)</f>
        <v>0</v>
      </c>
      <c r="G31" s="1"/>
      <c r="H31" s="1">
        <f>SUM(OSRRefH22_1x_0)</f>
        <v>18542.16</v>
      </c>
      <c r="I31" s="1"/>
      <c r="J31" s="5">
        <f t="shared" ref="J31:J35" si="22">IF(H$12=0,0,H31/H$12)</f>
        <v>0.23228957598560923</v>
      </c>
      <c r="K31" s="1"/>
      <c r="L31" s="1">
        <f t="shared" ref="L31:L35" si="23">+D31-H31</f>
        <v>-18542.16</v>
      </c>
      <c r="M31" s="1"/>
      <c r="N31" s="5">
        <f t="shared" ref="N31:N35" si="24">IF(H31=0,0,L31/H31)</f>
        <v>-1</v>
      </c>
      <c r="O31" s="13"/>
      <c r="P31" s="1">
        <f>SUM(OSRRefP22_1x_0)</f>
        <v>0</v>
      </c>
      <c r="Q31" s="1"/>
      <c r="R31" s="5">
        <f t="shared" ref="R31:R35" si="25">IF(P$12=0,0,P31/P$12)</f>
        <v>0</v>
      </c>
      <c r="S31" s="1"/>
      <c r="T31" s="1">
        <f>SUM(OSRRefT22_1x_0)</f>
        <v>99845.26</v>
      </c>
      <c r="U31" s="1"/>
      <c r="V31" s="5">
        <f t="shared" ref="V31:V35" si="26">IF(T$12=0,0,T31/T$12)</f>
        <v>0.28390159995316322</v>
      </c>
      <c r="W31" s="1"/>
      <c r="X31" s="1">
        <f t="shared" ref="X31:X35" si="27">+P31-T31</f>
        <v>-99845.26</v>
      </c>
      <c r="Y31" s="1"/>
      <c r="Z31" s="5">
        <f t="shared" ref="Z31:Z35" si="28">IF(T31=0,0,X31/T31)</f>
        <v>-1</v>
      </c>
    </row>
    <row r="32" spans="1:26" s="24" customFormat="1" hidden="1" outlineLevel="2" x14ac:dyDescent="0.25">
      <c r="A32" s="25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21"/>
        <v>0</v>
      </c>
      <c r="G32" s="2"/>
      <c r="H32" s="6">
        <v>5042.97</v>
      </c>
      <c r="I32" s="2"/>
      <c r="J32" s="7">
        <f t="shared" si="22"/>
        <v>6.3176531914736364E-2</v>
      </c>
      <c r="K32" s="2"/>
      <c r="L32" s="6">
        <f t="shared" si="23"/>
        <v>-5042.97</v>
      </c>
      <c r="M32" s="2"/>
      <c r="N32" s="7">
        <f t="shared" si="24"/>
        <v>-1</v>
      </c>
      <c r="O32" s="11"/>
      <c r="P32" s="6"/>
      <c r="Q32" s="2"/>
      <c r="R32" s="7">
        <f t="shared" si="25"/>
        <v>0</v>
      </c>
      <c r="S32" s="2"/>
      <c r="T32" s="6">
        <v>30113.279999999999</v>
      </c>
      <c r="U32" s="2"/>
      <c r="V32" s="7">
        <f t="shared" si="26"/>
        <v>8.5624579192217942E-2</v>
      </c>
      <c r="W32" s="2"/>
      <c r="X32" s="6">
        <f t="shared" si="27"/>
        <v>-30113.279999999999</v>
      </c>
      <c r="Y32" s="2"/>
      <c r="Z32" s="7">
        <f t="shared" si="28"/>
        <v>-1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21"/>
        <v>0</v>
      </c>
      <c r="G33" s="2"/>
      <c r="H33" s="6"/>
      <c r="I33" s="2"/>
      <c r="J33" s="7">
        <f t="shared" si="22"/>
        <v>0</v>
      </c>
      <c r="K33" s="2"/>
      <c r="L33" s="6">
        <f t="shared" si="23"/>
        <v>0</v>
      </c>
      <c r="M33" s="2"/>
      <c r="N33" s="7">
        <f t="shared" si="24"/>
        <v>0</v>
      </c>
      <c r="O33" s="11"/>
      <c r="P33" s="6"/>
      <c r="Q33" s="2"/>
      <c r="R33" s="7">
        <f t="shared" si="25"/>
        <v>0</v>
      </c>
      <c r="S33" s="2"/>
      <c r="T33" s="6">
        <v>1997.5</v>
      </c>
      <c r="U33" s="2"/>
      <c r="V33" s="7">
        <f t="shared" si="26"/>
        <v>5.6797232628413557E-3</v>
      </c>
      <c r="W33" s="2"/>
      <c r="X33" s="6">
        <f t="shared" si="27"/>
        <v>-1997.5</v>
      </c>
      <c r="Y33" s="2"/>
      <c r="Z33" s="7">
        <f t="shared" si="28"/>
        <v>-1</v>
      </c>
    </row>
    <row r="34" spans="1:26" s="24" customFormat="1" hidden="1" outlineLevel="2" x14ac:dyDescent="0.25">
      <c r="A34" s="25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0</v>
      </c>
      <c r="M34" s="2"/>
      <c r="N34" s="7">
        <f t="shared" si="24"/>
        <v>0</v>
      </c>
      <c r="O34" s="11"/>
      <c r="P34" s="6"/>
      <c r="Q34" s="2"/>
      <c r="R34" s="7">
        <f t="shared" si="25"/>
        <v>0</v>
      </c>
      <c r="S34" s="2"/>
      <c r="T34" s="6">
        <v>29.25</v>
      </c>
      <c r="U34" s="2"/>
      <c r="V34" s="7">
        <f t="shared" si="26"/>
        <v>8.3169915112946008E-5</v>
      </c>
      <c r="W34" s="2"/>
      <c r="X34" s="6">
        <f t="shared" si="27"/>
        <v>-29.25</v>
      </c>
      <c r="Y34" s="2"/>
      <c r="Z34" s="7">
        <f t="shared" si="28"/>
        <v>-1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21"/>
        <v>0</v>
      </c>
      <c r="G35" s="2"/>
      <c r="H35" s="6">
        <v>13499.19</v>
      </c>
      <c r="I35" s="2"/>
      <c r="J35" s="7">
        <f t="shared" si="22"/>
        <v>0.16911304407087288</v>
      </c>
      <c r="K35" s="2"/>
      <c r="L35" s="6">
        <f t="shared" si="23"/>
        <v>-13499.19</v>
      </c>
      <c r="M35" s="2"/>
      <c r="N35" s="7">
        <f t="shared" si="24"/>
        <v>-1</v>
      </c>
      <c r="O35" s="11"/>
      <c r="P35" s="6"/>
      <c r="Q35" s="2"/>
      <c r="R35" s="7">
        <f t="shared" si="25"/>
        <v>0</v>
      </c>
      <c r="S35" s="2"/>
      <c r="T35" s="6">
        <v>67705.23</v>
      </c>
      <c r="U35" s="2"/>
      <c r="V35" s="7">
        <f t="shared" si="26"/>
        <v>0.19251412758299097</v>
      </c>
      <c r="W35" s="2"/>
      <c r="X35" s="6">
        <f t="shared" si="27"/>
        <v>-67705.23</v>
      </c>
      <c r="Y35" s="2"/>
      <c r="Z35" s="7">
        <f t="shared" si="28"/>
        <v>-1</v>
      </c>
    </row>
    <row r="36" spans="1:26" s="26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52" si="29">IF(D$12=0,0,D36/D$12)</f>
        <v>0</v>
      </c>
      <c r="G36" s="1"/>
      <c r="H36" s="1">
        <f>SUM(OSRRefH22_2x_0)</f>
        <v>0</v>
      </c>
      <c r="I36" s="1"/>
      <c r="J36" s="5">
        <f t="shared" ref="J36:J52" si="30">IF(H$12=0,0,H36/H$12)</f>
        <v>0</v>
      </c>
      <c r="K36" s="1"/>
      <c r="L36" s="1">
        <f t="shared" ref="L36:L52" si="31">+D36-H36</f>
        <v>0</v>
      </c>
      <c r="M36" s="1"/>
      <c r="N36" s="5">
        <f t="shared" ref="N36:N52" si="32">IF(H36=0,0,L36/H36)</f>
        <v>0</v>
      </c>
      <c r="O36" s="13"/>
      <c r="P36" s="1">
        <f>SUM(OSRRefP22_2x_0)</f>
        <v>0</v>
      </c>
      <c r="Q36" s="1"/>
      <c r="R36" s="5">
        <f t="shared" ref="R36:R52" si="33">IF(P$12=0,0,P36/P$12)</f>
        <v>0</v>
      </c>
      <c r="S36" s="1"/>
      <c r="T36" s="1">
        <f>SUM(OSRRefT22_2x_0)</f>
        <v>579.89</v>
      </c>
      <c r="U36" s="1"/>
      <c r="V36" s="5">
        <f t="shared" ref="V36:V52" si="34">IF(T$12=0,0,T36/T$12)</f>
        <v>1.6488684470032911E-3</v>
      </c>
      <c r="W36" s="1"/>
      <c r="X36" s="1">
        <f t="shared" ref="X36:X52" si="35">+P36-T36</f>
        <v>-579.89</v>
      </c>
      <c r="Y36" s="1"/>
      <c r="Z36" s="5">
        <f t="shared" ref="Z36:Z52" si="36">IF(T36=0,0,X36/T36)</f>
        <v>-1</v>
      </c>
    </row>
    <row r="37" spans="1:26" s="24" customFormat="1" hidden="1" outlineLevel="2" x14ac:dyDescent="0.25">
      <c r="A37" s="25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9"/>
        <v>0</v>
      </c>
      <c r="G37" s="2"/>
      <c r="H37" s="6"/>
      <c r="I37" s="2"/>
      <c r="J37" s="7">
        <f t="shared" si="30"/>
        <v>0</v>
      </c>
      <c r="K37" s="2"/>
      <c r="L37" s="6">
        <f t="shared" si="31"/>
        <v>0</v>
      </c>
      <c r="M37" s="2"/>
      <c r="N37" s="7">
        <f t="shared" si="32"/>
        <v>0</v>
      </c>
      <c r="O37" s="11"/>
      <c r="P37" s="6"/>
      <c r="Q37" s="2"/>
      <c r="R37" s="7">
        <f t="shared" si="33"/>
        <v>0</v>
      </c>
      <c r="S37" s="2"/>
      <c r="T37" s="6">
        <v>579.89</v>
      </c>
      <c r="U37" s="2"/>
      <c r="V37" s="7">
        <f t="shared" si="34"/>
        <v>1.6488684470032911E-3</v>
      </c>
      <c r="W37" s="2"/>
      <c r="X37" s="6">
        <f t="shared" si="35"/>
        <v>-579.89</v>
      </c>
      <c r="Y37" s="2"/>
      <c r="Z37" s="7">
        <f t="shared" si="36"/>
        <v>-1</v>
      </c>
    </row>
    <row r="38" spans="1:26" s="26" customFormat="1" outlineLevel="1" collapsed="1" x14ac:dyDescent="0.25">
      <c r="A38" s="27"/>
      <c r="B38" s="13" t="str">
        <f>CONCATENATE("     ","Bad Debts/Over/Short                              ")</f>
        <v xml:space="preserve">     Bad Debts/Over/Short                              </v>
      </c>
      <c r="C38" s="13"/>
      <c r="D38" s="1">
        <f>SUM(OSRRefD22_3x_0)</f>
        <v>0</v>
      </c>
      <c r="E38" s="1"/>
      <c r="F38" s="5">
        <f t="shared" si="29"/>
        <v>0</v>
      </c>
      <c r="G38" s="1"/>
      <c r="H38" s="1">
        <f>SUM(OSRRefH22_3x_0)</f>
        <v>5.21</v>
      </c>
      <c r="I38" s="1"/>
      <c r="J38" s="5">
        <f t="shared" si="30"/>
        <v>6.526902426065917E-5</v>
      </c>
      <c r="K38" s="1"/>
      <c r="L38" s="1">
        <f t="shared" si="31"/>
        <v>-5.21</v>
      </c>
      <c r="M38" s="1"/>
      <c r="N38" s="5">
        <f t="shared" si="32"/>
        <v>-1</v>
      </c>
      <c r="O38" s="13"/>
      <c r="P38" s="1">
        <f>SUM(OSRRefP22_3x_0)</f>
        <v>0</v>
      </c>
      <c r="Q38" s="1"/>
      <c r="R38" s="5">
        <f t="shared" si="33"/>
        <v>0</v>
      </c>
      <c r="S38" s="1"/>
      <c r="T38" s="1">
        <f>SUM(OSRRefT22_3x_0)</f>
        <v>7.09</v>
      </c>
      <c r="U38" s="1"/>
      <c r="V38" s="5">
        <f t="shared" si="34"/>
        <v>2.0159818740197853E-5</v>
      </c>
      <c r="W38" s="1"/>
      <c r="X38" s="1">
        <f t="shared" si="35"/>
        <v>-7.09</v>
      </c>
      <c r="Y38" s="1"/>
      <c r="Z38" s="5">
        <f t="shared" si="36"/>
        <v>-1</v>
      </c>
    </row>
    <row r="39" spans="1:26" s="24" customFormat="1" hidden="1" outlineLevel="2" x14ac:dyDescent="0.25">
      <c r="A39" s="25"/>
      <c r="B39" s="11" t="str">
        <f>CONCATENATE("          ", "6272", " - ", "CASH (OVER/SHORT)")</f>
        <v xml:space="preserve">          6272 - CASH (OVER/SHORT)</v>
      </c>
      <c r="C39" s="11"/>
      <c r="D39" s="6"/>
      <c r="E39" s="2"/>
      <c r="F39" s="7">
        <f t="shared" si="29"/>
        <v>0</v>
      </c>
      <c r="G39" s="2"/>
      <c r="H39" s="6">
        <v>5.21</v>
      </c>
      <c r="I39" s="2"/>
      <c r="J39" s="7">
        <f t="shared" si="30"/>
        <v>6.526902426065917E-5</v>
      </c>
      <c r="K39" s="2"/>
      <c r="L39" s="6">
        <f t="shared" si="31"/>
        <v>-5.21</v>
      </c>
      <c r="M39" s="2"/>
      <c r="N39" s="7">
        <f t="shared" si="32"/>
        <v>-1</v>
      </c>
      <c r="O39" s="11"/>
      <c r="P39" s="6"/>
      <c r="Q39" s="2"/>
      <c r="R39" s="7">
        <f t="shared" si="33"/>
        <v>0</v>
      </c>
      <c r="S39" s="2"/>
      <c r="T39" s="6">
        <v>7.09</v>
      </c>
      <c r="U39" s="2"/>
      <c r="V39" s="7">
        <f t="shared" si="34"/>
        <v>2.0159818740197853E-5</v>
      </c>
      <c r="W39" s="2"/>
      <c r="X39" s="6">
        <f t="shared" si="35"/>
        <v>-7.09</v>
      </c>
      <c r="Y39" s="2"/>
      <c r="Z39" s="7">
        <f t="shared" si="36"/>
        <v>-1</v>
      </c>
    </row>
    <row r="40" spans="1:26" s="26" customFormat="1" outlineLevel="1" collapsed="1" x14ac:dyDescent="0.25">
      <c r="A40" s="27"/>
      <c r="B40" s="13" t="str">
        <f>CONCATENATE("     ","Bank/card Fees                                    ")</f>
        <v xml:space="preserve">     Bank/card Fees                                    </v>
      </c>
      <c r="C40" s="13"/>
      <c r="D40" s="1">
        <f>SUM(OSRRefD22_4x_0)</f>
        <v>0</v>
      </c>
      <c r="E40" s="1"/>
      <c r="F40" s="5">
        <f t="shared" si="29"/>
        <v>0</v>
      </c>
      <c r="G40" s="1"/>
      <c r="H40" s="1">
        <f>SUM(OSRRefH22_4x_0)</f>
        <v>1909.17</v>
      </c>
      <c r="I40" s="1"/>
      <c r="J40" s="5">
        <f t="shared" si="30"/>
        <v>2.3917401736607041E-2</v>
      </c>
      <c r="K40" s="1"/>
      <c r="L40" s="1">
        <f t="shared" si="31"/>
        <v>-1909.17</v>
      </c>
      <c r="M40" s="1"/>
      <c r="N40" s="5">
        <f t="shared" si="32"/>
        <v>-1</v>
      </c>
      <c r="O40" s="13"/>
      <c r="P40" s="1">
        <f>SUM(OSRRefP22_4x_0)</f>
        <v>0</v>
      </c>
      <c r="Q40" s="1"/>
      <c r="R40" s="5">
        <f t="shared" si="33"/>
        <v>0</v>
      </c>
      <c r="S40" s="1"/>
      <c r="T40" s="1">
        <f>SUM(OSRRefT22_4x_0)</f>
        <v>9340.7800000000007</v>
      </c>
      <c r="U40" s="1"/>
      <c r="V40" s="5">
        <f t="shared" si="34"/>
        <v>2.6559722382519791E-2</v>
      </c>
      <c r="W40" s="1"/>
      <c r="X40" s="1">
        <f t="shared" si="35"/>
        <v>-9340.7800000000007</v>
      </c>
      <c r="Y40" s="1"/>
      <c r="Z40" s="5">
        <f t="shared" si="36"/>
        <v>-1</v>
      </c>
    </row>
    <row r="41" spans="1:26" s="24" customFormat="1" hidden="1" outlineLevel="2" x14ac:dyDescent="0.25">
      <c r="A41" s="25"/>
      <c r="B41" s="11" t="str">
        <f>CONCATENATE("          ", "6381", " - ", "BANK/CREDIT CARD FEES")</f>
        <v xml:space="preserve">          6381 - BANK/CREDIT CARD FEES</v>
      </c>
      <c r="C41" s="11"/>
      <c r="D41" s="6"/>
      <c r="E41" s="2"/>
      <c r="F41" s="7">
        <f t="shared" si="29"/>
        <v>0</v>
      </c>
      <c r="G41" s="2"/>
      <c r="H41" s="6">
        <v>1909.17</v>
      </c>
      <c r="I41" s="2"/>
      <c r="J41" s="7">
        <f t="shared" si="30"/>
        <v>2.3917401736607041E-2</v>
      </c>
      <c r="K41" s="2"/>
      <c r="L41" s="6">
        <f t="shared" si="31"/>
        <v>-1909.17</v>
      </c>
      <c r="M41" s="2"/>
      <c r="N41" s="7">
        <f t="shared" si="32"/>
        <v>-1</v>
      </c>
      <c r="O41" s="11"/>
      <c r="P41" s="6"/>
      <c r="Q41" s="2"/>
      <c r="R41" s="7">
        <f t="shared" si="33"/>
        <v>0</v>
      </c>
      <c r="S41" s="2"/>
      <c r="T41" s="6">
        <v>9340.7800000000007</v>
      </c>
      <c r="U41" s="2"/>
      <c r="V41" s="7">
        <f t="shared" si="34"/>
        <v>2.6559722382519791E-2</v>
      </c>
      <c r="W41" s="2"/>
      <c r="X41" s="6">
        <f t="shared" si="35"/>
        <v>-9340.7800000000007</v>
      </c>
      <c r="Y41" s="2"/>
      <c r="Z41" s="7">
        <f t="shared" si="36"/>
        <v>-1</v>
      </c>
    </row>
    <row r="42" spans="1:26" s="26" customFormat="1" outlineLevel="1" collapsed="1" x14ac:dyDescent="0.25">
      <c r="A42" s="27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SUM(OSRRefD22_5x_0)</f>
        <v>1825.26</v>
      </c>
      <c r="E42" s="1"/>
      <c r="F42" s="5">
        <f t="shared" si="29"/>
        <v>0</v>
      </c>
      <c r="G42" s="1"/>
      <c r="H42" s="1">
        <f>SUM(OSRRefH22_5x_0)</f>
        <v>1647.59</v>
      </c>
      <c r="I42" s="1"/>
      <c r="J42" s="5">
        <f t="shared" si="30"/>
        <v>2.0640420668257092E-2</v>
      </c>
      <c r="K42" s="1"/>
      <c r="L42" s="1">
        <f t="shared" si="31"/>
        <v>177.67000000000007</v>
      </c>
      <c r="M42" s="1"/>
      <c r="N42" s="5">
        <f t="shared" si="32"/>
        <v>0.10783629422368433</v>
      </c>
      <c r="O42" s="13"/>
      <c r="P42" s="1">
        <f>SUM(OSRRefP22_5x_0)</f>
        <v>9273.09</v>
      </c>
      <c r="Q42" s="1"/>
      <c r="R42" s="5">
        <f t="shared" si="33"/>
        <v>9.5117395451887869</v>
      </c>
      <c r="S42" s="1"/>
      <c r="T42" s="1">
        <f>SUM(OSRRefT22_5x_0)</f>
        <v>8237.9500000000007</v>
      </c>
      <c r="U42" s="1"/>
      <c r="V42" s="5">
        <f t="shared" si="34"/>
        <v>2.3423918024092091E-2</v>
      </c>
      <c r="W42" s="1"/>
      <c r="X42" s="1">
        <f t="shared" si="35"/>
        <v>1035.1399999999994</v>
      </c>
      <c r="Y42" s="1"/>
      <c r="Z42" s="5">
        <f t="shared" si="36"/>
        <v>0.12565504767569594</v>
      </c>
    </row>
    <row r="43" spans="1:26" s="24" customFormat="1" hidden="1" outlineLevel="2" x14ac:dyDescent="0.25">
      <c r="A43" s="25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1825.26</v>
      </c>
      <c r="E43" s="2"/>
      <c r="F43" s="7">
        <f t="shared" si="29"/>
        <v>0</v>
      </c>
      <c r="G43" s="2"/>
      <c r="H43" s="6">
        <v>1647.59</v>
      </c>
      <c r="I43" s="2"/>
      <c r="J43" s="7">
        <f t="shared" si="30"/>
        <v>2.0640420668257092E-2</v>
      </c>
      <c r="K43" s="2"/>
      <c r="L43" s="6">
        <f t="shared" si="31"/>
        <v>177.67000000000007</v>
      </c>
      <c r="M43" s="2"/>
      <c r="N43" s="7">
        <f t="shared" si="32"/>
        <v>0.10783629422368433</v>
      </c>
      <c r="O43" s="11"/>
      <c r="P43" s="6">
        <v>9273.09</v>
      </c>
      <c r="Q43" s="2"/>
      <c r="R43" s="7">
        <f t="shared" si="33"/>
        <v>9.5117395451887869</v>
      </c>
      <c r="S43" s="2"/>
      <c r="T43" s="6">
        <v>8237.9500000000007</v>
      </c>
      <c r="U43" s="2"/>
      <c r="V43" s="7">
        <f t="shared" si="34"/>
        <v>2.3423918024092091E-2</v>
      </c>
      <c r="W43" s="2"/>
      <c r="X43" s="6">
        <f t="shared" si="35"/>
        <v>1035.1399999999994</v>
      </c>
      <c r="Y43" s="2"/>
      <c r="Z43" s="7">
        <f t="shared" si="36"/>
        <v>0.12565504767569594</v>
      </c>
    </row>
    <row r="44" spans="1:26" s="26" customFormat="1" outlineLevel="1" collapsed="1" x14ac:dyDescent="0.25">
      <c r="A44" s="27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SUM(OSRRefD22_6x_0)</f>
        <v>0</v>
      </c>
      <c r="E44" s="1"/>
      <c r="F44" s="5">
        <f t="shared" si="29"/>
        <v>0</v>
      </c>
      <c r="G44" s="1"/>
      <c r="H44" s="1">
        <f>SUM(OSRRefH22_6x_0)</f>
        <v>151.86000000000001</v>
      </c>
      <c r="I44" s="1"/>
      <c r="J44" s="5">
        <f t="shared" si="30"/>
        <v>1.9024479892943769E-3</v>
      </c>
      <c r="K44" s="1"/>
      <c r="L44" s="1">
        <f t="shared" si="31"/>
        <v>-151.86000000000001</v>
      </c>
      <c r="M44" s="1"/>
      <c r="N44" s="5">
        <f t="shared" si="32"/>
        <v>-1</v>
      </c>
      <c r="O44" s="13"/>
      <c r="P44" s="1">
        <f>SUM(OSRRefP22_6x_0)</f>
        <v>0</v>
      </c>
      <c r="Q44" s="1"/>
      <c r="R44" s="5">
        <f t="shared" si="33"/>
        <v>0</v>
      </c>
      <c r="S44" s="1"/>
      <c r="T44" s="1">
        <f>SUM(OSRRefT22_6x_0)</f>
        <v>151.86000000000001</v>
      </c>
      <c r="U44" s="1"/>
      <c r="V44" s="5">
        <f t="shared" si="34"/>
        <v>4.3180113877100797E-4</v>
      </c>
      <c r="W44" s="1"/>
      <c r="X44" s="1">
        <f t="shared" si="35"/>
        <v>-151.86000000000001</v>
      </c>
      <c r="Y44" s="1"/>
      <c r="Z44" s="5">
        <f t="shared" si="36"/>
        <v>-1</v>
      </c>
    </row>
    <row r="45" spans="1:26" s="24" customFormat="1" hidden="1" outlineLevel="2" x14ac:dyDescent="0.25">
      <c r="A45" s="25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29"/>
        <v>0</v>
      </c>
      <c r="G45" s="2"/>
      <c r="H45" s="6">
        <v>151.86000000000001</v>
      </c>
      <c r="I45" s="2"/>
      <c r="J45" s="7">
        <f t="shared" si="30"/>
        <v>1.9024479892943769E-3</v>
      </c>
      <c r="K45" s="2"/>
      <c r="L45" s="6">
        <f t="shared" si="31"/>
        <v>-151.86000000000001</v>
      </c>
      <c r="M45" s="2"/>
      <c r="N45" s="7">
        <f t="shared" si="32"/>
        <v>-1</v>
      </c>
      <c r="O45" s="11"/>
      <c r="P45" s="6"/>
      <c r="Q45" s="2"/>
      <c r="R45" s="7">
        <f t="shared" si="33"/>
        <v>0</v>
      </c>
      <c r="S45" s="2"/>
      <c r="T45" s="6">
        <v>151.86000000000001</v>
      </c>
      <c r="U45" s="2"/>
      <c r="V45" s="7">
        <f t="shared" si="34"/>
        <v>4.3180113877100797E-4</v>
      </c>
      <c r="W45" s="2"/>
      <c r="X45" s="6">
        <f t="shared" si="35"/>
        <v>-151.86000000000001</v>
      </c>
      <c r="Y45" s="2"/>
      <c r="Z45" s="7">
        <f t="shared" si="36"/>
        <v>-1</v>
      </c>
    </row>
    <row r="46" spans="1:26" s="26" customFormat="1" outlineLevel="1" collapsed="1" x14ac:dyDescent="0.25">
      <c r="A46" s="27"/>
      <c r="B46" s="13" t="str">
        <f>CONCATENATE("     ","Equipment Rental                                  ")</f>
        <v xml:space="preserve">     Equipment Rental                                  </v>
      </c>
      <c r="C46" s="13"/>
      <c r="D46" s="1">
        <f>SUM(OSRRefD22_7x_0)</f>
        <v>0</v>
      </c>
      <c r="E46" s="1"/>
      <c r="F46" s="5">
        <f t="shared" si="29"/>
        <v>0</v>
      </c>
      <c r="G46" s="1"/>
      <c r="H46" s="1">
        <f>SUM(OSRRefH22_7x_0)</f>
        <v>118.91</v>
      </c>
      <c r="I46" s="1"/>
      <c r="J46" s="5">
        <f t="shared" si="30"/>
        <v>1.4896621256880965E-3</v>
      </c>
      <c r="K46" s="1"/>
      <c r="L46" s="1">
        <f t="shared" si="31"/>
        <v>-118.91</v>
      </c>
      <c r="M46" s="1"/>
      <c r="N46" s="5">
        <f t="shared" si="32"/>
        <v>-1</v>
      </c>
      <c r="O46" s="13"/>
      <c r="P46" s="1">
        <f>SUM(OSRRefP22_7x_0)</f>
        <v>96.3</v>
      </c>
      <c r="Q46" s="1"/>
      <c r="R46" s="5">
        <f t="shared" si="33"/>
        <v>9.8778348770655749E-2</v>
      </c>
      <c r="S46" s="1"/>
      <c r="T46" s="1">
        <f>SUM(OSRRefT22_7x_0)</f>
        <v>594.54999999999995</v>
      </c>
      <c r="U46" s="1"/>
      <c r="V46" s="5">
        <f t="shared" si="34"/>
        <v>1.6905529241163094E-3</v>
      </c>
      <c r="W46" s="1"/>
      <c r="X46" s="1">
        <f t="shared" si="35"/>
        <v>-498.24999999999994</v>
      </c>
      <c r="Y46" s="1"/>
      <c r="Z46" s="5">
        <f t="shared" si="36"/>
        <v>-0.83802876124800263</v>
      </c>
    </row>
    <row r="47" spans="1:26" s="24" customFormat="1" hidden="1" outlineLevel="2" x14ac:dyDescent="0.25">
      <c r="A47" s="25"/>
      <c r="B47" s="11" t="str">
        <f>CONCATENATE("          ", "6351", " - ", "EQUIPMENT RENTAL")</f>
        <v xml:space="preserve">          6351 - EQUIPMENT RENTAL</v>
      </c>
      <c r="C47" s="11"/>
      <c r="D47" s="6"/>
      <c r="E47" s="2"/>
      <c r="F47" s="7">
        <f t="shared" si="29"/>
        <v>0</v>
      </c>
      <c r="G47" s="2"/>
      <c r="H47" s="6">
        <v>118.91</v>
      </c>
      <c r="I47" s="2"/>
      <c r="J47" s="7">
        <f t="shared" si="30"/>
        <v>1.4896621256880965E-3</v>
      </c>
      <c r="K47" s="2"/>
      <c r="L47" s="6">
        <f t="shared" si="31"/>
        <v>-118.91</v>
      </c>
      <c r="M47" s="2"/>
      <c r="N47" s="7">
        <f t="shared" si="32"/>
        <v>-1</v>
      </c>
      <c r="O47" s="11"/>
      <c r="P47" s="6">
        <v>96.3</v>
      </c>
      <c r="Q47" s="2"/>
      <c r="R47" s="7">
        <f t="shared" si="33"/>
        <v>9.8778348770655749E-2</v>
      </c>
      <c r="S47" s="2"/>
      <c r="T47" s="6">
        <v>594.54999999999995</v>
      </c>
      <c r="U47" s="2"/>
      <c r="V47" s="7">
        <f t="shared" si="34"/>
        <v>1.6905529241163094E-3</v>
      </c>
      <c r="W47" s="2"/>
      <c r="X47" s="6">
        <f t="shared" si="35"/>
        <v>-498.24999999999994</v>
      </c>
      <c r="Y47" s="2"/>
      <c r="Z47" s="7">
        <f t="shared" si="36"/>
        <v>-0.83802876124800263</v>
      </c>
    </row>
    <row r="48" spans="1:26" s="26" customFormat="1" outlineLevel="1" collapsed="1" x14ac:dyDescent="0.25">
      <c r="A48" s="27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SUM(OSRRefD22_8x_0)</f>
        <v>0</v>
      </c>
      <c r="E48" s="1"/>
      <c r="F48" s="5">
        <f t="shared" si="29"/>
        <v>0</v>
      </c>
      <c r="G48" s="1"/>
      <c r="H48" s="1">
        <f>SUM(OSRRefH22_8x_0)</f>
        <v>1033.96</v>
      </c>
      <c r="I48" s="1"/>
      <c r="J48" s="5">
        <f t="shared" si="30"/>
        <v>1.2953082595883141E-2</v>
      </c>
      <c r="K48" s="1"/>
      <c r="L48" s="1">
        <f t="shared" si="31"/>
        <v>-1033.96</v>
      </c>
      <c r="M48" s="1"/>
      <c r="N48" s="5">
        <f t="shared" si="32"/>
        <v>-1</v>
      </c>
      <c r="O48" s="13"/>
      <c r="P48" s="1">
        <f>SUM(OSRRefP22_8x_0)</f>
        <v>7.28</v>
      </c>
      <c r="Q48" s="1"/>
      <c r="R48" s="5">
        <f t="shared" si="33"/>
        <v>7.467355961063073E-3</v>
      </c>
      <c r="S48" s="1"/>
      <c r="T48" s="1">
        <f>SUM(OSRRefT22_8x_0)</f>
        <v>5235.72</v>
      </c>
      <c r="U48" s="1"/>
      <c r="V48" s="5">
        <f t="shared" si="34"/>
        <v>1.4887329502740299E-2</v>
      </c>
      <c r="W48" s="1"/>
      <c r="X48" s="1">
        <f t="shared" si="35"/>
        <v>-5228.4400000000005</v>
      </c>
      <c r="Y48" s="1"/>
      <c r="Z48" s="5">
        <f t="shared" si="36"/>
        <v>-0.99860955131290452</v>
      </c>
    </row>
    <row r="49" spans="1:26" s="24" customFormat="1" hidden="1" outlineLevel="2" x14ac:dyDescent="0.25">
      <c r="A49" s="25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29"/>
        <v>0</v>
      </c>
      <c r="G49" s="2"/>
      <c r="H49" s="6">
        <v>1033.96</v>
      </c>
      <c r="I49" s="2"/>
      <c r="J49" s="7">
        <f t="shared" si="30"/>
        <v>1.2953082595883141E-2</v>
      </c>
      <c r="K49" s="2"/>
      <c r="L49" s="6">
        <f t="shared" si="31"/>
        <v>-1033.96</v>
      </c>
      <c r="M49" s="2"/>
      <c r="N49" s="7">
        <f t="shared" si="32"/>
        <v>-1</v>
      </c>
      <c r="O49" s="11"/>
      <c r="P49" s="6">
        <v>7.28</v>
      </c>
      <c r="Q49" s="2"/>
      <c r="R49" s="7">
        <f t="shared" si="33"/>
        <v>7.467355961063073E-3</v>
      </c>
      <c r="S49" s="2"/>
      <c r="T49" s="6">
        <v>5235.72</v>
      </c>
      <c r="U49" s="2"/>
      <c r="V49" s="7">
        <f t="shared" si="34"/>
        <v>1.4887329502740299E-2</v>
      </c>
      <c r="W49" s="2"/>
      <c r="X49" s="6">
        <f t="shared" si="35"/>
        <v>-5228.4400000000005</v>
      </c>
      <c r="Y49" s="2"/>
      <c r="Z49" s="7">
        <f t="shared" si="36"/>
        <v>-0.99860955131290452</v>
      </c>
    </row>
    <row r="50" spans="1:26" s="26" customFormat="1" outlineLevel="1" collapsed="1" x14ac:dyDescent="0.25">
      <c r="A50" s="27"/>
      <c r="B50" s="13" t="str">
        <f>CONCATENATE("     ","Repair and Maintenance                            ")</f>
        <v xml:space="preserve">     Repair and Maintenance                            </v>
      </c>
      <c r="C50" s="13"/>
      <c r="D50" s="1">
        <f>SUM(OSRRefD22_9x_0)</f>
        <v>0</v>
      </c>
      <c r="E50" s="1"/>
      <c r="F50" s="5">
        <f t="shared" si="29"/>
        <v>0</v>
      </c>
      <c r="G50" s="1"/>
      <c r="H50" s="1">
        <f>SUM(OSRRefH22_9x_0)</f>
        <v>208.64</v>
      </c>
      <c r="I50" s="1"/>
      <c r="J50" s="5">
        <f t="shared" si="30"/>
        <v>2.6137676049412533E-3</v>
      </c>
      <c r="K50" s="1"/>
      <c r="L50" s="1">
        <f t="shared" si="31"/>
        <v>-208.64</v>
      </c>
      <c r="M50" s="1"/>
      <c r="N50" s="5">
        <f t="shared" si="32"/>
        <v>-1</v>
      </c>
      <c r="O50" s="13"/>
      <c r="P50" s="1">
        <f>SUM(OSRRefP22_9x_0)</f>
        <v>368.88</v>
      </c>
      <c r="Q50" s="1"/>
      <c r="R50" s="5">
        <f t="shared" si="33"/>
        <v>0.37837338831276734</v>
      </c>
      <c r="S50" s="1"/>
      <c r="T50" s="1">
        <f>SUM(OSRRefT22_9x_0)</f>
        <v>4180.2700000000004</v>
      </c>
      <c r="U50" s="1"/>
      <c r="V50" s="5">
        <f t="shared" si="34"/>
        <v>1.1886246189716064E-2</v>
      </c>
      <c r="W50" s="1"/>
      <c r="X50" s="1">
        <f t="shared" si="35"/>
        <v>-3811.3900000000003</v>
      </c>
      <c r="Y50" s="1"/>
      <c r="Z50" s="5">
        <f t="shared" si="36"/>
        <v>-0.91175689608565957</v>
      </c>
    </row>
    <row r="51" spans="1:26" s="24" customFormat="1" hidden="1" outlineLevel="2" x14ac:dyDescent="0.25">
      <c r="A51" s="25"/>
      <c r="B51" s="11" t="str">
        <f>CONCATENATE("          ", "6373", " - ", "MAINTENANCE CONTRACTS")</f>
        <v xml:space="preserve">          6373 - MAINTENANCE CONTRACTS</v>
      </c>
      <c r="C51" s="11"/>
      <c r="D51" s="6"/>
      <c r="E51" s="2"/>
      <c r="F51" s="7">
        <f t="shared" si="29"/>
        <v>0</v>
      </c>
      <c r="G51" s="2"/>
      <c r="H51" s="6"/>
      <c r="I51" s="2"/>
      <c r="J51" s="7">
        <f t="shared" si="30"/>
        <v>0</v>
      </c>
      <c r="K51" s="2"/>
      <c r="L51" s="6">
        <f t="shared" si="31"/>
        <v>0</v>
      </c>
      <c r="M51" s="2"/>
      <c r="N51" s="7">
        <f t="shared" si="32"/>
        <v>0</v>
      </c>
      <c r="O51" s="11"/>
      <c r="P51" s="6">
        <v>168.88</v>
      </c>
      <c r="Q51" s="2"/>
      <c r="R51" s="7">
        <f t="shared" si="33"/>
        <v>0.17322624652532029</v>
      </c>
      <c r="S51" s="2"/>
      <c r="T51" s="6">
        <v>111.64</v>
      </c>
      <c r="U51" s="2"/>
      <c r="V51" s="7">
        <f t="shared" si="34"/>
        <v>3.1743895122083053E-4</v>
      </c>
      <c r="W51" s="2"/>
      <c r="X51" s="6">
        <f t="shared" si="35"/>
        <v>57.239999999999995</v>
      </c>
      <c r="Y51" s="2"/>
      <c r="Z51" s="7">
        <f t="shared" si="36"/>
        <v>0.51271945539233243</v>
      </c>
    </row>
    <row r="52" spans="1:26" s="24" customFormat="1" hidden="1" outlineLevel="2" x14ac:dyDescent="0.25">
      <c r="A52" s="25"/>
      <c r="B52" s="11" t="str">
        <f>CONCATENATE("          ", "6375", " - ", "OUTSIDE REPAIRS &amp; MAINTENANCE")</f>
        <v xml:space="preserve">          6375 - OUTSIDE REPAIRS &amp; MAINTENANCE</v>
      </c>
      <c r="C52" s="11"/>
      <c r="D52" s="6"/>
      <c r="E52" s="2"/>
      <c r="F52" s="7">
        <f t="shared" si="29"/>
        <v>0</v>
      </c>
      <c r="G52" s="2"/>
      <c r="H52" s="6">
        <v>208.64</v>
      </c>
      <c r="I52" s="2"/>
      <c r="J52" s="7">
        <f t="shared" si="30"/>
        <v>2.6137676049412533E-3</v>
      </c>
      <c r="K52" s="2"/>
      <c r="L52" s="6">
        <f t="shared" si="31"/>
        <v>-208.64</v>
      </c>
      <c r="M52" s="2"/>
      <c r="N52" s="7">
        <f t="shared" si="32"/>
        <v>-1</v>
      </c>
      <c r="O52" s="11"/>
      <c r="P52" s="6">
        <v>200</v>
      </c>
      <c r="Q52" s="2"/>
      <c r="R52" s="7">
        <f t="shared" si="33"/>
        <v>0.20514714178744706</v>
      </c>
      <c r="S52" s="2"/>
      <c r="T52" s="6">
        <v>4068.63</v>
      </c>
      <c r="U52" s="2"/>
      <c r="V52" s="7">
        <f t="shared" si="34"/>
        <v>1.1568807238495233E-2</v>
      </c>
      <c r="W52" s="2"/>
      <c r="X52" s="6">
        <f t="shared" si="35"/>
        <v>-3868.63</v>
      </c>
      <c r="Y52" s="2"/>
      <c r="Z52" s="7">
        <f t="shared" si="36"/>
        <v>-0.95084340429087921</v>
      </c>
    </row>
    <row r="53" spans="1:26" s="26" customFormat="1" outlineLevel="1" collapsed="1" x14ac:dyDescent="0.25">
      <c r="A53" s="27"/>
      <c r="B53" s="13" t="str">
        <f>CONCATENATE("     ","Royalty &amp; Commissions                             ")</f>
        <v xml:space="preserve">     Royalty &amp; Commissions                             </v>
      </c>
      <c r="C53" s="13"/>
      <c r="D53" s="1">
        <f>SUM(OSRRefD22_10x_0)</f>
        <v>0</v>
      </c>
      <c r="E53" s="1"/>
      <c r="F53" s="5">
        <f t="shared" ref="F53:F66" si="37">IF(D$12=0,0,D53/D$12)</f>
        <v>0</v>
      </c>
      <c r="G53" s="1"/>
      <c r="H53" s="1">
        <f>SUM(OSRRefH22_10x_0)</f>
        <v>6385.84</v>
      </c>
      <c r="I53" s="1"/>
      <c r="J53" s="5">
        <f t="shared" ref="J53:J66" si="38">IF(H$12=0,0,H53/H$12)</f>
        <v>7.9999528960592675E-2</v>
      </c>
      <c r="K53" s="1"/>
      <c r="L53" s="1">
        <f t="shared" ref="L53:L66" si="39">+D53-H53</f>
        <v>-6385.84</v>
      </c>
      <c r="M53" s="1"/>
      <c r="N53" s="5">
        <f t="shared" ref="N53:N66" si="40">IF(H53=0,0,L53/H53)</f>
        <v>-1</v>
      </c>
      <c r="O53" s="13"/>
      <c r="P53" s="1">
        <f>SUM(OSRRefP22_10x_0)</f>
        <v>0</v>
      </c>
      <c r="Q53" s="1"/>
      <c r="R53" s="5">
        <f t="shared" ref="R53:R66" si="41">IF(P$12=0,0,P53/P$12)</f>
        <v>0</v>
      </c>
      <c r="S53" s="1"/>
      <c r="T53" s="1">
        <f>SUM(OSRRefT22_10x_0)</f>
        <v>24915.360000000001</v>
      </c>
      <c r="U53" s="1"/>
      <c r="V53" s="5">
        <f t="shared" ref="V53:V66" si="42">IF(T$12=0,0,T53/T$12)</f>
        <v>7.0844730810546694E-2</v>
      </c>
      <c r="W53" s="1"/>
      <c r="X53" s="1">
        <f t="shared" ref="X53:X66" si="43">+P53-T53</f>
        <v>-24915.360000000001</v>
      </c>
      <c r="Y53" s="1"/>
      <c r="Z53" s="5">
        <f t="shared" ref="Z53:Z66" si="44">IF(T53=0,0,X53/T53)</f>
        <v>-1</v>
      </c>
    </row>
    <row r="54" spans="1:26" s="24" customFormat="1" hidden="1" outlineLevel="2" x14ac:dyDescent="0.25">
      <c r="A54" s="25"/>
      <c r="B54" s="11" t="str">
        <f>CONCATENATE("          ", "6259", " - ", "ROYALTY &amp; COMMISSIONS")</f>
        <v xml:space="preserve">          6259 - ROYALTY &amp; COMMISSIONS</v>
      </c>
      <c r="C54" s="11"/>
      <c r="D54" s="6"/>
      <c r="E54" s="2"/>
      <c r="F54" s="7">
        <f t="shared" si="37"/>
        <v>0</v>
      </c>
      <c r="G54" s="2"/>
      <c r="H54" s="6">
        <v>6385.84</v>
      </c>
      <c r="I54" s="2"/>
      <c r="J54" s="7">
        <f t="shared" si="38"/>
        <v>7.9999528960592675E-2</v>
      </c>
      <c r="K54" s="2"/>
      <c r="L54" s="6">
        <f t="shared" si="39"/>
        <v>-6385.84</v>
      </c>
      <c r="M54" s="2"/>
      <c r="N54" s="7">
        <f t="shared" si="40"/>
        <v>-1</v>
      </c>
      <c r="O54" s="11"/>
      <c r="P54" s="6"/>
      <c r="Q54" s="2"/>
      <c r="R54" s="7">
        <f t="shared" si="41"/>
        <v>0</v>
      </c>
      <c r="S54" s="2"/>
      <c r="T54" s="6">
        <v>24915.360000000001</v>
      </c>
      <c r="U54" s="2"/>
      <c r="V54" s="7">
        <f t="shared" si="42"/>
        <v>7.0844730810546694E-2</v>
      </c>
      <c r="W54" s="2"/>
      <c r="X54" s="6">
        <f t="shared" si="43"/>
        <v>-24915.360000000001</v>
      </c>
      <c r="Y54" s="2"/>
      <c r="Z54" s="7">
        <f t="shared" si="44"/>
        <v>-1</v>
      </c>
    </row>
    <row r="55" spans="1:26" s="26" customFormat="1" outlineLevel="1" collapsed="1" x14ac:dyDescent="0.25">
      <c r="A55" s="27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SUM(OSRRefD22_11x_0)</f>
        <v>0</v>
      </c>
      <c r="E55" s="1"/>
      <c r="F55" s="5">
        <f t="shared" si="37"/>
        <v>0</v>
      </c>
      <c r="G55" s="1"/>
      <c r="H55" s="1">
        <f>SUM(OSRRefH22_11x_0)</f>
        <v>48.75</v>
      </c>
      <c r="I55" s="1"/>
      <c r="J55" s="5">
        <f t="shared" si="38"/>
        <v>6.107226358363023E-4</v>
      </c>
      <c r="K55" s="1"/>
      <c r="L55" s="1">
        <f t="shared" si="39"/>
        <v>-48.75</v>
      </c>
      <c r="M55" s="1"/>
      <c r="N55" s="5">
        <f t="shared" si="40"/>
        <v>-1</v>
      </c>
      <c r="O55" s="13"/>
      <c r="P55" s="1">
        <f>SUM(OSRRefP22_11x_0)</f>
        <v>0</v>
      </c>
      <c r="Q55" s="1"/>
      <c r="R55" s="5">
        <f t="shared" si="41"/>
        <v>0</v>
      </c>
      <c r="S55" s="1"/>
      <c r="T55" s="1">
        <f>SUM(OSRRefT22_11x_0)</f>
        <v>281.10000000000002</v>
      </c>
      <c r="U55" s="1"/>
      <c r="V55" s="5">
        <f t="shared" si="42"/>
        <v>7.9928420985467101E-4</v>
      </c>
      <c r="W55" s="1"/>
      <c r="X55" s="1">
        <f t="shared" si="43"/>
        <v>-281.10000000000002</v>
      </c>
      <c r="Y55" s="1"/>
      <c r="Z55" s="5">
        <f t="shared" si="44"/>
        <v>-1</v>
      </c>
    </row>
    <row r="56" spans="1:26" s="24" customFormat="1" hidden="1" outlineLevel="2" x14ac:dyDescent="0.25">
      <c r="A56" s="25"/>
      <c r="B56" s="11" t="str">
        <f>CONCATENATE("          ", "6286", " - ", "LAUNDRY EXPENSE")</f>
        <v xml:space="preserve">          6286 - LAUNDRY EXPENSE</v>
      </c>
      <c r="C56" s="11"/>
      <c r="D56" s="6"/>
      <c r="E56" s="2"/>
      <c r="F56" s="7">
        <f t="shared" si="37"/>
        <v>0</v>
      </c>
      <c r="G56" s="2"/>
      <c r="H56" s="6">
        <v>48.75</v>
      </c>
      <c r="I56" s="2"/>
      <c r="J56" s="7">
        <f t="shared" si="38"/>
        <v>6.107226358363023E-4</v>
      </c>
      <c r="K56" s="2"/>
      <c r="L56" s="6">
        <f t="shared" si="39"/>
        <v>-48.75</v>
      </c>
      <c r="M56" s="2"/>
      <c r="N56" s="7">
        <f t="shared" si="40"/>
        <v>-1</v>
      </c>
      <c r="O56" s="11"/>
      <c r="P56" s="6"/>
      <c r="Q56" s="2"/>
      <c r="R56" s="7">
        <f t="shared" si="41"/>
        <v>0</v>
      </c>
      <c r="S56" s="2"/>
      <c r="T56" s="6">
        <v>281.10000000000002</v>
      </c>
      <c r="U56" s="2"/>
      <c r="V56" s="7">
        <f t="shared" si="42"/>
        <v>7.9928420985467101E-4</v>
      </c>
      <c r="W56" s="2"/>
      <c r="X56" s="6">
        <f t="shared" si="43"/>
        <v>-281.10000000000002</v>
      </c>
      <c r="Y56" s="2"/>
      <c r="Z56" s="7">
        <f t="shared" si="44"/>
        <v>-1</v>
      </c>
    </row>
    <row r="57" spans="1:26" s="26" customFormat="1" outlineLevel="1" collapsed="1" x14ac:dyDescent="0.25">
      <c r="A57" s="27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SUM(OSRRefD22_12x_0)</f>
        <v>0</v>
      </c>
      <c r="E57" s="1"/>
      <c r="F57" s="5">
        <f t="shared" si="37"/>
        <v>0</v>
      </c>
      <c r="G57" s="1"/>
      <c r="H57" s="1">
        <f>SUM(OSRRefH22_12x_0)</f>
        <v>30.68</v>
      </c>
      <c r="I57" s="1"/>
      <c r="J57" s="5">
        <f t="shared" si="38"/>
        <v>3.8434811215297957E-4</v>
      </c>
      <c r="K57" s="1"/>
      <c r="L57" s="1">
        <f t="shared" si="39"/>
        <v>-30.68</v>
      </c>
      <c r="M57" s="1"/>
      <c r="N57" s="5">
        <f t="shared" si="40"/>
        <v>-1</v>
      </c>
      <c r="O57" s="13"/>
      <c r="P57" s="1">
        <f>SUM(OSRRefP22_12x_0)</f>
        <v>0</v>
      </c>
      <c r="Q57" s="1"/>
      <c r="R57" s="5">
        <f t="shared" si="41"/>
        <v>0</v>
      </c>
      <c r="S57" s="1"/>
      <c r="T57" s="1">
        <f>SUM(OSRRefT22_12x_0)</f>
        <v>92.04</v>
      </c>
      <c r="U57" s="1"/>
      <c r="V57" s="5">
        <f t="shared" si="42"/>
        <v>2.6170799955540347E-4</v>
      </c>
      <c r="W57" s="1"/>
      <c r="X57" s="1">
        <f t="shared" si="43"/>
        <v>-92.04</v>
      </c>
      <c r="Y57" s="1"/>
      <c r="Z57" s="5">
        <f t="shared" si="44"/>
        <v>-1</v>
      </c>
    </row>
    <row r="58" spans="1:26" s="24" customFormat="1" hidden="1" outlineLevel="2" x14ac:dyDescent="0.25">
      <c r="A58" s="25"/>
      <c r="B58" s="11" t="str">
        <f>CONCATENATE("          ", "6275", " - ", "SUBSCRIPTIONS")</f>
        <v xml:space="preserve">          6275 - SUBSCRIPTIONS</v>
      </c>
      <c r="C58" s="11"/>
      <c r="D58" s="6"/>
      <c r="E58" s="2"/>
      <c r="F58" s="7">
        <f t="shared" si="37"/>
        <v>0</v>
      </c>
      <c r="G58" s="2"/>
      <c r="H58" s="6">
        <v>30.68</v>
      </c>
      <c r="I58" s="2"/>
      <c r="J58" s="7">
        <f t="shared" si="38"/>
        <v>3.8434811215297957E-4</v>
      </c>
      <c r="K58" s="2"/>
      <c r="L58" s="6">
        <f t="shared" si="39"/>
        <v>-30.68</v>
      </c>
      <c r="M58" s="2"/>
      <c r="N58" s="7">
        <f t="shared" si="40"/>
        <v>-1</v>
      </c>
      <c r="O58" s="11"/>
      <c r="P58" s="6"/>
      <c r="Q58" s="2"/>
      <c r="R58" s="7">
        <f t="shared" si="41"/>
        <v>0</v>
      </c>
      <c r="S58" s="2"/>
      <c r="T58" s="6">
        <v>92.04</v>
      </c>
      <c r="U58" s="2"/>
      <c r="V58" s="7">
        <f t="shared" si="42"/>
        <v>2.6170799955540347E-4</v>
      </c>
      <c r="W58" s="2"/>
      <c r="X58" s="6">
        <f t="shared" si="43"/>
        <v>-92.04</v>
      </c>
      <c r="Y58" s="2"/>
      <c r="Z58" s="7">
        <f t="shared" si="44"/>
        <v>-1</v>
      </c>
    </row>
    <row r="59" spans="1:26" s="26" customFormat="1" outlineLevel="1" collapsed="1" x14ac:dyDescent="0.25">
      <c r="A59" s="27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SUM(OSRRefD22_13x_0)</f>
        <v>0</v>
      </c>
      <c r="E59" s="1"/>
      <c r="F59" s="5">
        <f t="shared" si="37"/>
        <v>0</v>
      </c>
      <c r="G59" s="1"/>
      <c r="H59" s="1">
        <f>SUM(OSRRefH22_13x_0)</f>
        <v>757.34</v>
      </c>
      <c r="I59" s="1"/>
      <c r="J59" s="5">
        <f t="shared" si="38"/>
        <v>9.4876857646003111E-3</v>
      </c>
      <c r="K59" s="1"/>
      <c r="L59" s="1">
        <f t="shared" si="39"/>
        <v>-757.34</v>
      </c>
      <c r="M59" s="1"/>
      <c r="N59" s="5">
        <f t="shared" si="40"/>
        <v>-1</v>
      </c>
      <c r="O59" s="13"/>
      <c r="P59" s="1">
        <f>SUM(OSRRefP22_13x_0)</f>
        <v>0</v>
      </c>
      <c r="Q59" s="1"/>
      <c r="R59" s="5">
        <f t="shared" si="41"/>
        <v>0</v>
      </c>
      <c r="S59" s="1"/>
      <c r="T59" s="1">
        <f>SUM(OSRRefT22_13x_0)</f>
        <v>6700.0699999999988</v>
      </c>
      <c r="U59" s="1"/>
      <c r="V59" s="5">
        <f t="shared" si="42"/>
        <v>1.9051085577804994E-2</v>
      </c>
      <c r="W59" s="1"/>
      <c r="X59" s="1">
        <f t="shared" si="43"/>
        <v>-6700.0699999999988</v>
      </c>
      <c r="Y59" s="1"/>
      <c r="Z59" s="5">
        <f t="shared" si="44"/>
        <v>-1</v>
      </c>
    </row>
    <row r="60" spans="1:26" s="24" customFormat="1" hidden="1" outlineLevel="2" x14ac:dyDescent="0.25">
      <c r="A60" s="25"/>
      <c r="B60" s="11" t="str">
        <f>CONCATENATE("          ", "6237", " - ", "JANITORIAL SUPPLIES")</f>
        <v xml:space="preserve">          6237 - JANITORIAL SUPPLIES</v>
      </c>
      <c r="C60" s="11"/>
      <c r="D60" s="6"/>
      <c r="E60" s="2"/>
      <c r="F60" s="7">
        <f t="shared" si="37"/>
        <v>0</v>
      </c>
      <c r="G60" s="2"/>
      <c r="H60" s="6">
        <v>8.82</v>
      </c>
      <c r="I60" s="2"/>
      <c r="J60" s="7">
        <f t="shared" si="38"/>
        <v>1.1049381842207561E-4</v>
      </c>
      <c r="K60" s="2"/>
      <c r="L60" s="6">
        <f t="shared" si="39"/>
        <v>-8.82</v>
      </c>
      <c r="M60" s="2"/>
      <c r="N60" s="7">
        <f t="shared" si="40"/>
        <v>-1</v>
      </c>
      <c r="O60" s="11"/>
      <c r="P60" s="6"/>
      <c r="Q60" s="2"/>
      <c r="R60" s="7">
        <f t="shared" si="41"/>
        <v>0</v>
      </c>
      <c r="S60" s="2"/>
      <c r="T60" s="6">
        <v>145.93</v>
      </c>
      <c r="U60" s="2"/>
      <c r="V60" s="7">
        <f t="shared" si="42"/>
        <v>4.1493968247631496E-4</v>
      </c>
      <c r="W60" s="2"/>
      <c r="X60" s="6">
        <f t="shared" si="43"/>
        <v>-145.93</v>
      </c>
      <c r="Y60" s="2"/>
      <c r="Z60" s="7">
        <f t="shared" si="44"/>
        <v>-1</v>
      </c>
    </row>
    <row r="61" spans="1:26" s="24" customFormat="1" hidden="1" outlineLevel="2" x14ac:dyDescent="0.25">
      <c r="A61" s="25"/>
      <c r="B61" s="11" t="str">
        <f>CONCATENATE("          ", "6239", " - ", "KITCHEN SUPPLIES")</f>
        <v xml:space="preserve">          6239 - KITCHEN SUPPLIES</v>
      </c>
      <c r="C61" s="11"/>
      <c r="D61" s="6"/>
      <c r="E61" s="2"/>
      <c r="F61" s="7">
        <f t="shared" si="37"/>
        <v>0</v>
      </c>
      <c r="G61" s="2"/>
      <c r="H61" s="6">
        <v>7.67</v>
      </c>
      <c r="I61" s="2"/>
      <c r="J61" s="7">
        <f t="shared" si="38"/>
        <v>9.6087028038244893E-5</v>
      </c>
      <c r="K61" s="2"/>
      <c r="L61" s="6">
        <f t="shared" si="39"/>
        <v>-7.67</v>
      </c>
      <c r="M61" s="2"/>
      <c r="N61" s="7">
        <f t="shared" si="40"/>
        <v>-1</v>
      </c>
      <c r="O61" s="11"/>
      <c r="P61" s="6"/>
      <c r="Q61" s="2"/>
      <c r="R61" s="7">
        <f t="shared" si="41"/>
        <v>0</v>
      </c>
      <c r="S61" s="2"/>
      <c r="T61" s="6">
        <v>1913.37</v>
      </c>
      <c r="U61" s="2"/>
      <c r="V61" s="7">
        <f t="shared" si="42"/>
        <v>5.4405066830652141E-3</v>
      </c>
      <c r="W61" s="2"/>
      <c r="X61" s="6">
        <f t="shared" si="43"/>
        <v>-1913.37</v>
      </c>
      <c r="Y61" s="2"/>
      <c r="Z61" s="7">
        <f t="shared" si="44"/>
        <v>-1</v>
      </c>
    </row>
    <row r="62" spans="1:26" s="24" customFormat="1" hidden="1" outlineLevel="2" x14ac:dyDescent="0.25">
      <c r="A62" s="25"/>
      <c r="B62" s="11" t="str">
        <f>CONCATENATE("          ", "6241", " - ", "OFFICE EXPENSE")</f>
        <v xml:space="preserve">          6241 - OFFICE EXPENSE</v>
      </c>
      <c r="C62" s="11"/>
      <c r="D62" s="6"/>
      <c r="E62" s="2"/>
      <c r="F62" s="7">
        <f t="shared" si="37"/>
        <v>0</v>
      </c>
      <c r="G62" s="2"/>
      <c r="H62" s="6">
        <v>88.05</v>
      </c>
      <c r="I62" s="2"/>
      <c r="J62" s="7">
        <f t="shared" si="38"/>
        <v>1.1030590376489521E-3</v>
      </c>
      <c r="K62" s="2"/>
      <c r="L62" s="6">
        <f t="shared" si="39"/>
        <v>-88.05</v>
      </c>
      <c r="M62" s="2"/>
      <c r="N62" s="7">
        <f t="shared" si="40"/>
        <v>-1</v>
      </c>
      <c r="O62" s="11"/>
      <c r="P62" s="6"/>
      <c r="Q62" s="2"/>
      <c r="R62" s="7">
        <f t="shared" si="41"/>
        <v>0</v>
      </c>
      <c r="S62" s="2"/>
      <c r="T62" s="6">
        <v>1207.55</v>
      </c>
      <c r="U62" s="2"/>
      <c r="V62" s="7">
        <f t="shared" si="42"/>
        <v>3.4335668716115541E-3</v>
      </c>
      <c r="W62" s="2"/>
      <c r="X62" s="6">
        <f t="shared" si="43"/>
        <v>-1207.55</v>
      </c>
      <c r="Y62" s="2"/>
      <c r="Z62" s="7">
        <f t="shared" si="44"/>
        <v>-1</v>
      </c>
    </row>
    <row r="63" spans="1:26" s="24" customFormat="1" hidden="1" outlineLevel="2" x14ac:dyDescent="0.25">
      <c r="A63" s="25"/>
      <c r="B63" s="11" t="str">
        <f>CONCATENATE("          ", "6243", " - ", "PAPER SUPPLIES")</f>
        <v xml:space="preserve">          6243 - PAPER SUPPLIES</v>
      </c>
      <c r="C63" s="11"/>
      <c r="D63" s="6"/>
      <c r="E63" s="2"/>
      <c r="F63" s="7">
        <f t="shared" si="37"/>
        <v>0</v>
      </c>
      <c r="G63" s="2"/>
      <c r="H63" s="6">
        <v>473.42</v>
      </c>
      <c r="I63" s="2"/>
      <c r="J63" s="7">
        <f t="shared" si="38"/>
        <v>5.9308371334896868E-3</v>
      </c>
      <c r="K63" s="2"/>
      <c r="L63" s="6">
        <f t="shared" si="39"/>
        <v>-473.42</v>
      </c>
      <c r="M63" s="2"/>
      <c r="N63" s="7">
        <f t="shared" si="40"/>
        <v>-1</v>
      </c>
      <c r="O63" s="11"/>
      <c r="P63" s="6"/>
      <c r="Q63" s="2"/>
      <c r="R63" s="7">
        <f t="shared" si="41"/>
        <v>0</v>
      </c>
      <c r="S63" s="2"/>
      <c r="T63" s="6">
        <v>2046.96</v>
      </c>
      <c r="U63" s="2"/>
      <c r="V63" s="7">
        <f t="shared" si="42"/>
        <v>5.8203586133195205E-3</v>
      </c>
      <c r="W63" s="2"/>
      <c r="X63" s="6">
        <f t="shared" si="43"/>
        <v>-2046.96</v>
      </c>
      <c r="Y63" s="2"/>
      <c r="Z63" s="7">
        <f t="shared" si="44"/>
        <v>-1</v>
      </c>
    </row>
    <row r="64" spans="1:26" s="24" customFormat="1" hidden="1" outlineLevel="2" x14ac:dyDescent="0.25">
      <c r="A64" s="25"/>
      <c r="B64" s="11" t="str">
        <f>CONCATENATE("          ", "6245", " - ", "PRINTING")</f>
        <v xml:space="preserve">          6245 - PRINTING</v>
      </c>
      <c r="C64" s="11"/>
      <c r="D64" s="6"/>
      <c r="E64" s="2"/>
      <c r="F64" s="7">
        <f t="shared" si="37"/>
        <v>0</v>
      </c>
      <c r="G64" s="2"/>
      <c r="H64" s="6"/>
      <c r="I64" s="2"/>
      <c r="J64" s="7">
        <f t="shared" si="38"/>
        <v>0</v>
      </c>
      <c r="K64" s="2"/>
      <c r="L64" s="6">
        <f t="shared" si="39"/>
        <v>0</v>
      </c>
      <c r="M64" s="2"/>
      <c r="N64" s="7">
        <f t="shared" si="40"/>
        <v>0</v>
      </c>
      <c r="O64" s="11"/>
      <c r="P64" s="6"/>
      <c r="Q64" s="2"/>
      <c r="R64" s="7">
        <f t="shared" si="41"/>
        <v>0</v>
      </c>
      <c r="S64" s="2"/>
      <c r="T64" s="6">
        <v>181.92</v>
      </c>
      <c r="U64" s="2"/>
      <c r="V64" s="7">
        <f t="shared" si="42"/>
        <v>5.172742207640047E-4</v>
      </c>
      <c r="W64" s="2"/>
      <c r="X64" s="6">
        <f t="shared" si="43"/>
        <v>-181.92</v>
      </c>
      <c r="Y64" s="2"/>
      <c r="Z64" s="7">
        <f t="shared" si="44"/>
        <v>-1</v>
      </c>
    </row>
    <row r="65" spans="1:26" s="24" customFormat="1" hidden="1" outlineLevel="2" x14ac:dyDescent="0.25">
      <c r="A65" s="25"/>
      <c r="B65" s="11" t="str">
        <f>CONCATENATE("          ", "6247", " - ", "STORE SUPPLIES")</f>
        <v xml:space="preserve">          6247 - STORE SUPPLIES</v>
      </c>
      <c r="C65" s="11"/>
      <c r="D65" s="6"/>
      <c r="E65" s="2"/>
      <c r="F65" s="7">
        <f t="shared" si="37"/>
        <v>0</v>
      </c>
      <c r="G65" s="2"/>
      <c r="H65" s="6">
        <v>179.38</v>
      </c>
      <c r="I65" s="2"/>
      <c r="J65" s="7">
        <f t="shared" si="38"/>
        <v>2.2472087470013519E-3</v>
      </c>
      <c r="K65" s="2"/>
      <c r="L65" s="6">
        <f t="shared" si="39"/>
        <v>-179.38</v>
      </c>
      <c r="M65" s="2"/>
      <c r="N65" s="7">
        <f t="shared" si="40"/>
        <v>-1</v>
      </c>
      <c r="O65" s="11"/>
      <c r="P65" s="6"/>
      <c r="Q65" s="2"/>
      <c r="R65" s="7">
        <f t="shared" si="41"/>
        <v>0</v>
      </c>
      <c r="S65" s="2"/>
      <c r="T65" s="6">
        <v>1090.56</v>
      </c>
      <c r="U65" s="2"/>
      <c r="V65" s="7">
        <f t="shared" si="42"/>
        <v>3.1009156453187829E-3</v>
      </c>
      <c r="W65" s="2"/>
      <c r="X65" s="6">
        <f t="shared" si="43"/>
        <v>-1090.56</v>
      </c>
      <c r="Y65" s="2"/>
      <c r="Z65" s="7">
        <f t="shared" si="44"/>
        <v>-1</v>
      </c>
    </row>
    <row r="66" spans="1:26" s="24" customFormat="1" hidden="1" outlineLevel="2" x14ac:dyDescent="0.25">
      <c r="A66" s="25"/>
      <c r="B66" s="11" t="str">
        <f>CONCATENATE("          ", "6248", " - ", "UNIFORMS")</f>
        <v xml:space="preserve">          6248 - UNIFORMS</v>
      </c>
      <c r="C66" s="11"/>
      <c r="D66" s="6"/>
      <c r="E66" s="2"/>
      <c r="F66" s="7">
        <f t="shared" si="37"/>
        <v>0</v>
      </c>
      <c r="G66" s="2"/>
      <c r="H66" s="6"/>
      <c r="I66" s="2"/>
      <c r="J66" s="7">
        <f t="shared" si="38"/>
        <v>0</v>
      </c>
      <c r="K66" s="2"/>
      <c r="L66" s="6">
        <f t="shared" si="39"/>
        <v>0</v>
      </c>
      <c r="M66" s="2"/>
      <c r="N66" s="7">
        <f t="shared" si="40"/>
        <v>0</v>
      </c>
      <c r="O66" s="11"/>
      <c r="P66" s="6"/>
      <c r="Q66" s="2"/>
      <c r="R66" s="7">
        <f t="shared" si="41"/>
        <v>0</v>
      </c>
      <c r="S66" s="2"/>
      <c r="T66" s="6">
        <v>113.78</v>
      </c>
      <c r="U66" s="2"/>
      <c r="V66" s="7">
        <f t="shared" si="42"/>
        <v>3.2352386124960677E-4</v>
      </c>
      <c r="W66" s="2"/>
      <c r="X66" s="6">
        <f t="shared" si="43"/>
        <v>-113.78</v>
      </c>
      <c r="Y66" s="2"/>
      <c r="Z66" s="7">
        <f t="shared" si="44"/>
        <v>-1</v>
      </c>
    </row>
    <row r="67" spans="1:26" s="26" customFormat="1" outlineLevel="1" collapsed="1" x14ac:dyDescent="0.25">
      <c r="A67" s="27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SUM(OSRRefD22_14x_0)</f>
        <v>0</v>
      </c>
      <c r="E67" s="1"/>
      <c r="F67" s="5">
        <f t="shared" ref="F67:F70" si="45">IF(D$12=0,0,D67/D$12)</f>
        <v>0</v>
      </c>
      <c r="G67" s="1"/>
      <c r="H67" s="1">
        <f>SUM(OSRRefH22_14x_0)</f>
        <v>0</v>
      </c>
      <c r="I67" s="1"/>
      <c r="J67" s="5">
        <f t="shared" ref="J67:J70" si="46">IF(H$12=0,0,H67/H$12)</f>
        <v>0</v>
      </c>
      <c r="K67" s="1"/>
      <c r="L67" s="1">
        <f t="shared" ref="L67:L70" si="47">+D67-H67</f>
        <v>0</v>
      </c>
      <c r="M67" s="1"/>
      <c r="N67" s="5">
        <f t="shared" ref="N67:N70" si="48">IF(H67=0,0,L67/H67)</f>
        <v>0</v>
      </c>
      <c r="O67" s="13"/>
      <c r="P67" s="1">
        <f>SUM(OSRRefP22_14x_0)</f>
        <v>0</v>
      </c>
      <c r="Q67" s="1"/>
      <c r="R67" s="5">
        <f t="shared" ref="R67:R70" si="49">IF(P$12=0,0,P67/P$12)</f>
        <v>0</v>
      </c>
      <c r="S67" s="1"/>
      <c r="T67" s="1">
        <f>SUM(OSRRefT22_14x_0)</f>
        <v>-45</v>
      </c>
      <c r="U67" s="1"/>
      <c r="V67" s="5">
        <f t="shared" ref="V67:V70" si="50">IF(T$12=0,0,T67/T$12)</f>
        <v>-1.2795371555837849E-4</v>
      </c>
      <c r="W67" s="1"/>
      <c r="X67" s="1">
        <f t="shared" ref="X67:X70" si="51">+P67-T67</f>
        <v>45</v>
      </c>
      <c r="Y67" s="1"/>
      <c r="Z67" s="5">
        <f t="shared" ref="Z67:Z70" si="52">IF(T67=0,0,X67/T67)</f>
        <v>-1</v>
      </c>
    </row>
    <row r="68" spans="1:26" s="24" customFormat="1" hidden="1" outlineLevel="2" x14ac:dyDescent="0.25">
      <c r="A68" s="25"/>
      <c r="B68" s="11" t="str">
        <f>CONCATENATE("          ", "6309", " - ", "TELEPHONE")</f>
        <v xml:space="preserve">          6309 - TELEPHONE</v>
      </c>
      <c r="C68" s="11"/>
      <c r="D68" s="6"/>
      <c r="E68" s="2"/>
      <c r="F68" s="7">
        <f t="shared" si="45"/>
        <v>0</v>
      </c>
      <c r="G68" s="2"/>
      <c r="H68" s="6"/>
      <c r="I68" s="2"/>
      <c r="J68" s="7">
        <f t="shared" si="46"/>
        <v>0</v>
      </c>
      <c r="K68" s="2"/>
      <c r="L68" s="6">
        <f t="shared" si="47"/>
        <v>0</v>
      </c>
      <c r="M68" s="2"/>
      <c r="N68" s="7">
        <f t="shared" si="48"/>
        <v>0</v>
      </c>
      <c r="O68" s="11"/>
      <c r="P68" s="6"/>
      <c r="Q68" s="2"/>
      <c r="R68" s="7">
        <f t="shared" si="49"/>
        <v>0</v>
      </c>
      <c r="S68" s="2"/>
      <c r="T68" s="6">
        <v>-45</v>
      </c>
      <c r="U68" s="2"/>
      <c r="V68" s="7">
        <f t="shared" si="50"/>
        <v>-1.2795371555837849E-4</v>
      </c>
      <c r="W68" s="2"/>
      <c r="X68" s="6">
        <f t="shared" si="51"/>
        <v>45</v>
      </c>
      <c r="Y68" s="2"/>
      <c r="Z68" s="7">
        <f t="shared" si="52"/>
        <v>-1</v>
      </c>
    </row>
    <row r="69" spans="1:26" s="26" customFormat="1" outlineLevel="1" collapsed="1" x14ac:dyDescent="0.25">
      <c r="A69" s="27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SUM(OSRRefD22_15x_0)</f>
        <v>0</v>
      </c>
      <c r="E69" s="1"/>
      <c r="F69" s="5">
        <f t="shared" si="45"/>
        <v>0</v>
      </c>
      <c r="G69" s="1"/>
      <c r="H69" s="1">
        <f>SUM(OSRRefH22_15x_0)</f>
        <v>0</v>
      </c>
      <c r="I69" s="1"/>
      <c r="J69" s="5">
        <f t="shared" si="46"/>
        <v>0</v>
      </c>
      <c r="K69" s="1"/>
      <c r="L69" s="1">
        <f t="shared" si="47"/>
        <v>0</v>
      </c>
      <c r="M69" s="1"/>
      <c r="N69" s="5">
        <f t="shared" si="48"/>
        <v>0</v>
      </c>
      <c r="O69" s="13"/>
      <c r="P69" s="1">
        <f>SUM(OSRRefP22_15x_0)</f>
        <v>0</v>
      </c>
      <c r="Q69" s="1"/>
      <c r="R69" s="5">
        <f t="shared" si="49"/>
        <v>0</v>
      </c>
      <c r="S69" s="1"/>
      <c r="T69" s="1">
        <f>SUM(OSRRefT22_15x_0)</f>
        <v>96</v>
      </c>
      <c r="U69" s="1"/>
      <c r="V69" s="5">
        <f t="shared" si="50"/>
        <v>2.7296792652454078E-4</v>
      </c>
      <c r="W69" s="1"/>
      <c r="X69" s="1">
        <f t="shared" si="51"/>
        <v>-96</v>
      </c>
      <c r="Y69" s="1"/>
      <c r="Z69" s="5">
        <f t="shared" si="52"/>
        <v>-1</v>
      </c>
    </row>
    <row r="70" spans="1:26" s="24" customFormat="1" hidden="1" outlineLevel="2" x14ac:dyDescent="0.25">
      <c r="A70" s="25"/>
      <c r="B70" s="11" t="str">
        <f>CONCATENATE("          ", "6376", " - ", "TRAINING")</f>
        <v xml:space="preserve">          6376 - TRAINING</v>
      </c>
      <c r="C70" s="11"/>
      <c r="D70" s="6"/>
      <c r="E70" s="2"/>
      <c r="F70" s="7">
        <f t="shared" si="45"/>
        <v>0</v>
      </c>
      <c r="G70" s="2"/>
      <c r="H70" s="6"/>
      <c r="I70" s="2"/>
      <c r="J70" s="7">
        <f t="shared" si="46"/>
        <v>0</v>
      </c>
      <c r="K70" s="2"/>
      <c r="L70" s="6">
        <f t="shared" si="47"/>
        <v>0</v>
      </c>
      <c r="M70" s="2"/>
      <c r="N70" s="7">
        <f t="shared" si="48"/>
        <v>0</v>
      </c>
      <c r="O70" s="11"/>
      <c r="P70" s="6"/>
      <c r="Q70" s="2"/>
      <c r="R70" s="7">
        <f t="shared" si="49"/>
        <v>0</v>
      </c>
      <c r="S70" s="2"/>
      <c r="T70" s="6">
        <v>96</v>
      </c>
      <c r="U70" s="2"/>
      <c r="V70" s="7">
        <f t="shared" si="50"/>
        <v>2.7296792652454078E-4</v>
      </c>
      <c r="W70" s="2"/>
      <c r="X70" s="6">
        <f t="shared" si="51"/>
        <v>-96</v>
      </c>
      <c r="Y70" s="2"/>
      <c r="Z70" s="7">
        <f t="shared" si="52"/>
        <v>-1</v>
      </c>
    </row>
    <row r="71" spans="1:26" s="53" customFormat="1" x14ac:dyDescent="0.2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9" t="s">
        <v>0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8" t="s">
        <v>3</v>
      </c>
      <c r="C74" s="28"/>
      <c r="D74" s="20">
        <f>+D20-D22+D72</f>
        <v>-1825.26</v>
      </c>
      <c r="E74" s="14"/>
      <c r="F74" s="22">
        <f>IF(D$12=0,0,D74/D$12)</f>
        <v>0</v>
      </c>
      <c r="G74" s="14"/>
      <c r="H74" s="20">
        <f>+H20-H22+H72</f>
        <v>24671.360000000008</v>
      </c>
      <c r="I74" s="14"/>
      <c r="J74" s="22">
        <f>IF(H$12=0,0,H74/H$12)</f>
        <v>0.30907401043828348</v>
      </c>
      <c r="K74" s="15"/>
      <c r="L74" s="20">
        <f>+D74-H74</f>
        <v>-26496.620000000006</v>
      </c>
      <c r="M74" s="15"/>
      <c r="N74" s="22">
        <f>IF(H74=0,0,L74/H74)</f>
        <v>-1.0739829502710834</v>
      </c>
      <c r="O74" s="29"/>
      <c r="P74" s="20">
        <f>+P20-P22+P72</f>
        <v>-9473.15</v>
      </c>
      <c r="Q74" s="14"/>
      <c r="R74" s="22">
        <f>IF(P$12=0,0,P74/P$12)</f>
        <v>-9.7169482311187707</v>
      </c>
      <c r="S74" s="14"/>
      <c r="T74" s="20">
        <f>+T20-T22+T72</f>
        <v>65127.570000000036</v>
      </c>
      <c r="U74" s="14"/>
      <c r="V74" s="22">
        <f>IF(T$12=0,0,T74/T$12)</f>
        <v>0.18518476815085308</v>
      </c>
      <c r="W74" s="15"/>
      <c r="X74" s="20">
        <f>+P74-T74</f>
        <v>-74600.72000000003</v>
      </c>
      <c r="Y74" s="15"/>
      <c r="Z74" s="22">
        <f>IF(T74=0,0,X74/T74)</f>
        <v>-1.1454552964282252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1"/>
      <c r="B76" s="10" t="s">
        <v>13</v>
      </c>
      <c r="C76" s="10"/>
      <c r="D76" s="4">
        <v>-56.28</v>
      </c>
      <c r="E76" s="4"/>
      <c r="F76" s="12">
        <f>IF(D$12=0,0,D76/D$12)</f>
        <v>0</v>
      </c>
      <c r="G76" s="4"/>
      <c r="H76" s="4">
        <v>9874.81</v>
      </c>
      <c r="I76" s="4"/>
      <c r="J76" s="12">
        <f>IF(H$12=0,0,H76/H$12)</f>
        <v>0.12370810239143951</v>
      </c>
      <c r="K76" s="4"/>
      <c r="L76" s="4">
        <f>+D76-H76</f>
        <v>-9931.09</v>
      </c>
      <c r="M76" s="4"/>
      <c r="N76" s="12">
        <f>IF(H76=0,0,L76/H76)</f>
        <v>-1.005699350164712</v>
      </c>
      <c r="O76" s="10"/>
      <c r="P76" s="4">
        <v>154.91</v>
      </c>
      <c r="Q76" s="4"/>
      <c r="R76" s="12">
        <f>IF(P$12=0,0,P76/P$12)</f>
        <v>0.15889671867146712</v>
      </c>
      <c r="S76" s="4"/>
      <c r="T76" s="4">
        <v>37241.56</v>
      </c>
      <c r="U76" s="4"/>
      <c r="V76" s="12">
        <f>IF(T$12=0,0,T76/T$12)</f>
        <v>0.10589324389311745</v>
      </c>
      <c r="W76" s="4"/>
      <c r="X76" s="4">
        <f>+P76-T76</f>
        <v>-37086.649999999994</v>
      </c>
      <c r="Y76" s="4"/>
      <c r="Z76" s="12">
        <f>IF(T76=0,0,X76/T76)</f>
        <v>-0.99584039981139338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4</v>
      </c>
      <c r="C78" s="28"/>
      <c r="D78" s="31">
        <f>+D74-D76</f>
        <v>-1768.98</v>
      </c>
      <c r="E78" s="14"/>
      <c r="F78" s="34">
        <f>IF(D$12=0,0,D78/D$12)</f>
        <v>0</v>
      </c>
      <c r="G78" s="14"/>
      <c r="H78" s="31">
        <f>+H74-H76</f>
        <v>14796.550000000008</v>
      </c>
      <c r="I78" s="14"/>
      <c r="J78" s="34">
        <f>IF(H$12=0,0,H78/H$12)</f>
        <v>0.18536590804684397</v>
      </c>
      <c r="K78" s="15"/>
      <c r="L78" s="31">
        <f>D78-H78</f>
        <v>-16565.53000000001</v>
      </c>
      <c r="M78" s="15"/>
      <c r="N78" s="34">
        <f>IF(H78=0,0,L78/H78)</f>
        <v>-1.1195535445762694</v>
      </c>
      <c r="O78" s="29"/>
      <c r="P78" s="31">
        <f>+P74-P76</f>
        <v>-9628.06</v>
      </c>
      <c r="Q78" s="14"/>
      <c r="R78" s="34">
        <f>IF(P$12=0,0,P78/P$12)</f>
        <v>-9.8758449497902365</v>
      </c>
      <c r="S78" s="14"/>
      <c r="T78" s="31">
        <f>+T74-T76</f>
        <v>27886.010000000038</v>
      </c>
      <c r="U78" s="14"/>
      <c r="V78" s="34">
        <f>IF(T$12=0,0,T78/T$12)</f>
        <v>7.9291524257735627E-2</v>
      </c>
      <c r="W78" s="15"/>
      <c r="X78" s="31">
        <f>P78-T78</f>
        <v>-37514.070000000036</v>
      </c>
      <c r="Y78" s="15"/>
      <c r="Z78" s="34">
        <f>IF(T78=0,0,X78/T78)</f>
        <v>-1.3452648837176773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5</v>
      </c>
      <c r="C81" s="28"/>
      <c r="D81" s="32">
        <f>SUM(D78:D80)</f>
        <v>-1768.98</v>
      </c>
      <c r="E81" s="14"/>
      <c r="F81" s="30">
        <f>IF(D$12=0,0,D81/D$12)</f>
        <v>0</v>
      </c>
      <c r="G81" s="14"/>
      <c r="H81" s="32">
        <f>SUM(H78:H80)</f>
        <v>14796.550000000008</v>
      </c>
      <c r="I81" s="14"/>
      <c r="J81" s="30">
        <f>IF(H$12=0,0,H81/H$12)</f>
        <v>0.18536590804684397</v>
      </c>
      <c r="K81" s="15"/>
      <c r="L81" s="32">
        <f>+D81-H81</f>
        <v>-16565.53000000001</v>
      </c>
      <c r="M81" s="15"/>
      <c r="N81" s="30">
        <f>IF(H81=0,0,L81/H81)</f>
        <v>-1.1195535445762694</v>
      </c>
      <c r="O81" s="29"/>
      <c r="P81" s="32">
        <f>SUM(P78:P80)</f>
        <v>-9628.06</v>
      </c>
      <c r="Q81" s="14"/>
      <c r="R81" s="30">
        <f>IF(P$12=0,0,P81/P$12)</f>
        <v>-9.8758449497902365</v>
      </c>
      <c r="S81" s="14"/>
      <c r="T81" s="32">
        <f>SUM(T78:T80)</f>
        <v>27886.010000000038</v>
      </c>
      <c r="U81" s="14"/>
      <c r="V81" s="30">
        <f>IF(T$12=0,0,T81/T$12)</f>
        <v>7.9291524257735627E-2</v>
      </c>
      <c r="W81" s="15"/>
      <c r="X81" s="32">
        <f>+P81-T81</f>
        <v>-37514.070000000036</v>
      </c>
      <c r="Y81" s="15"/>
      <c r="Z81" s="30">
        <f>IF(T81=0,0,X81/T81)</f>
        <v>-1.3452648837176773</v>
      </c>
    </row>
    <row r="82" spans="1:26" ht="15.75" thickTop="1" x14ac:dyDescent="0.25">
      <c r="A82" s="9"/>
      <c r="C82" s="9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6" x14ac:dyDescent="0.25">
      <c r="A83" s="9"/>
      <c r="B83" s="54">
        <v>44174.686006400465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6" x14ac:dyDescent="0.25">
      <c r="A84" s="9"/>
      <c r="B84" s="56" t="s">
        <v>313</v>
      </c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61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","415", " - ", "Outpost")</f>
        <v>Department 415 - Outpost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8657.7200000000012</v>
      </c>
      <c r="E12" s="4"/>
      <c r="F12" s="12"/>
      <c r="G12" s="4"/>
      <c r="H12" s="4">
        <f>SUM(OSRRefH13x_0)</f>
        <v>84941.36</v>
      </c>
      <c r="I12" s="4"/>
      <c r="J12" s="12"/>
      <c r="K12" s="4"/>
      <c r="L12" s="4">
        <f t="shared" ref="L12:L14" si="0">+D12-H12</f>
        <v>-76283.64</v>
      </c>
      <c r="M12" s="4"/>
      <c r="N12" s="12">
        <f t="shared" ref="N12:N14" si="1">IF(H12=0,0,L12/H12)</f>
        <v>-0.89807415374559574</v>
      </c>
      <c r="O12" s="10"/>
      <c r="P12" s="4">
        <f>SUM(OSRRefP13x_0)</f>
        <v>35343.919999999998</v>
      </c>
      <c r="Q12" s="4"/>
      <c r="R12" s="12"/>
      <c r="S12" s="4"/>
      <c r="T12" s="4">
        <f>SUM(OSRRefT13x_0)</f>
        <v>396774</v>
      </c>
      <c r="U12" s="4"/>
      <c r="V12" s="12"/>
      <c r="W12" s="4"/>
      <c r="X12" s="4">
        <f t="shared" ref="X12:X14" si="2">+P12-T12</f>
        <v>-361430.08</v>
      </c>
      <c r="Y12" s="4"/>
      <c r="Z12" s="12">
        <f t="shared" ref="Z12:Z14" si="3">IF(T12=0,0,X12/T12)</f>
        <v>-0.91092178418948822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--4501.27</f>
        <v>4501.2700000000004</v>
      </c>
      <c r="E13" s="2"/>
      <c r="F13" s="19"/>
      <c r="G13" s="2"/>
      <c r="H13" s="2">
        <f>--23914.05</f>
        <v>23914.05</v>
      </c>
      <c r="I13" s="2"/>
      <c r="J13" s="19"/>
      <c r="K13" s="2"/>
      <c r="L13" s="2">
        <f t="shared" si="0"/>
        <v>-19412.78</v>
      </c>
      <c r="M13" s="2"/>
      <c r="N13" s="19">
        <f t="shared" si="1"/>
        <v>-0.81177299537301295</v>
      </c>
      <c r="O13" s="11"/>
      <c r="P13" s="2">
        <f>--17251.21</f>
        <v>17251.21</v>
      </c>
      <c r="Q13" s="2"/>
      <c r="R13" s="19"/>
      <c r="S13" s="2"/>
      <c r="T13" s="2">
        <f>--118734.8</f>
        <v>118734.8</v>
      </c>
      <c r="U13" s="2"/>
      <c r="V13" s="19"/>
      <c r="W13" s="2"/>
      <c r="X13" s="2">
        <f t="shared" si="2"/>
        <v>-101483.59</v>
      </c>
      <c r="Y13" s="2"/>
      <c r="Z13" s="19">
        <f t="shared" si="3"/>
        <v>-0.85470805526265248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--4156.45</f>
        <v>4156.45</v>
      </c>
      <c r="E14" s="2"/>
      <c r="F14" s="19"/>
      <c r="G14" s="2"/>
      <c r="H14" s="2">
        <f>--61027.31</f>
        <v>61027.31</v>
      </c>
      <c r="I14" s="2"/>
      <c r="J14" s="19"/>
      <c r="K14" s="2"/>
      <c r="L14" s="2">
        <f t="shared" si="0"/>
        <v>-56870.86</v>
      </c>
      <c r="M14" s="2"/>
      <c r="N14" s="19">
        <f t="shared" si="1"/>
        <v>-0.93189196771084948</v>
      </c>
      <c r="O14" s="11"/>
      <c r="P14" s="2">
        <f>--18092.71</f>
        <v>18092.71</v>
      </c>
      <c r="Q14" s="2"/>
      <c r="R14" s="19"/>
      <c r="S14" s="2"/>
      <c r="T14" s="2">
        <f>--278039.2</f>
        <v>278039.2</v>
      </c>
      <c r="U14" s="2"/>
      <c r="V14" s="19"/>
      <c r="W14" s="2"/>
      <c r="X14" s="2">
        <f t="shared" si="2"/>
        <v>-259946.49000000002</v>
      </c>
      <c r="Y14" s="2"/>
      <c r="Z14" s="19">
        <f t="shared" si="3"/>
        <v>-0.93492748504527423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2843.9300000000003</v>
      </c>
      <c r="E16" s="4"/>
      <c r="F16" s="12">
        <f t="shared" ref="F16:F18" si="4">IF(D$12=0,0,D16/D$12)</f>
        <v>0.32848486668545529</v>
      </c>
      <c r="G16" s="4"/>
      <c r="H16" s="4">
        <f>SUM(OSRRefH16x_0)</f>
        <v>28277.08</v>
      </c>
      <c r="I16" s="4"/>
      <c r="J16" s="12">
        <f t="shared" ref="J16:J18" si="5">IF(H$12=0,0,H16/H$12)</f>
        <v>0.33290119206944652</v>
      </c>
      <c r="K16" s="4"/>
      <c r="L16" s="4">
        <f t="shared" ref="L16:L18" si="6">+D16-H16</f>
        <v>-25433.15</v>
      </c>
      <c r="M16" s="4"/>
      <c r="N16" s="12">
        <f t="shared" ref="N16:N18" si="7">IF(H16=0,0,L16/H16)</f>
        <v>-0.89942631983217503</v>
      </c>
      <c r="O16" s="10"/>
      <c r="P16" s="4">
        <f>SUM(OSRRefP16x_0)</f>
        <v>14656.4</v>
      </c>
      <c r="Q16" s="4"/>
      <c r="R16" s="12">
        <f t="shared" ref="R16:R18" si="8">IF(P$12=0,0,P16/P$12)</f>
        <v>0.4146795262098828</v>
      </c>
      <c r="S16" s="4"/>
      <c r="T16" s="4">
        <f>SUM(OSRRefT16x_0)</f>
        <v>127847.32</v>
      </c>
      <c r="U16" s="4"/>
      <c r="V16" s="12">
        <f t="shared" ref="V16:V18" si="9">IF(T$12=0,0,T16/T$12)</f>
        <v>0.32221697994324228</v>
      </c>
      <c r="W16" s="4"/>
      <c r="X16" s="4">
        <f t="shared" ref="X16:X18" si="10">+P16-T16</f>
        <v>-113190.92000000001</v>
      </c>
      <c r="Y16" s="4"/>
      <c r="Z16" s="12">
        <f t="shared" ref="Z16:Z18" si="11">IF(T16=0,0,X16/T16)</f>
        <v>-0.88536013113141521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1847.93</v>
      </c>
      <c r="E17" s="2"/>
      <c r="F17" s="19">
        <f t="shared" si="4"/>
        <v>0.21344303119065988</v>
      </c>
      <c r="G17" s="2"/>
      <c r="H17" s="2">
        <v>25060.080000000002</v>
      </c>
      <c r="I17" s="2"/>
      <c r="J17" s="19">
        <f t="shared" si="5"/>
        <v>0.29502800520264805</v>
      </c>
      <c r="K17" s="2"/>
      <c r="L17" s="2">
        <f t="shared" si="6"/>
        <v>-23212.15</v>
      </c>
      <c r="M17" s="2"/>
      <c r="N17" s="19">
        <f t="shared" si="7"/>
        <v>-0.9262600119393074</v>
      </c>
      <c r="O17" s="11"/>
      <c r="P17" s="2">
        <v>11477.34</v>
      </c>
      <c r="Q17" s="2"/>
      <c r="R17" s="19">
        <f t="shared" si="8"/>
        <v>0.32473307997528289</v>
      </c>
      <c r="S17" s="2"/>
      <c r="T17" s="2">
        <v>127187.32</v>
      </c>
      <c r="U17" s="2"/>
      <c r="V17" s="19">
        <f t="shared" si="9"/>
        <v>0.32055356449767375</v>
      </c>
      <c r="W17" s="2"/>
      <c r="X17" s="2">
        <f t="shared" si="10"/>
        <v>-115709.98000000001</v>
      </c>
      <c r="Y17" s="2"/>
      <c r="Z17" s="19">
        <f t="shared" si="11"/>
        <v>-0.90976034403429529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996</v>
      </c>
      <c r="E18" s="2"/>
      <c r="F18" s="19">
        <f t="shared" si="4"/>
        <v>0.11504183549479538</v>
      </c>
      <c r="G18" s="2"/>
      <c r="H18" s="2">
        <v>3217</v>
      </c>
      <c r="I18" s="2"/>
      <c r="J18" s="19">
        <f t="shared" si="5"/>
        <v>3.7873186866798463E-2</v>
      </c>
      <c r="K18" s="2"/>
      <c r="L18" s="2">
        <f t="shared" si="6"/>
        <v>-2221</v>
      </c>
      <c r="M18" s="2"/>
      <c r="N18" s="19">
        <f t="shared" si="7"/>
        <v>-0.6903947777432391</v>
      </c>
      <c r="O18" s="11"/>
      <c r="P18" s="2">
        <v>3179.06</v>
      </c>
      <c r="Q18" s="2"/>
      <c r="R18" s="19">
        <f t="shared" si="8"/>
        <v>8.9946446234599894E-2</v>
      </c>
      <c r="S18" s="2"/>
      <c r="T18" s="2">
        <v>660</v>
      </c>
      <c r="U18" s="2"/>
      <c r="V18" s="19">
        <f t="shared" si="9"/>
        <v>1.6634154455685099E-3</v>
      </c>
      <c r="W18" s="2"/>
      <c r="X18" s="2">
        <f t="shared" si="10"/>
        <v>2519.06</v>
      </c>
      <c r="Y18" s="2"/>
      <c r="Z18" s="19">
        <f t="shared" si="11"/>
        <v>3.8167575757575758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5813.7900000000009</v>
      </c>
      <c r="E20" s="14"/>
      <c r="F20" s="22">
        <f>IF(D$12=0,0,D20/D$12)</f>
        <v>0.67151513331454471</v>
      </c>
      <c r="G20" s="14"/>
      <c r="H20" s="20">
        <f>H12-H16</f>
        <v>56664.28</v>
      </c>
      <c r="I20" s="14"/>
      <c r="J20" s="22">
        <f>IF(H$12=0,0,H20/H$12)</f>
        <v>0.66709880793055354</v>
      </c>
      <c r="K20" s="15"/>
      <c r="L20" s="20">
        <f>+D20-H20</f>
        <v>-50850.49</v>
      </c>
      <c r="M20" s="15"/>
      <c r="N20" s="22">
        <f>IF(H20=0,0,L20/H20)</f>
        <v>-0.89739938458584489</v>
      </c>
      <c r="O20" s="29"/>
      <c r="P20" s="20">
        <f>P12-P16</f>
        <v>20687.519999999997</v>
      </c>
      <c r="Q20" s="14"/>
      <c r="R20" s="22">
        <f>IF(P$12=0,0,P20/P$12)</f>
        <v>0.5853204737901172</v>
      </c>
      <c r="S20" s="14"/>
      <c r="T20" s="20">
        <f>T12-T16</f>
        <v>268926.68</v>
      </c>
      <c r="U20" s="14"/>
      <c r="V20" s="22">
        <f>IF(T$12=0,0,T20/T$12)</f>
        <v>0.67778302005675772</v>
      </c>
      <c r="W20" s="15"/>
      <c r="X20" s="20">
        <f>+P20-T20</f>
        <v>-248239.16</v>
      </c>
      <c r="Y20" s="15"/>
      <c r="Z20" s="22">
        <f>IF(T20=0,0,X20/T20)</f>
        <v>-0.92307375378300138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57889.59</v>
      </c>
      <c r="E22" s="21"/>
      <c r="F22" s="35">
        <f t="shared" ref="F22:F31" si="12">IF(D$12=0,0,D22/D$12)</f>
        <v>6.6864705719288668</v>
      </c>
      <c r="G22" s="21"/>
      <c r="H22" s="21">
        <f>SUM(OSRRefH22x_0)</f>
        <v>67799.219999999987</v>
      </c>
      <c r="I22" s="21"/>
      <c r="J22" s="35">
        <f t="shared" ref="J22:J31" si="13">IF(H$12=0,0,H22/H$12)</f>
        <v>0.79818853853999971</v>
      </c>
      <c r="K22" s="4"/>
      <c r="L22" s="21">
        <f t="shared" ref="L22:L31" si="14">+D22-H22</f>
        <v>-9909.6299999999901</v>
      </c>
      <c r="M22" s="4"/>
      <c r="N22" s="35">
        <f t="shared" ref="N22:N31" si="15">IF(H22=0,0,L22/H22)</f>
        <v>-0.14616141601629035</v>
      </c>
      <c r="O22" s="10"/>
      <c r="P22" s="21">
        <f>SUM(OSRRefP22x_0)</f>
        <v>323803.5</v>
      </c>
      <c r="Q22" s="21"/>
      <c r="R22" s="35">
        <f t="shared" ref="R22:R31" si="16">IF(P$12=0,0,P22/P$12)</f>
        <v>9.1615050056699996</v>
      </c>
      <c r="S22" s="21"/>
      <c r="T22" s="21">
        <f>SUM(OSRRefT22x_0)</f>
        <v>353581.00000000006</v>
      </c>
      <c r="U22" s="21"/>
      <c r="V22" s="35">
        <f t="shared" ref="V22:V31" si="17">IF(T$12=0,0,T22/T$12)</f>
        <v>0.89113954039327192</v>
      </c>
      <c r="W22" s="4"/>
      <c r="X22" s="21">
        <f t="shared" ref="X22:X31" si="18">+P22-T22</f>
        <v>-29777.500000000058</v>
      </c>
      <c r="Y22" s="4"/>
      <c r="Z22" s="35">
        <f t="shared" ref="Z22:Z31" si="19">IF(T22=0,0,X22/T22)</f>
        <v>-8.4216912107833997E-2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14153.699999999999</v>
      </c>
      <c r="E23" s="1"/>
      <c r="F23" s="5">
        <f t="shared" si="12"/>
        <v>1.6348068544605274</v>
      </c>
      <c r="G23" s="1"/>
      <c r="H23" s="1">
        <f>SUM(OSRRefH22_0x_0)</f>
        <v>7416.19</v>
      </c>
      <c r="I23" s="1"/>
      <c r="J23" s="5">
        <f t="shared" si="13"/>
        <v>8.7309527419857647E-2</v>
      </c>
      <c r="K23" s="1"/>
      <c r="L23" s="1">
        <f t="shared" si="14"/>
        <v>6737.5099999999993</v>
      </c>
      <c r="M23" s="1"/>
      <c r="N23" s="5">
        <f t="shared" si="15"/>
        <v>0.90848670274089516</v>
      </c>
      <c r="O23" s="13"/>
      <c r="P23" s="1">
        <f>SUM(OSRRefP22_0x_0)</f>
        <v>68795.83</v>
      </c>
      <c r="Q23" s="1"/>
      <c r="R23" s="5">
        <f t="shared" si="16"/>
        <v>1.94646858639336</v>
      </c>
      <c r="S23" s="1"/>
      <c r="T23" s="1">
        <f>SUM(OSRRefT22_0x_0)</f>
        <v>41963.61</v>
      </c>
      <c r="U23" s="1"/>
      <c r="V23" s="5">
        <f t="shared" si="17"/>
        <v>0.10576199549365634</v>
      </c>
      <c r="W23" s="1"/>
      <c r="X23" s="1">
        <f t="shared" si="18"/>
        <v>26832.22</v>
      </c>
      <c r="Y23" s="1"/>
      <c r="Z23" s="5">
        <f t="shared" si="19"/>
        <v>0.63941638958135394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>
        <v>1432.28</v>
      </c>
      <c r="E24" s="2"/>
      <c r="F24" s="7">
        <f t="shared" si="12"/>
        <v>0.16543385556474449</v>
      </c>
      <c r="G24" s="2"/>
      <c r="H24" s="6">
        <v>1249.33</v>
      </c>
      <c r="I24" s="2"/>
      <c r="J24" s="7">
        <f t="shared" si="13"/>
        <v>1.4708146890984555E-2</v>
      </c>
      <c r="K24" s="2"/>
      <c r="L24" s="6">
        <f t="shared" si="14"/>
        <v>182.95000000000005</v>
      </c>
      <c r="M24" s="2"/>
      <c r="N24" s="7">
        <f t="shared" si="15"/>
        <v>0.14643849103119277</v>
      </c>
      <c r="O24" s="11"/>
      <c r="P24" s="6">
        <v>8284.06</v>
      </c>
      <c r="Q24" s="2"/>
      <c r="R24" s="7">
        <f t="shared" si="16"/>
        <v>0.23438430145835548</v>
      </c>
      <c r="S24" s="2"/>
      <c r="T24" s="6">
        <v>7517.38</v>
      </c>
      <c r="U24" s="2"/>
      <c r="V24" s="7">
        <f t="shared" si="17"/>
        <v>1.8946251518496677E-2</v>
      </c>
      <c r="W24" s="2"/>
      <c r="X24" s="6">
        <f t="shared" si="18"/>
        <v>766.67999999999938</v>
      </c>
      <c r="Y24" s="2"/>
      <c r="Z24" s="7">
        <f t="shared" si="19"/>
        <v>0.10198766059451556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>
        <v>1051.44</v>
      </c>
      <c r="E25" s="2"/>
      <c r="F25" s="7">
        <f t="shared" si="12"/>
        <v>0.12144536898860207</v>
      </c>
      <c r="G25" s="2"/>
      <c r="H25" s="6">
        <v>1043.96</v>
      </c>
      <c r="I25" s="2"/>
      <c r="J25" s="7">
        <f t="shared" si="13"/>
        <v>1.2290361256283159E-2</v>
      </c>
      <c r="K25" s="2"/>
      <c r="L25" s="6">
        <f t="shared" si="14"/>
        <v>7.4800000000000182</v>
      </c>
      <c r="M25" s="2"/>
      <c r="N25" s="7">
        <f t="shared" si="15"/>
        <v>7.1650254799034618E-3</v>
      </c>
      <c r="O25" s="11"/>
      <c r="P25" s="6">
        <v>3480.19</v>
      </c>
      <c r="Q25" s="2"/>
      <c r="R25" s="7">
        <f t="shared" si="16"/>
        <v>9.8466440621187465E-2</v>
      </c>
      <c r="S25" s="2"/>
      <c r="T25" s="6">
        <v>3164.39</v>
      </c>
      <c r="U25" s="2"/>
      <c r="V25" s="7">
        <f t="shared" si="17"/>
        <v>7.9752957603068751E-3</v>
      </c>
      <c r="W25" s="2"/>
      <c r="X25" s="6">
        <f t="shared" si="18"/>
        <v>315.80000000000018</v>
      </c>
      <c r="Y25" s="2"/>
      <c r="Z25" s="7">
        <f t="shared" si="19"/>
        <v>9.9798065345927708E-2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>
        <v>6712.24</v>
      </c>
      <c r="E26" s="2"/>
      <c r="F26" s="7">
        <f t="shared" si="12"/>
        <v>0.77528956815420214</v>
      </c>
      <c r="G26" s="2"/>
      <c r="H26" s="6">
        <v>3090.03</v>
      </c>
      <c r="I26" s="2"/>
      <c r="J26" s="7">
        <f t="shared" si="13"/>
        <v>3.6378390927576394E-2</v>
      </c>
      <c r="K26" s="2"/>
      <c r="L26" s="6">
        <f t="shared" si="14"/>
        <v>3622.2099999999996</v>
      </c>
      <c r="M26" s="2"/>
      <c r="N26" s="7">
        <f t="shared" si="15"/>
        <v>1.172224865130759</v>
      </c>
      <c r="O26" s="11"/>
      <c r="P26" s="6">
        <v>34219.15</v>
      </c>
      <c r="Q26" s="2"/>
      <c r="R26" s="7">
        <f t="shared" si="16"/>
        <v>0.96817642185699837</v>
      </c>
      <c r="S26" s="2"/>
      <c r="T26" s="6">
        <v>15450.470000000001</v>
      </c>
      <c r="U26" s="2"/>
      <c r="V26" s="7">
        <f t="shared" si="17"/>
        <v>3.8940227938322573E-2</v>
      </c>
      <c r="W26" s="2"/>
      <c r="X26" s="6">
        <f t="shared" si="18"/>
        <v>18768.68</v>
      </c>
      <c r="Y26" s="2"/>
      <c r="Z26" s="7">
        <f t="shared" si="19"/>
        <v>1.214764340502263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>
        <v>94.49</v>
      </c>
      <c r="E27" s="2"/>
      <c r="F27" s="7">
        <f t="shared" si="12"/>
        <v>1.091395887138877E-2</v>
      </c>
      <c r="G27" s="2"/>
      <c r="H27" s="6">
        <v>69.959999999999994</v>
      </c>
      <c r="I27" s="2"/>
      <c r="J27" s="7">
        <f t="shared" si="13"/>
        <v>8.2362702928231893E-4</v>
      </c>
      <c r="K27" s="2"/>
      <c r="L27" s="6">
        <f t="shared" si="14"/>
        <v>24.53</v>
      </c>
      <c r="M27" s="2"/>
      <c r="N27" s="7">
        <f t="shared" si="15"/>
        <v>0.3506289308176101</v>
      </c>
      <c r="O27" s="11"/>
      <c r="P27" s="6">
        <v>313</v>
      </c>
      <c r="Q27" s="2"/>
      <c r="R27" s="7">
        <f t="shared" si="16"/>
        <v>8.8558371567160638E-3</v>
      </c>
      <c r="S27" s="2"/>
      <c r="T27" s="6">
        <v>310.64</v>
      </c>
      <c r="U27" s="2"/>
      <c r="V27" s="7">
        <f t="shared" si="17"/>
        <v>7.8291420304757865E-4</v>
      </c>
      <c r="W27" s="2"/>
      <c r="X27" s="6">
        <f t="shared" si="18"/>
        <v>2.3600000000000136</v>
      </c>
      <c r="Y27" s="2"/>
      <c r="Z27" s="7">
        <f t="shared" si="19"/>
        <v>7.5972186453773299E-3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>
        <v>2147.73</v>
      </c>
      <c r="E28" s="2"/>
      <c r="F28" s="7">
        <f t="shared" si="12"/>
        <v>0.24807108568999686</v>
      </c>
      <c r="G28" s="2"/>
      <c r="H28" s="6">
        <v>523.63</v>
      </c>
      <c r="I28" s="2"/>
      <c r="J28" s="7">
        <f t="shared" si="13"/>
        <v>6.1646057939265392E-3</v>
      </c>
      <c r="K28" s="2"/>
      <c r="L28" s="6">
        <f t="shared" si="14"/>
        <v>1624.1</v>
      </c>
      <c r="M28" s="2"/>
      <c r="N28" s="7">
        <f t="shared" si="15"/>
        <v>3.1016175543800011</v>
      </c>
      <c r="O28" s="11"/>
      <c r="P28" s="6">
        <v>7728.84</v>
      </c>
      <c r="Q28" s="2"/>
      <c r="R28" s="7">
        <f t="shared" si="16"/>
        <v>0.21867523466553795</v>
      </c>
      <c r="S28" s="2"/>
      <c r="T28" s="6">
        <v>3167.08</v>
      </c>
      <c r="U28" s="2"/>
      <c r="V28" s="7">
        <f t="shared" si="17"/>
        <v>7.9820754384107833E-3</v>
      </c>
      <c r="W28" s="2"/>
      <c r="X28" s="6">
        <f t="shared" si="18"/>
        <v>4561.76</v>
      </c>
      <c r="Y28" s="2"/>
      <c r="Z28" s="7">
        <f t="shared" si="19"/>
        <v>1.4403677835735127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>
        <v>1377.86</v>
      </c>
      <c r="E29" s="2"/>
      <c r="F29" s="7">
        <f t="shared" si="12"/>
        <v>0.15914813599885416</v>
      </c>
      <c r="G29" s="2"/>
      <c r="H29" s="6">
        <v>714.17</v>
      </c>
      <c r="I29" s="2"/>
      <c r="J29" s="7">
        <f t="shared" si="13"/>
        <v>8.4078003931182636E-3</v>
      </c>
      <c r="K29" s="2"/>
      <c r="L29" s="6">
        <f t="shared" si="14"/>
        <v>663.68999999999994</v>
      </c>
      <c r="M29" s="2"/>
      <c r="N29" s="7">
        <f t="shared" si="15"/>
        <v>0.92931654928098351</v>
      </c>
      <c r="O29" s="11"/>
      <c r="P29" s="6">
        <v>7438.36</v>
      </c>
      <c r="Q29" s="2"/>
      <c r="R29" s="7">
        <f t="shared" si="16"/>
        <v>0.21045656508955429</v>
      </c>
      <c r="S29" s="2"/>
      <c r="T29" s="6">
        <v>5103.3999999999996</v>
      </c>
      <c r="U29" s="2"/>
      <c r="V29" s="7">
        <f t="shared" si="17"/>
        <v>1.286223391653687E-2</v>
      </c>
      <c r="W29" s="2"/>
      <c r="X29" s="6">
        <f t="shared" si="18"/>
        <v>2334.96</v>
      </c>
      <c r="Y29" s="2"/>
      <c r="Z29" s="7">
        <f t="shared" si="19"/>
        <v>0.45753027393502377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>
        <v>857.52</v>
      </c>
      <c r="E30" s="2"/>
      <c r="F30" s="7">
        <f t="shared" si="12"/>
        <v>9.9046862222386484E-2</v>
      </c>
      <c r="G30" s="2"/>
      <c r="H30" s="6">
        <v>392.9</v>
      </c>
      <c r="I30" s="2"/>
      <c r="J30" s="7">
        <f t="shared" si="13"/>
        <v>4.6255440223702564E-3</v>
      </c>
      <c r="K30" s="2"/>
      <c r="L30" s="6">
        <f t="shared" si="14"/>
        <v>464.62</v>
      </c>
      <c r="M30" s="2"/>
      <c r="N30" s="7">
        <f t="shared" si="15"/>
        <v>1.1825400865360143</v>
      </c>
      <c r="O30" s="11"/>
      <c r="P30" s="6">
        <v>4727.08</v>
      </c>
      <c r="Q30" s="2"/>
      <c r="R30" s="7">
        <f t="shared" si="16"/>
        <v>0.13374520992578073</v>
      </c>
      <c r="S30" s="2"/>
      <c r="T30" s="6">
        <v>5603.88</v>
      </c>
      <c r="U30" s="2"/>
      <c r="V30" s="7">
        <f t="shared" si="17"/>
        <v>1.4123606889564337E-2</v>
      </c>
      <c r="W30" s="2"/>
      <c r="X30" s="6">
        <f t="shared" si="18"/>
        <v>-876.80000000000018</v>
      </c>
      <c r="Y30" s="2"/>
      <c r="Z30" s="7">
        <f t="shared" si="19"/>
        <v>-0.15646302204900894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>
        <v>480.14</v>
      </c>
      <c r="E31" s="2"/>
      <c r="F31" s="7">
        <f t="shared" si="12"/>
        <v>5.5458018970352463E-2</v>
      </c>
      <c r="G31" s="2"/>
      <c r="H31" s="6">
        <v>332.21</v>
      </c>
      <c r="I31" s="2"/>
      <c r="J31" s="7">
        <f t="shared" si="13"/>
        <v>3.911051106316169E-3</v>
      </c>
      <c r="K31" s="2"/>
      <c r="L31" s="6">
        <f t="shared" si="14"/>
        <v>147.93</v>
      </c>
      <c r="M31" s="2"/>
      <c r="N31" s="7">
        <f t="shared" si="15"/>
        <v>0.44529062942114933</v>
      </c>
      <c r="O31" s="11"/>
      <c r="P31" s="6">
        <v>2605.15</v>
      </c>
      <c r="Q31" s="2"/>
      <c r="R31" s="7">
        <f t="shared" si="16"/>
        <v>7.3708575619229569E-2</v>
      </c>
      <c r="S31" s="2"/>
      <c r="T31" s="6">
        <v>1646.37</v>
      </c>
      <c r="U31" s="2"/>
      <c r="V31" s="7">
        <f t="shared" si="17"/>
        <v>4.1493898289706481E-3</v>
      </c>
      <c r="W31" s="2"/>
      <c r="X31" s="6">
        <f t="shared" si="18"/>
        <v>958.7800000000002</v>
      </c>
      <c r="Y31" s="2"/>
      <c r="Z31" s="7">
        <f t="shared" si="19"/>
        <v>0.58235997983442378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15260.3</v>
      </c>
      <c r="E32" s="1"/>
      <c r="F32" s="5">
        <f t="shared" ref="F32:F37" si="20">IF(D$12=0,0,D32/D$12)</f>
        <v>1.7626234158646845</v>
      </c>
      <c r="G32" s="1"/>
      <c r="H32" s="1">
        <f>SUM(OSRRefH22_1x_0)</f>
        <v>23181.29</v>
      </c>
      <c r="I32" s="1"/>
      <c r="J32" s="5">
        <f t="shared" ref="J32:J37" si="21">IF(H$12=0,0,H32/H$12)</f>
        <v>0.27290933415711732</v>
      </c>
      <c r="K32" s="1"/>
      <c r="L32" s="1">
        <f t="shared" ref="L32:L37" si="22">+D32-H32</f>
        <v>-7920.9900000000016</v>
      </c>
      <c r="M32" s="1"/>
      <c r="N32" s="5">
        <f t="shared" ref="N32:N37" si="23">IF(H32=0,0,L32/H32)</f>
        <v>-0.34169755005006197</v>
      </c>
      <c r="O32" s="13"/>
      <c r="P32" s="1">
        <f>SUM(OSRRefP22_1x_0)</f>
        <v>92474.010000000024</v>
      </c>
      <c r="Q32" s="1"/>
      <c r="R32" s="5">
        <f t="shared" ref="R32:R37" si="24">IF(P$12=0,0,P32/P$12)</f>
        <v>2.6164050280783804</v>
      </c>
      <c r="S32" s="1"/>
      <c r="T32" s="1">
        <f>SUM(OSRRefT22_1x_0)</f>
        <v>124206.26999999999</v>
      </c>
      <c r="U32" s="1"/>
      <c r="V32" s="5">
        <f t="shared" ref="V32:V37" si="25">IF(T$12=0,0,T32/T$12)</f>
        <v>0.31304034538553432</v>
      </c>
      <c r="W32" s="1"/>
      <c r="X32" s="1">
        <f t="shared" ref="X32:X37" si="26">+P32-T32</f>
        <v>-31732.259999999966</v>
      </c>
      <c r="Y32" s="1"/>
      <c r="Z32" s="5">
        <f t="shared" ref="Z32:Z37" si="27">IF(T32=0,0,X32/T32)</f>
        <v>-0.25548033927755798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>
        <v>12438.05</v>
      </c>
      <c r="E33" s="2"/>
      <c r="F33" s="7">
        <f t="shared" si="20"/>
        <v>1.4366426726667065</v>
      </c>
      <c r="G33" s="2"/>
      <c r="H33" s="6">
        <v>4866.91</v>
      </c>
      <c r="I33" s="2"/>
      <c r="J33" s="7">
        <f t="shared" si="21"/>
        <v>5.7297293097261448E-2</v>
      </c>
      <c r="K33" s="2"/>
      <c r="L33" s="6">
        <f t="shared" si="22"/>
        <v>7571.1399999999994</v>
      </c>
      <c r="M33" s="2"/>
      <c r="N33" s="7">
        <f t="shared" si="23"/>
        <v>1.5556359168342953</v>
      </c>
      <c r="O33" s="11"/>
      <c r="P33" s="6">
        <v>72108.12000000001</v>
      </c>
      <c r="Q33" s="2"/>
      <c r="R33" s="7">
        <f t="shared" si="24"/>
        <v>2.0401845635685012</v>
      </c>
      <c r="S33" s="2"/>
      <c r="T33" s="6">
        <v>26604.329999999998</v>
      </c>
      <c r="U33" s="2"/>
      <c r="V33" s="7">
        <f t="shared" si="25"/>
        <v>6.7051596122729817E-2</v>
      </c>
      <c r="W33" s="2"/>
      <c r="X33" s="6">
        <f t="shared" si="26"/>
        <v>45503.790000000008</v>
      </c>
      <c r="Y33" s="2"/>
      <c r="Z33" s="7">
        <f t="shared" si="27"/>
        <v>1.7103903763034067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>
        <v>2751.03</v>
      </c>
      <c r="E34" s="2"/>
      <c r="F34" s="7">
        <f t="shared" si="20"/>
        <v>0.31775455893699495</v>
      </c>
      <c r="G34" s="2"/>
      <c r="H34" s="6">
        <v>3225.44</v>
      </c>
      <c r="I34" s="2"/>
      <c r="J34" s="7">
        <f t="shared" si="21"/>
        <v>3.7972549532995468E-2</v>
      </c>
      <c r="K34" s="2"/>
      <c r="L34" s="6">
        <f t="shared" si="22"/>
        <v>-474.40999999999985</v>
      </c>
      <c r="M34" s="2"/>
      <c r="N34" s="7">
        <f t="shared" si="23"/>
        <v>-0.14708380872067062</v>
      </c>
      <c r="O34" s="11"/>
      <c r="P34" s="6">
        <v>18098.329999999998</v>
      </c>
      <c r="Q34" s="2"/>
      <c r="R34" s="7">
        <f t="shared" si="24"/>
        <v>0.51206346098565181</v>
      </c>
      <c r="S34" s="2"/>
      <c r="T34" s="6">
        <v>16989.289999999997</v>
      </c>
      <c r="U34" s="2"/>
      <c r="V34" s="7">
        <f t="shared" si="25"/>
        <v>4.2818556659458523E-2</v>
      </c>
      <c r="W34" s="2"/>
      <c r="X34" s="6">
        <f t="shared" si="26"/>
        <v>1109.0400000000009</v>
      </c>
      <c r="Y34" s="2"/>
      <c r="Z34" s="7">
        <f t="shared" si="27"/>
        <v>6.5278772685615535E-2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>
        <v>71.22</v>
      </c>
      <c r="E35" s="2"/>
      <c r="F35" s="7">
        <f t="shared" si="20"/>
        <v>8.2261842609832603E-3</v>
      </c>
      <c r="G35" s="2"/>
      <c r="H35" s="6">
        <v>7812.93</v>
      </c>
      <c r="I35" s="2"/>
      <c r="J35" s="7">
        <f t="shared" si="21"/>
        <v>9.1980279100782006E-2</v>
      </c>
      <c r="K35" s="2"/>
      <c r="L35" s="6">
        <f t="shared" si="22"/>
        <v>-7741.71</v>
      </c>
      <c r="M35" s="2"/>
      <c r="N35" s="7">
        <f t="shared" si="23"/>
        <v>-0.9908843417258314</v>
      </c>
      <c r="O35" s="11"/>
      <c r="P35" s="6">
        <v>2197.85</v>
      </c>
      <c r="Q35" s="2"/>
      <c r="R35" s="7">
        <f t="shared" si="24"/>
        <v>6.2184669951720124E-2</v>
      </c>
      <c r="S35" s="2"/>
      <c r="T35" s="6">
        <v>39315.299999999996</v>
      </c>
      <c r="U35" s="2"/>
      <c r="V35" s="7">
        <f t="shared" si="25"/>
        <v>9.9087389798726722E-2</v>
      </c>
      <c r="W35" s="2"/>
      <c r="X35" s="6">
        <f t="shared" si="26"/>
        <v>-37117.449999999997</v>
      </c>
      <c r="Y35" s="2"/>
      <c r="Z35" s="7">
        <f t="shared" si="27"/>
        <v>-0.94409682744376877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/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200.5</v>
      </c>
      <c r="U36" s="2"/>
      <c r="V36" s="7">
        <f t="shared" si="25"/>
        <v>5.0532544975225187E-4</v>
      </c>
      <c r="W36" s="2"/>
      <c r="X36" s="6">
        <f t="shared" si="26"/>
        <v>-200.5</v>
      </c>
      <c r="Y36" s="2"/>
      <c r="Z36" s="7">
        <f t="shared" si="27"/>
        <v>-1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20"/>
        <v>0</v>
      </c>
      <c r="G37" s="2"/>
      <c r="H37" s="6">
        <v>7276.01</v>
      </c>
      <c r="I37" s="2"/>
      <c r="J37" s="7">
        <f t="shared" si="21"/>
        <v>8.5659212426078421E-2</v>
      </c>
      <c r="K37" s="2"/>
      <c r="L37" s="6">
        <f t="shared" si="22"/>
        <v>-7276.01</v>
      </c>
      <c r="M37" s="2"/>
      <c r="N37" s="7">
        <f t="shared" si="23"/>
        <v>-1</v>
      </c>
      <c r="O37" s="11"/>
      <c r="P37" s="6">
        <v>69.709999999999994</v>
      </c>
      <c r="Q37" s="2"/>
      <c r="R37" s="7">
        <f t="shared" si="24"/>
        <v>1.9723335725069543E-3</v>
      </c>
      <c r="S37" s="2"/>
      <c r="T37" s="6">
        <v>41096.85</v>
      </c>
      <c r="U37" s="2"/>
      <c r="V37" s="7">
        <f t="shared" si="25"/>
        <v>0.103577477354867</v>
      </c>
      <c r="W37" s="2"/>
      <c r="X37" s="6">
        <f t="shared" si="26"/>
        <v>-41027.14</v>
      </c>
      <c r="Y37" s="2"/>
      <c r="Z37" s="7">
        <f t="shared" si="27"/>
        <v>-0.99830376294046874</v>
      </c>
    </row>
    <row r="38" spans="1:26" s="26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15.9</v>
      </c>
      <c r="E38" s="1"/>
      <c r="F38" s="5">
        <f t="shared" ref="F38:F46" si="28">IF(D$12=0,0,D38/D$12)</f>
        <v>1.8365112292843841E-3</v>
      </c>
      <c r="G38" s="1"/>
      <c r="H38" s="1">
        <f>SUM(OSRRefH22_2x_0)</f>
        <v>652.66999999999996</v>
      </c>
      <c r="I38" s="1"/>
      <c r="J38" s="5">
        <f t="shared" ref="J38:J46" si="29">IF(H$12=0,0,H38/H$12)</f>
        <v>7.6837714865879234E-3</v>
      </c>
      <c r="K38" s="1"/>
      <c r="L38" s="1">
        <f t="shared" ref="L38:L46" si="30">+D38-H38</f>
        <v>-636.77</v>
      </c>
      <c r="M38" s="1"/>
      <c r="N38" s="5">
        <f t="shared" ref="N38:N46" si="31">IF(H38=0,0,L38/H38)</f>
        <v>-0.97563853095745168</v>
      </c>
      <c r="O38" s="13"/>
      <c r="P38" s="1">
        <f>SUM(OSRRefP22_2x_0)</f>
        <v>126.53</v>
      </c>
      <c r="Q38" s="1"/>
      <c r="R38" s="5">
        <f t="shared" ref="R38:R46" si="32">IF(P$12=0,0,P38/P$12)</f>
        <v>3.5799650972501073E-3</v>
      </c>
      <c r="S38" s="1"/>
      <c r="T38" s="1">
        <f>SUM(OSRRefT22_2x_0)</f>
        <v>3241.65</v>
      </c>
      <c r="U38" s="1"/>
      <c r="V38" s="5">
        <f t="shared" ref="V38:V46" si="33">IF(T$12=0,0,T38/T$12)</f>
        <v>8.1700161804956987E-3</v>
      </c>
      <c r="W38" s="1"/>
      <c r="X38" s="1">
        <f t="shared" ref="X38:X46" si="34">+P38-T38</f>
        <v>-3115.12</v>
      </c>
      <c r="Y38" s="1"/>
      <c r="Z38" s="5">
        <f t="shared" ref="Z38:Z46" si="35">IF(T38=0,0,X38/T38)</f>
        <v>-0.96096740857279461</v>
      </c>
    </row>
    <row r="39" spans="1:26" s="24" customFormat="1" hidden="1" outlineLevel="2" x14ac:dyDescent="0.25">
      <c r="A39" s="25"/>
      <c r="B39" s="11" t="str">
        <f>CONCATENATE("          ", "6362", " - ", "ADVERTISING EXPENSE")</f>
        <v xml:space="preserve">          6362 - ADVERTISING EXPENSE</v>
      </c>
      <c r="C39" s="11"/>
      <c r="D39" s="6">
        <v>15.9</v>
      </c>
      <c r="E39" s="2"/>
      <c r="F39" s="7">
        <f t="shared" si="28"/>
        <v>1.8365112292843841E-3</v>
      </c>
      <c r="G39" s="2"/>
      <c r="H39" s="6">
        <v>652.66999999999996</v>
      </c>
      <c r="I39" s="2"/>
      <c r="J39" s="7">
        <f t="shared" si="29"/>
        <v>7.6837714865879234E-3</v>
      </c>
      <c r="K39" s="2"/>
      <c r="L39" s="6">
        <f t="shared" si="30"/>
        <v>-636.77</v>
      </c>
      <c r="M39" s="2"/>
      <c r="N39" s="7">
        <f t="shared" si="31"/>
        <v>-0.97563853095745168</v>
      </c>
      <c r="O39" s="11"/>
      <c r="P39" s="6">
        <v>126.53</v>
      </c>
      <c r="Q39" s="2"/>
      <c r="R39" s="7">
        <f t="shared" si="32"/>
        <v>3.5799650972501073E-3</v>
      </c>
      <c r="S39" s="2"/>
      <c r="T39" s="6">
        <v>3241.65</v>
      </c>
      <c r="U39" s="2"/>
      <c r="V39" s="7">
        <f t="shared" si="33"/>
        <v>8.1700161804956987E-3</v>
      </c>
      <c r="W39" s="2"/>
      <c r="X39" s="6">
        <f t="shared" si="34"/>
        <v>-3115.12</v>
      </c>
      <c r="Y39" s="2"/>
      <c r="Z39" s="7">
        <f t="shared" si="35"/>
        <v>-0.96096740857279461</v>
      </c>
    </row>
    <row r="40" spans="1:26" s="26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-1331.23</v>
      </c>
      <c r="E40" s="1"/>
      <c r="F40" s="5">
        <f t="shared" si="28"/>
        <v>-0.1537621914314623</v>
      </c>
      <c r="G40" s="1"/>
      <c r="H40" s="1">
        <f>SUM(OSRRefH22_3x_0)</f>
        <v>-4.97</v>
      </c>
      <c r="I40" s="1"/>
      <c r="J40" s="5">
        <f t="shared" si="29"/>
        <v>-5.8510953909850273E-5</v>
      </c>
      <c r="K40" s="1"/>
      <c r="L40" s="1">
        <f t="shared" si="30"/>
        <v>-1326.26</v>
      </c>
      <c r="M40" s="1"/>
      <c r="N40" s="5">
        <f t="shared" si="31"/>
        <v>266.85311871227367</v>
      </c>
      <c r="O40" s="13"/>
      <c r="P40" s="1">
        <f>SUM(OSRRefP22_3x_0)</f>
        <v>7.05</v>
      </c>
      <c r="Q40" s="1"/>
      <c r="R40" s="5">
        <f t="shared" si="32"/>
        <v>1.9946853659695926E-4</v>
      </c>
      <c r="S40" s="1"/>
      <c r="T40" s="1">
        <f>SUM(OSRRefT22_3x_0)</f>
        <v>-11.59</v>
      </c>
      <c r="U40" s="1"/>
      <c r="V40" s="5">
        <f t="shared" si="33"/>
        <v>-2.9210583354756109E-5</v>
      </c>
      <c r="W40" s="1"/>
      <c r="X40" s="1">
        <f t="shared" si="34"/>
        <v>18.64</v>
      </c>
      <c r="Y40" s="1"/>
      <c r="Z40" s="5">
        <f t="shared" si="35"/>
        <v>-1.6082830025884385</v>
      </c>
    </row>
    <row r="41" spans="1:26" s="24" customFormat="1" hidden="1" outlineLevel="2" x14ac:dyDescent="0.25">
      <c r="A41" s="25"/>
      <c r="B41" s="11" t="str">
        <f>CONCATENATE("          ", "6272", " - ", "CASH (OVER/SHORT)")</f>
        <v xml:space="preserve">          6272 - CASH (OVER/SHORT)</v>
      </c>
      <c r="C41" s="11"/>
      <c r="D41" s="6">
        <v>-1331.23</v>
      </c>
      <c r="E41" s="2"/>
      <c r="F41" s="7">
        <f t="shared" si="28"/>
        <v>-0.1537621914314623</v>
      </c>
      <c r="G41" s="2"/>
      <c r="H41" s="6">
        <v>-4.97</v>
      </c>
      <c r="I41" s="2"/>
      <c r="J41" s="7">
        <f t="shared" si="29"/>
        <v>-5.8510953909850273E-5</v>
      </c>
      <c r="K41" s="2"/>
      <c r="L41" s="6">
        <f t="shared" si="30"/>
        <v>-1326.26</v>
      </c>
      <c r="M41" s="2"/>
      <c r="N41" s="7">
        <f t="shared" si="31"/>
        <v>266.85311871227367</v>
      </c>
      <c r="O41" s="11"/>
      <c r="P41" s="6">
        <v>7.05</v>
      </c>
      <c r="Q41" s="2"/>
      <c r="R41" s="7">
        <f t="shared" si="32"/>
        <v>1.9946853659695926E-4</v>
      </c>
      <c r="S41" s="2"/>
      <c r="T41" s="6">
        <v>-11.59</v>
      </c>
      <c r="U41" s="2"/>
      <c r="V41" s="7">
        <f t="shared" si="33"/>
        <v>-2.9210583354756109E-5</v>
      </c>
      <c r="W41" s="2"/>
      <c r="X41" s="6">
        <f t="shared" si="34"/>
        <v>18.64</v>
      </c>
      <c r="Y41" s="2"/>
      <c r="Z41" s="7">
        <f t="shared" si="35"/>
        <v>-1.6082830025884385</v>
      </c>
    </row>
    <row r="42" spans="1:26" s="26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348.1</v>
      </c>
      <c r="E42" s="1"/>
      <c r="F42" s="5">
        <f t="shared" si="28"/>
        <v>4.0206890497729193E-2</v>
      </c>
      <c r="G42" s="1"/>
      <c r="H42" s="1">
        <f>SUM(OSRRefH22_4x_0)</f>
        <v>2871.42</v>
      </c>
      <c r="I42" s="1"/>
      <c r="J42" s="5">
        <f t="shared" si="29"/>
        <v>3.3804733053485372E-2</v>
      </c>
      <c r="K42" s="1"/>
      <c r="L42" s="1">
        <f t="shared" si="30"/>
        <v>-2523.3200000000002</v>
      </c>
      <c r="M42" s="1"/>
      <c r="N42" s="5">
        <f t="shared" si="31"/>
        <v>-0.87877078240034556</v>
      </c>
      <c r="O42" s="13"/>
      <c r="P42" s="1">
        <f>SUM(OSRRefP22_4x_0)</f>
        <v>789.25</v>
      </c>
      <c r="Q42" s="1"/>
      <c r="R42" s="5">
        <f t="shared" si="32"/>
        <v>2.2330573405553205E-2</v>
      </c>
      <c r="S42" s="1"/>
      <c r="T42" s="1">
        <f>SUM(OSRRefT22_4x_0)</f>
        <v>14852.710000000001</v>
      </c>
      <c r="U42" s="1"/>
      <c r="V42" s="5">
        <f t="shared" si="33"/>
        <v>3.743367760992404E-2</v>
      </c>
      <c r="W42" s="1"/>
      <c r="X42" s="1">
        <f t="shared" si="34"/>
        <v>-14063.460000000001</v>
      </c>
      <c r="Y42" s="1"/>
      <c r="Z42" s="5">
        <f t="shared" si="35"/>
        <v>-0.94686154917183463</v>
      </c>
    </row>
    <row r="43" spans="1:26" s="24" customFormat="1" hidden="1" outlineLevel="2" x14ac:dyDescent="0.25">
      <c r="A43" s="25"/>
      <c r="B43" s="11" t="str">
        <f>CONCATENATE("          ", "6381", " - ", "BANK/CREDIT CARD FEES")</f>
        <v xml:space="preserve">          6381 - BANK/CREDIT CARD FEES</v>
      </c>
      <c r="C43" s="11"/>
      <c r="D43" s="6">
        <v>348.1</v>
      </c>
      <c r="E43" s="2"/>
      <c r="F43" s="7">
        <f t="shared" si="28"/>
        <v>4.0206890497729193E-2</v>
      </c>
      <c r="G43" s="2"/>
      <c r="H43" s="6">
        <v>2871.42</v>
      </c>
      <c r="I43" s="2"/>
      <c r="J43" s="7">
        <f t="shared" si="29"/>
        <v>3.3804733053485372E-2</v>
      </c>
      <c r="K43" s="2"/>
      <c r="L43" s="6">
        <f t="shared" si="30"/>
        <v>-2523.3200000000002</v>
      </c>
      <c r="M43" s="2"/>
      <c r="N43" s="7">
        <f t="shared" si="31"/>
        <v>-0.87877078240034556</v>
      </c>
      <c r="O43" s="11"/>
      <c r="P43" s="6">
        <v>789.25</v>
      </c>
      <c r="Q43" s="2"/>
      <c r="R43" s="7">
        <f t="shared" si="32"/>
        <v>2.2330573405553205E-2</v>
      </c>
      <c r="S43" s="2"/>
      <c r="T43" s="6">
        <v>14852.710000000001</v>
      </c>
      <c r="U43" s="2"/>
      <c r="V43" s="7">
        <f t="shared" si="33"/>
        <v>3.743367760992404E-2</v>
      </c>
      <c r="W43" s="2"/>
      <c r="X43" s="6">
        <f t="shared" si="34"/>
        <v>-14063.460000000001</v>
      </c>
      <c r="Y43" s="2"/>
      <c r="Z43" s="7">
        <f t="shared" si="35"/>
        <v>-0.94686154917183463</v>
      </c>
    </row>
    <row r="44" spans="1:26" s="26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13902.32</v>
      </c>
      <c r="E44" s="1"/>
      <c r="F44" s="5">
        <f t="shared" si="28"/>
        <v>1.6057714964216905</v>
      </c>
      <c r="G44" s="1"/>
      <c r="H44" s="1">
        <f>SUM(OSRRefH22_5x_0)</f>
        <v>13266.91</v>
      </c>
      <c r="I44" s="1"/>
      <c r="J44" s="5">
        <f t="shared" si="29"/>
        <v>0.15618904618433235</v>
      </c>
      <c r="K44" s="1"/>
      <c r="L44" s="1">
        <f t="shared" si="30"/>
        <v>635.40999999999985</v>
      </c>
      <c r="M44" s="1"/>
      <c r="N44" s="5">
        <f t="shared" si="31"/>
        <v>4.7894347666487515E-2</v>
      </c>
      <c r="O44" s="13"/>
      <c r="P44" s="1">
        <f>SUM(OSRRefP22_5x_0)</f>
        <v>69476.88</v>
      </c>
      <c r="Q44" s="1"/>
      <c r="R44" s="5">
        <f t="shared" si="32"/>
        <v>1.9657378128968153</v>
      </c>
      <c r="S44" s="1"/>
      <c r="T44" s="1">
        <f>SUM(OSRRefT22_5x_0)</f>
        <v>66334.55</v>
      </c>
      <c r="U44" s="1"/>
      <c r="V44" s="5">
        <f t="shared" si="33"/>
        <v>0.16718471976490396</v>
      </c>
      <c r="W44" s="1"/>
      <c r="X44" s="1">
        <f t="shared" si="34"/>
        <v>3142.3300000000017</v>
      </c>
      <c r="Y44" s="1"/>
      <c r="Z44" s="5">
        <f t="shared" si="35"/>
        <v>4.7370940181247954E-2</v>
      </c>
    </row>
    <row r="45" spans="1:26" s="24" customFormat="1" hidden="1" outlineLevel="2" x14ac:dyDescent="0.25">
      <c r="A45" s="25"/>
      <c r="B45" s="11" t="str">
        <f>CONCATENATE("          ", "6321", " - ", "BUILDING DEPRECIATION")</f>
        <v xml:space="preserve">          6321 - BUILDING DEPRECIATION</v>
      </c>
      <c r="C45" s="11"/>
      <c r="D45" s="6">
        <v>10597.26</v>
      </c>
      <c r="E45" s="2"/>
      <c r="F45" s="7">
        <f t="shared" si="28"/>
        <v>1.2240243389714611</v>
      </c>
      <c r="G45" s="2"/>
      <c r="H45" s="6">
        <v>10612.46</v>
      </c>
      <c r="I45" s="2"/>
      <c r="J45" s="7">
        <f t="shared" si="29"/>
        <v>0.12493866356743051</v>
      </c>
      <c r="K45" s="2"/>
      <c r="L45" s="6">
        <f t="shared" si="30"/>
        <v>-15.199999999998909</v>
      </c>
      <c r="M45" s="2"/>
      <c r="N45" s="7">
        <f t="shared" si="31"/>
        <v>-1.4322786611208815E-3</v>
      </c>
      <c r="O45" s="11"/>
      <c r="P45" s="6">
        <v>52986.3</v>
      </c>
      <c r="Q45" s="2"/>
      <c r="R45" s="7">
        <f t="shared" si="32"/>
        <v>1.4991630809485763</v>
      </c>
      <c r="S45" s="2"/>
      <c r="T45" s="6">
        <v>53062.3</v>
      </c>
      <c r="U45" s="2"/>
      <c r="V45" s="7">
        <f t="shared" si="33"/>
        <v>0.13373431726877266</v>
      </c>
      <c r="W45" s="2"/>
      <c r="X45" s="6">
        <f t="shared" si="34"/>
        <v>-76</v>
      </c>
      <c r="Y45" s="2"/>
      <c r="Z45" s="7">
        <f t="shared" si="35"/>
        <v>-1.4322786611209841E-3</v>
      </c>
    </row>
    <row r="46" spans="1:26" s="24" customFormat="1" hidden="1" outlineLevel="2" x14ac:dyDescent="0.25">
      <c r="A46" s="25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3305.06</v>
      </c>
      <c r="E46" s="2"/>
      <c r="F46" s="7">
        <f t="shared" si="28"/>
        <v>0.38174715745022936</v>
      </c>
      <c r="G46" s="2"/>
      <c r="H46" s="6">
        <v>2654.45</v>
      </c>
      <c r="I46" s="2"/>
      <c r="J46" s="7">
        <f t="shared" si="29"/>
        <v>3.1250382616901821E-2</v>
      </c>
      <c r="K46" s="2"/>
      <c r="L46" s="6">
        <f t="shared" si="30"/>
        <v>650.61000000000013</v>
      </c>
      <c r="M46" s="2"/>
      <c r="N46" s="7">
        <f t="shared" si="31"/>
        <v>0.24510162180489373</v>
      </c>
      <c r="O46" s="11"/>
      <c r="P46" s="6">
        <v>16490.580000000002</v>
      </c>
      <c r="Q46" s="2"/>
      <c r="R46" s="7">
        <f t="shared" si="32"/>
        <v>0.46657473194823895</v>
      </c>
      <c r="S46" s="2"/>
      <c r="T46" s="6">
        <v>13272.25</v>
      </c>
      <c r="U46" s="2"/>
      <c r="V46" s="7">
        <f t="shared" si="33"/>
        <v>3.34504024961313E-2</v>
      </c>
      <c r="W46" s="2"/>
      <c r="X46" s="6">
        <f t="shared" si="34"/>
        <v>3218.3300000000017</v>
      </c>
      <c r="Y46" s="2"/>
      <c r="Z46" s="7">
        <f t="shared" si="35"/>
        <v>0.24248563732599987</v>
      </c>
    </row>
    <row r="47" spans="1:26" s="26" customFormat="1" outlineLevel="1" collapsed="1" x14ac:dyDescent="0.25">
      <c r="A47" s="27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ref="F47:F60" si="36">IF(D$12=0,0,D47/D$12)</f>
        <v>0</v>
      </c>
      <c r="G47" s="1"/>
      <c r="H47" s="1">
        <f>SUM(OSRRefH22_6x_0)</f>
        <v>35.1</v>
      </c>
      <c r="I47" s="1"/>
      <c r="J47" s="5">
        <f t="shared" ref="J47:J60" si="37">IF(H$12=0,0,H47/H$12)</f>
        <v>4.1322625397097483E-4</v>
      </c>
      <c r="K47" s="1"/>
      <c r="L47" s="1">
        <f t="shared" ref="L47:L60" si="38">+D47-H47</f>
        <v>-35.1</v>
      </c>
      <c r="M47" s="1"/>
      <c r="N47" s="5">
        <f t="shared" ref="N47:N60" si="39">IF(H47=0,0,L47/H47)</f>
        <v>-1</v>
      </c>
      <c r="O47" s="13"/>
      <c r="P47" s="1">
        <f>SUM(OSRRefP22_6x_0)</f>
        <v>0</v>
      </c>
      <c r="Q47" s="1"/>
      <c r="R47" s="5">
        <f t="shared" ref="R47:R60" si="40">IF(P$12=0,0,P47/P$12)</f>
        <v>0</v>
      </c>
      <c r="S47" s="1"/>
      <c r="T47" s="1">
        <f>SUM(OSRRefT22_6x_0)</f>
        <v>83.73</v>
      </c>
      <c r="U47" s="1"/>
      <c r="V47" s="5">
        <f t="shared" ref="V47:V60" si="41">IF(T$12=0,0,T47/T$12)</f>
        <v>2.1102693220825962E-4</v>
      </c>
      <c r="W47" s="1"/>
      <c r="X47" s="1">
        <f t="shared" ref="X47:X60" si="42">+P47-T47</f>
        <v>-83.73</v>
      </c>
      <c r="Y47" s="1"/>
      <c r="Z47" s="5">
        <f t="shared" ref="Z47:Z60" si="43">IF(T47=0,0,X47/T47)</f>
        <v>-1</v>
      </c>
    </row>
    <row r="48" spans="1:26" s="24" customFormat="1" hidden="1" outlineLevel="2" x14ac:dyDescent="0.25">
      <c r="A48" s="25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36"/>
        <v>0</v>
      </c>
      <c r="G48" s="2"/>
      <c r="H48" s="6">
        <v>35.1</v>
      </c>
      <c r="I48" s="2"/>
      <c r="J48" s="7">
        <f t="shared" si="37"/>
        <v>4.1322625397097483E-4</v>
      </c>
      <c r="K48" s="2"/>
      <c r="L48" s="6">
        <f t="shared" si="38"/>
        <v>-35.1</v>
      </c>
      <c r="M48" s="2"/>
      <c r="N48" s="7">
        <f t="shared" si="39"/>
        <v>-1</v>
      </c>
      <c r="O48" s="11"/>
      <c r="P48" s="6"/>
      <c r="Q48" s="2"/>
      <c r="R48" s="7">
        <f t="shared" si="40"/>
        <v>0</v>
      </c>
      <c r="S48" s="2"/>
      <c r="T48" s="6">
        <v>83.73</v>
      </c>
      <c r="U48" s="2"/>
      <c r="V48" s="7">
        <f t="shared" si="41"/>
        <v>2.1102693220825962E-4</v>
      </c>
      <c r="W48" s="2"/>
      <c r="X48" s="6">
        <f t="shared" si="42"/>
        <v>-83.73</v>
      </c>
      <c r="Y48" s="2"/>
      <c r="Z48" s="7">
        <f t="shared" si="43"/>
        <v>-1</v>
      </c>
    </row>
    <row r="49" spans="1:26" s="26" customFormat="1" outlineLevel="1" collapsed="1" x14ac:dyDescent="0.25">
      <c r="A49" s="27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208.02</v>
      </c>
      <c r="E49" s="1"/>
      <c r="F49" s="5">
        <f t="shared" si="36"/>
        <v>2.4027111063882868E-2</v>
      </c>
      <c r="G49" s="1"/>
      <c r="H49" s="1">
        <f>SUM(OSRRefH22_7x_0)</f>
        <v>100.99</v>
      </c>
      <c r="I49" s="1"/>
      <c r="J49" s="5">
        <f t="shared" si="37"/>
        <v>1.1889378743170581E-3</v>
      </c>
      <c r="K49" s="1"/>
      <c r="L49" s="1">
        <f t="shared" si="38"/>
        <v>107.03000000000002</v>
      </c>
      <c r="M49" s="1"/>
      <c r="N49" s="5">
        <f t="shared" si="39"/>
        <v>1.0598079017724529</v>
      </c>
      <c r="O49" s="13"/>
      <c r="P49" s="1">
        <f>SUM(OSRRefP22_7x_0)</f>
        <v>793.4</v>
      </c>
      <c r="Q49" s="1"/>
      <c r="R49" s="5">
        <f t="shared" si="40"/>
        <v>2.2447991054755669E-2</v>
      </c>
      <c r="S49" s="1"/>
      <c r="T49" s="1">
        <f>SUM(OSRRefT22_7x_0)</f>
        <v>573.91999999999996</v>
      </c>
      <c r="U49" s="1"/>
      <c r="V49" s="5">
        <f t="shared" si="41"/>
        <v>1.4464657462434534E-3</v>
      </c>
      <c r="W49" s="1"/>
      <c r="X49" s="1">
        <f t="shared" si="42"/>
        <v>219.48000000000002</v>
      </c>
      <c r="Y49" s="1"/>
      <c r="Z49" s="5">
        <f t="shared" si="43"/>
        <v>0.38242263730136611</v>
      </c>
    </row>
    <row r="50" spans="1:26" s="24" customFormat="1" hidden="1" outlineLevel="2" x14ac:dyDescent="0.25">
      <c r="A50" s="25"/>
      <c r="B50" s="11" t="str">
        <f>CONCATENATE("          ", "6351", " - ", "EQUIPMENT RENTAL")</f>
        <v xml:space="preserve">          6351 - EQUIPMENT RENTAL</v>
      </c>
      <c r="C50" s="11"/>
      <c r="D50" s="6">
        <v>208.02</v>
      </c>
      <c r="E50" s="2"/>
      <c r="F50" s="7">
        <f t="shared" si="36"/>
        <v>2.4027111063882868E-2</v>
      </c>
      <c r="G50" s="2"/>
      <c r="H50" s="6">
        <v>100.99</v>
      </c>
      <c r="I50" s="2"/>
      <c r="J50" s="7">
        <f t="shared" si="37"/>
        <v>1.1889378743170581E-3</v>
      </c>
      <c r="K50" s="2"/>
      <c r="L50" s="6">
        <f t="shared" si="38"/>
        <v>107.03000000000002</v>
      </c>
      <c r="M50" s="2"/>
      <c r="N50" s="7">
        <f t="shared" si="39"/>
        <v>1.0598079017724529</v>
      </c>
      <c r="O50" s="11"/>
      <c r="P50" s="6">
        <v>793.4</v>
      </c>
      <c r="Q50" s="2"/>
      <c r="R50" s="7">
        <f t="shared" si="40"/>
        <v>2.2447991054755669E-2</v>
      </c>
      <c r="S50" s="2"/>
      <c r="T50" s="6">
        <v>573.91999999999996</v>
      </c>
      <c r="U50" s="2"/>
      <c r="V50" s="7">
        <f t="shared" si="41"/>
        <v>1.4464657462434534E-3</v>
      </c>
      <c r="W50" s="2"/>
      <c r="X50" s="6">
        <f t="shared" si="42"/>
        <v>219.48000000000002</v>
      </c>
      <c r="Y50" s="2"/>
      <c r="Z50" s="7">
        <f t="shared" si="43"/>
        <v>0.38242263730136611</v>
      </c>
    </row>
    <row r="51" spans="1:26" s="26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0</v>
      </c>
      <c r="E51" s="1"/>
      <c r="F51" s="5">
        <f t="shared" si="36"/>
        <v>0</v>
      </c>
      <c r="G51" s="1"/>
      <c r="H51" s="1">
        <f>SUM(OSRRefH22_8x_0)</f>
        <v>17.059999999999999</v>
      </c>
      <c r="I51" s="1"/>
      <c r="J51" s="5">
        <f t="shared" si="37"/>
        <v>2.0084444138874157E-4</v>
      </c>
      <c r="K51" s="1"/>
      <c r="L51" s="1">
        <f t="shared" si="38"/>
        <v>-17.059999999999999</v>
      </c>
      <c r="M51" s="1"/>
      <c r="N51" s="5">
        <f t="shared" si="39"/>
        <v>-1</v>
      </c>
      <c r="O51" s="13"/>
      <c r="P51" s="1">
        <f>SUM(OSRRefP22_8x_0)</f>
        <v>1955.07</v>
      </c>
      <c r="Q51" s="1"/>
      <c r="R51" s="5">
        <f t="shared" si="40"/>
        <v>5.5315596006328668E-2</v>
      </c>
      <c r="S51" s="1"/>
      <c r="T51" s="1">
        <f>SUM(OSRRefT22_8x_0)</f>
        <v>1371.61</v>
      </c>
      <c r="U51" s="1"/>
      <c r="V51" s="5">
        <f t="shared" si="41"/>
        <v>3.456904938327612E-3</v>
      </c>
      <c r="W51" s="1"/>
      <c r="X51" s="1">
        <f t="shared" si="42"/>
        <v>583.46</v>
      </c>
      <c r="Y51" s="1"/>
      <c r="Z51" s="5">
        <f t="shared" si="43"/>
        <v>0.42538330866645774</v>
      </c>
    </row>
    <row r="52" spans="1:26" s="24" customFormat="1" hidden="1" outlineLevel="2" x14ac:dyDescent="0.25">
      <c r="A52" s="25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36"/>
        <v>0</v>
      </c>
      <c r="G52" s="2"/>
      <c r="H52" s="6">
        <v>17.059999999999999</v>
      </c>
      <c r="I52" s="2"/>
      <c r="J52" s="7">
        <f t="shared" si="37"/>
        <v>2.0084444138874157E-4</v>
      </c>
      <c r="K52" s="2"/>
      <c r="L52" s="6">
        <f t="shared" si="38"/>
        <v>-17.059999999999999</v>
      </c>
      <c r="M52" s="2"/>
      <c r="N52" s="7">
        <f t="shared" si="39"/>
        <v>-1</v>
      </c>
      <c r="O52" s="11"/>
      <c r="P52" s="6">
        <v>1955.07</v>
      </c>
      <c r="Q52" s="2"/>
      <c r="R52" s="7">
        <f t="shared" si="40"/>
        <v>5.5315596006328668E-2</v>
      </c>
      <c r="S52" s="2"/>
      <c r="T52" s="6">
        <v>1371.61</v>
      </c>
      <c r="U52" s="2"/>
      <c r="V52" s="7">
        <f t="shared" si="41"/>
        <v>3.456904938327612E-3</v>
      </c>
      <c r="W52" s="2"/>
      <c r="X52" s="6">
        <f t="shared" si="42"/>
        <v>583.46</v>
      </c>
      <c r="Y52" s="2"/>
      <c r="Z52" s="7">
        <f t="shared" si="43"/>
        <v>0.42538330866645774</v>
      </c>
    </row>
    <row r="53" spans="1:26" s="26" customFormat="1" outlineLevel="1" collapsed="1" x14ac:dyDescent="0.25">
      <c r="A53" s="27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SUM(OSRRefD22_9x_0)</f>
        <v>641.28</v>
      </c>
      <c r="E53" s="1"/>
      <c r="F53" s="5">
        <f t="shared" si="36"/>
        <v>7.4070309504118859E-2</v>
      </c>
      <c r="G53" s="1"/>
      <c r="H53" s="1">
        <f>SUM(OSRRefH22_9x_0)</f>
        <v>641.28</v>
      </c>
      <c r="I53" s="1"/>
      <c r="J53" s="5">
        <f t="shared" si="37"/>
        <v>7.549678978532955E-3</v>
      </c>
      <c r="K53" s="1"/>
      <c r="L53" s="1">
        <f t="shared" si="38"/>
        <v>0</v>
      </c>
      <c r="M53" s="1"/>
      <c r="N53" s="5">
        <f t="shared" si="39"/>
        <v>0</v>
      </c>
      <c r="O53" s="13"/>
      <c r="P53" s="1">
        <f>SUM(OSRRefP22_9x_0)</f>
        <v>3206.4</v>
      </c>
      <c r="Q53" s="1"/>
      <c r="R53" s="5">
        <f t="shared" si="40"/>
        <v>9.0719988048863859E-2</v>
      </c>
      <c r="S53" s="1"/>
      <c r="T53" s="1">
        <f>SUM(OSRRefT22_9x_0)</f>
        <v>3206.4</v>
      </c>
      <c r="U53" s="1"/>
      <c r="V53" s="5">
        <f t="shared" si="41"/>
        <v>8.0811746737437431E-3</v>
      </c>
      <c r="W53" s="1"/>
      <c r="X53" s="1">
        <f t="shared" si="42"/>
        <v>0</v>
      </c>
      <c r="Y53" s="1"/>
      <c r="Z53" s="5">
        <f t="shared" si="43"/>
        <v>0</v>
      </c>
    </row>
    <row r="54" spans="1:26" s="24" customFormat="1" hidden="1" outlineLevel="2" x14ac:dyDescent="0.25">
      <c r="A54" s="25"/>
      <c r="B54" s="11" t="str">
        <f>CONCATENATE("          ", "6314", " - ", "LIABILITY INSURANCE")</f>
        <v xml:space="preserve">          6314 - LIABILITY INSURANCE</v>
      </c>
      <c r="C54" s="11"/>
      <c r="D54" s="6">
        <v>641.28</v>
      </c>
      <c r="E54" s="2"/>
      <c r="F54" s="7">
        <f t="shared" si="36"/>
        <v>7.4070309504118859E-2</v>
      </c>
      <c r="G54" s="2"/>
      <c r="H54" s="6">
        <v>641.28</v>
      </c>
      <c r="I54" s="2"/>
      <c r="J54" s="7">
        <f t="shared" si="37"/>
        <v>7.549678978532955E-3</v>
      </c>
      <c r="K54" s="2"/>
      <c r="L54" s="6">
        <f t="shared" si="38"/>
        <v>0</v>
      </c>
      <c r="M54" s="2"/>
      <c r="N54" s="7">
        <f t="shared" si="39"/>
        <v>0</v>
      </c>
      <c r="O54" s="11"/>
      <c r="P54" s="6">
        <v>3206.4</v>
      </c>
      <c r="Q54" s="2"/>
      <c r="R54" s="7">
        <f t="shared" si="40"/>
        <v>9.0719988048863859E-2</v>
      </c>
      <c r="S54" s="2"/>
      <c r="T54" s="6">
        <v>3206.4</v>
      </c>
      <c r="U54" s="2"/>
      <c r="V54" s="7">
        <f t="shared" si="41"/>
        <v>8.0811746737437431E-3</v>
      </c>
      <c r="W54" s="2"/>
      <c r="X54" s="6">
        <f t="shared" si="42"/>
        <v>0</v>
      </c>
      <c r="Y54" s="2"/>
      <c r="Z54" s="7">
        <f t="shared" si="43"/>
        <v>0</v>
      </c>
    </row>
    <row r="55" spans="1:26" s="26" customFormat="1" outlineLevel="1" collapsed="1" x14ac:dyDescent="0.25">
      <c r="A55" s="27"/>
      <c r="B55" s="13" t="str">
        <f>CONCATENATE("     ","Interest                                          ")</f>
        <v xml:space="preserve">     Interest                                          </v>
      </c>
      <c r="C55" s="13"/>
      <c r="D55" s="1">
        <f>SUM(OSRRefD22_10x_0)</f>
        <v>7510</v>
      </c>
      <c r="E55" s="1"/>
      <c r="F55" s="5">
        <f t="shared" si="36"/>
        <v>0.86743392024690091</v>
      </c>
      <c r="G55" s="1"/>
      <c r="H55" s="1">
        <f>SUM(OSRRefH22_10x_0)</f>
        <v>7754</v>
      </c>
      <c r="I55" s="1"/>
      <c r="J55" s="5">
        <f t="shared" si="37"/>
        <v>9.1286506361565198E-2</v>
      </c>
      <c r="K55" s="1"/>
      <c r="L55" s="1">
        <f t="shared" si="38"/>
        <v>-244</v>
      </c>
      <c r="M55" s="1"/>
      <c r="N55" s="5">
        <f t="shared" si="39"/>
        <v>-3.1467629610523601E-2</v>
      </c>
      <c r="O55" s="13"/>
      <c r="P55" s="1">
        <f>SUM(OSRRefP22_10x_0)</f>
        <v>37063.15</v>
      </c>
      <c r="Q55" s="1"/>
      <c r="R55" s="5">
        <f t="shared" si="40"/>
        <v>1.0486428783224953</v>
      </c>
      <c r="S55" s="1"/>
      <c r="T55" s="1">
        <f>SUM(OSRRefT22_10x_0)</f>
        <v>38377.049999999996</v>
      </c>
      <c r="U55" s="1"/>
      <c r="V55" s="5">
        <f t="shared" si="41"/>
        <v>9.6722693523265124E-2</v>
      </c>
      <c r="W55" s="1"/>
      <c r="X55" s="1">
        <f t="shared" si="42"/>
        <v>-1313.8999999999942</v>
      </c>
      <c r="Y55" s="1"/>
      <c r="Z55" s="5">
        <f t="shared" si="43"/>
        <v>-3.423660755581772E-2</v>
      </c>
    </row>
    <row r="56" spans="1:26" s="24" customFormat="1" hidden="1" outlineLevel="2" x14ac:dyDescent="0.25">
      <c r="A56" s="25"/>
      <c r="B56" s="11" t="str">
        <f>CONCATENATE("          ", "6401", " - ", "INTEREST EXPENSE")</f>
        <v xml:space="preserve">          6401 - INTEREST EXPENSE</v>
      </c>
      <c r="C56" s="11"/>
      <c r="D56" s="6">
        <v>7510</v>
      </c>
      <c r="E56" s="2"/>
      <c r="F56" s="7">
        <f t="shared" si="36"/>
        <v>0.86743392024690091</v>
      </c>
      <c r="G56" s="2"/>
      <c r="H56" s="6">
        <v>7754</v>
      </c>
      <c r="I56" s="2"/>
      <c r="J56" s="7">
        <f t="shared" si="37"/>
        <v>9.1286506361565198E-2</v>
      </c>
      <c r="K56" s="2"/>
      <c r="L56" s="6">
        <f t="shared" si="38"/>
        <v>-244</v>
      </c>
      <c r="M56" s="2"/>
      <c r="N56" s="7">
        <f t="shared" si="39"/>
        <v>-3.1467629610523601E-2</v>
      </c>
      <c r="O56" s="11"/>
      <c r="P56" s="6">
        <v>37063.15</v>
      </c>
      <c r="Q56" s="2"/>
      <c r="R56" s="7">
        <f t="shared" si="40"/>
        <v>1.0486428783224953</v>
      </c>
      <c r="S56" s="2"/>
      <c r="T56" s="6">
        <v>38377.049999999996</v>
      </c>
      <c r="U56" s="2"/>
      <c r="V56" s="7">
        <f t="shared" si="41"/>
        <v>9.6722693523265124E-2</v>
      </c>
      <c r="W56" s="2"/>
      <c r="X56" s="6">
        <f t="shared" si="42"/>
        <v>-1313.8999999999942</v>
      </c>
      <c r="Y56" s="2"/>
      <c r="Z56" s="7">
        <f t="shared" si="43"/>
        <v>-3.423660755581772E-2</v>
      </c>
    </row>
    <row r="57" spans="1:26" s="26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SUM(OSRRefD22_11x_0)</f>
        <v>345.76</v>
      </c>
      <c r="E57" s="1"/>
      <c r="F57" s="5">
        <f t="shared" si="36"/>
        <v>3.9936611486626958E-2</v>
      </c>
      <c r="G57" s="1"/>
      <c r="H57" s="1">
        <f>SUM(OSRRefH22_11x_0)</f>
        <v>3954.92</v>
      </c>
      <c r="I57" s="1"/>
      <c r="J57" s="5">
        <f t="shared" si="37"/>
        <v>4.656059191894267E-2</v>
      </c>
      <c r="K57" s="1"/>
      <c r="L57" s="1">
        <f t="shared" si="38"/>
        <v>-3609.16</v>
      </c>
      <c r="M57" s="1"/>
      <c r="N57" s="5">
        <f t="shared" si="39"/>
        <v>-0.91257471706128057</v>
      </c>
      <c r="O57" s="13"/>
      <c r="P57" s="1">
        <f>SUM(OSRRefP22_11x_0)</f>
        <v>12184.07</v>
      </c>
      <c r="Q57" s="1"/>
      <c r="R57" s="5">
        <f t="shared" si="40"/>
        <v>0.34472888123332102</v>
      </c>
      <c r="S57" s="1"/>
      <c r="T57" s="1">
        <f>SUM(OSRRefT22_11x_0)</f>
        <v>15740.45</v>
      </c>
      <c r="U57" s="1"/>
      <c r="V57" s="5">
        <f t="shared" si="41"/>
        <v>3.9671072197270993E-2</v>
      </c>
      <c r="W57" s="1"/>
      <c r="X57" s="1">
        <f t="shared" si="42"/>
        <v>-3556.380000000001</v>
      </c>
      <c r="Y57" s="1"/>
      <c r="Z57" s="5">
        <f t="shared" si="43"/>
        <v>-0.2259389026362017</v>
      </c>
    </row>
    <row r="58" spans="1:26" s="24" customFormat="1" hidden="1" outlineLevel="2" x14ac:dyDescent="0.25">
      <c r="A58" s="25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/>
      <c r="Q58" s="2"/>
      <c r="R58" s="7">
        <f t="shared" si="40"/>
        <v>0</v>
      </c>
      <c r="S58" s="2"/>
      <c r="T58" s="6">
        <v>2623.84</v>
      </c>
      <c r="U58" s="2"/>
      <c r="V58" s="7">
        <f t="shared" si="41"/>
        <v>6.6129333071219387E-3</v>
      </c>
      <c r="W58" s="2"/>
      <c r="X58" s="6">
        <f t="shared" si="42"/>
        <v>-2623.84</v>
      </c>
      <c r="Y58" s="2"/>
      <c r="Z58" s="7">
        <f t="shared" si="43"/>
        <v>-1</v>
      </c>
    </row>
    <row r="59" spans="1:26" s="24" customFormat="1" hidden="1" outlineLevel="2" x14ac:dyDescent="0.25">
      <c r="A59" s="25"/>
      <c r="B59" s="11" t="str">
        <f>CONCATENATE("          ", "6373", " - ", "MAINTENANCE CONTRACTS")</f>
        <v xml:space="preserve">          6373 - MAINTENANCE CONTRACTS</v>
      </c>
      <c r="C59" s="11"/>
      <c r="D59" s="6"/>
      <c r="E59" s="2"/>
      <c r="F59" s="7">
        <f t="shared" si="36"/>
        <v>0</v>
      </c>
      <c r="G59" s="2"/>
      <c r="H59" s="6">
        <v>1805</v>
      </c>
      <c r="I59" s="2"/>
      <c r="J59" s="7">
        <f t="shared" si="37"/>
        <v>2.124995408597178E-2</v>
      </c>
      <c r="K59" s="2"/>
      <c r="L59" s="6">
        <f t="shared" si="38"/>
        <v>-1805</v>
      </c>
      <c r="M59" s="2"/>
      <c r="N59" s="7">
        <f t="shared" si="39"/>
        <v>-1</v>
      </c>
      <c r="O59" s="11"/>
      <c r="P59" s="6">
        <v>6487.82</v>
      </c>
      <c r="Q59" s="2"/>
      <c r="R59" s="7">
        <f t="shared" si="40"/>
        <v>0.18356254767439492</v>
      </c>
      <c r="S59" s="2"/>
      <c r="T59" s="6">
        <v>1907.71</v>
      </c>
      <c r="U59" s="2"/>
      <c r="V59" s="7">
        <f t="shared" si="41"/>
        <v>4.808051938887125E-3</v>
      </c>
      <c r="W59" s="2"/>
      <c r="X59" s="6">
        <f t="shared" si="42"/>
        <v>4580.1099999999997</v>
      </c>
      <c r="Y59" s="2"/>
      <c r="Z59" s="7">
        <f t="shared" si="43"/>
        <v>2.4008418470312574</v>
      </c>
    </row>
    <row r="60" spans="1:26" s="24" customFormat="1" hidden="1" outlineLevel="2" x14ac:dyDescent="0.25">
      <c r="A60" s="25"/>
      <c r="B60" s="11" t="str">
        <f>CONCATENATE("          ", "6375", " - ", "OUTSIDE REPAIRS &amp; MAINTENANCE")</f>
        <v xml:space="preserve">          6375 - OUTSIDE REPAIRS &amp; MAINTENANCE</v>
      </c>
      <c r="C60" s="11"/>
      <c r="D60" s="6">
        <v>345.76</v>
      </c>
      <c r="E60" s="2"/>
      <c r="F60" s="7">
        <f t="shared" si="36"/>
        <v>3.9936611486626958E-2</v>
      </c>
      <c r="G60" s="2"/>
      <c r="H60" s="6">
        <v>2149.92</v>
      </c>
      <c r="I60" s="2"/>
      <c r="J60" s="7">
        <f t="shared" si="37"/>
        <v>2.5310637832970887E-2</v>
      </c>
      <c r="K60" s="2"/>
      <c r="L60" s="6">
        <f t="shared" si="38"/>
        <v>-1804.16</v>
      </c>
      <c r="M60" s="2"/>
      <c r="N60" s="7">
        <f t="shared" si="39"/>
        <v>-0.83917541117809036</v>
      </c>
      <c r="O60" s="11"/>
      <c r="P60" s="6">
        <v>5696.25</v>
      </c>
      <c r="Q60" s="2"/>
      <c r="R60" s="7">
        <f t="shared" si="40"/>
        <v>0.16116633355892612</v>
      </c>
      <c r="S60" s="2"/>
      <c r="T60" s="6">
        <v>11208.9</v>
      </c>
      <c r="U60" s="2"/>
      <c r="V60" s="7">
        <f t="shared" si="41"/>
        <v>2.8250086951261928E-2</v>
      </c>
      <c r="W60" s="2"/>
      <c r="X60" s="6">
        <f t="shared" si="42"/>
        <v>-5512.65</v>
      </c>
      <c r="Y60" s="2"/>
      <c r="Z60" s="7">
        <f t="shared" si="43"/>
        <v>-0.49181007949040495</v>
      </c>
    </row>
    <row r="61" spans="1:26" s="26" customFormat="1" outlineLevel="1" collapsed="1" x14ac:dyDescent="0.25">
      <c r="A61" s="27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SUM(OSRRefD22_12x_0)</f>
        <v>4179.4400000000005</v>
      </c>
      <c r="E61" s="1"/>
      <c r="F61" s="5">
        <f t="shared" ref="F61:F66" si="44">IF(D$12=0,0,D61/D$12)</f>
        <v>0.48274141459876274</v>
      </c>
      <c r="G61" s="1"/>
      <c r="H61" s="1">
        <f>SUM(OSRRefH22_12x_0)</f>
        <v>4299.68</v>
      </c>
      <c r="I61" s="1"/>
      <c r="J61" s="5">
        <f t="shared" ref="J61:J66" si="45">IF(H$12=0,0,H61/H$12)</f>
        <v>5.0619392013502025E-2</v>
      </c>
      <c r="K61" s="1"/>
      <c r="L61" s="1">
        <f t="shared" ref="L61:L66" si="46">+D61-H61</f>
        <v>-120.23999999999978</v>
      </c>
      <c r="M61" s="1"/>
      <c r="N61" s="5">
        <f t="shared" ref="N61:N66" si="47">IF(H61=0,0,L61/H61)</f>
        <v>-2.7964871804413299E-2</v>
      </c>
      <c r="O61" s="13"/>
      <c r="P61" s="1">
        <f>SUM(OSRRefP22_12x_0)</f>
        <v>16184.03</v>
      </c>
      <c r="Q61" s="1"/>
      <c r="R61" s="5">
        <f t="shared" ref="R61:R66" si="48">IF(P$12=0,0,P61/P$12)</f>
        <v>0.457901387282452</v>
      </c>
      <c r="S61" s="1"/>
      <c r="T61" s="1">
        <f>SUM(OSRRefT22_12x_0)</f>
        <v>21095.15</v>
      </c>
      <c r="U61" s="1"/>
      <c r="V61" s="5">
        <f t="shared" ref="V61:V66" si="49">IF(T$12=0,0,T61/T$12)</f>
        <v>5.3166664146340241E-2</v>
      </c>
      <c r="W61" s="1"/>
      <c r="X61" s="1">
        <f t="shared" ref="X61:X66" si="50">+P61-T61</f>
        <v>-4911.1200000000008</v>
      </c>
      <c r="Y61" s="1"/>
      <c r="Z61" s="5">
        <f t="shared" ref="Z61:Z66" si="51">IF(T61=0,0,X61/T61)</f>
        <v>-0.23280801511247848</v>
      </c>
    </row>
    <row r="62" spans="1:26" s="24" customFormat="1" hidden="1" outlineLevel="2" x14ac:dyDescent="0.25">
      <c r="A62" s="25"/>
      <c r="B62" s="11" t="str">
        <f>CONCATENATE("          ", "6282", " - ", "JANITORIAL/EXTERMINATOR EXPENS")</f>
        <v xml:space="preserve">          6282 - JANITORIAL/EXTERMINATOR EXPENS</v>
      </c>
      <c r="C62" s="11"/>
      <c r="D62" s="6"/>
      <c r="E62" s="2"/>
      <c r="F62" s="7">
        <f t="shared" si="44"/>
        <v>0</v>
      </c>
      <c r="G62" s="2"/>
      <c r="H62" s="6">
        <v>328.54</v>
      </c>
      <c r="I62" s="2"/>
      <c r="J62" s="7">
        <f t="shared" si="45"/>
        <v>3.8678448284793182E-3</v>
      </c>
      <c r="K62" s="2"/>
      <c r="L62" s="6">
        <f t="shared" si="46"/>
        <v>-328.54</v>
      </c>
      <c r="M62" s="2"/>
      <c r="N62" s="7">
        <f t="shared" si="47"/>
        <v>-1</v>
      </c>
      <c r="O62" s="11"/>
      <c r="P62" s="6">
        <v>1466.03</v>
      </c>
      <c r="Q62" s="2"/>
      <c r="R62" s="7">
        <f t="shared" si="48"/>
        <v>4.1478987050672364E-2</v>
      </c>
      <c r="S62" s="2"/>
      <c r="T62" s="6">
        <v>1642.7</v>
      </c>
      <c r="U62" s="2"/>
      <c r="V62" s="7">
        <f t="shared" si="49"/>
        <v>4.1401402309627147E-3</v>
      </c>
      <c r="W62" s="2"/>
      <c r="X62" s="6">
        <f t="shared" si="50"/>
        <v>-176.67000000000007</v>
      </c>
      <c r="Y62" s="2"/>
      <c r="Z62" s="7">
        <f t="shared" si="51"/>
        <v>-0.10754854812199433</v>
      </c>
    </row>
    <row r="63" spans="1:26" s="24" customFormat="1" hidden="1" outlineLevel="2" x14ac:dyDescent="0.25">
      <c r="A63" s="25"/>
      <c r="B63" s="11" t="str">
        <f>CONCATENATE("          ", "6283", " - ", "PLANT SERVICE")</f>
        <v xml:space="preserve">          6283 - PLANT SERVICE</v>
      </c>
      <c r="C63" s="11"/>
      <c r="D63" s="6"/>
      <c r="E63" s="2"/>
      <c r="F63" s="7">
        <f t="shared" si="44"/>
        <v>0</v>
      </c>
      <c r="G63" s="2"/>
      <c r="H63" s="6">
        <v>61.55</v>
      </c>
      <c r="I63" s="2"/>
      <c r="J63" s="7">
        <f t="shared" si="45"/>
        <v>7.2461754791776345E-4</v>
      </c>
      <c r="K63" s="2"/>
      <c r="L63" s="6">
        <f t="shared" si="46"/>
        <v>-61.55</v>
      </c>
      <c r="M63" s="2"/>
      <c r="N63" s="7">
        <f t="shared" si="47"/>
        <v>-1</v>
      </c>
      <c r="O63" s="11"/>
      <c r="P63" s="6"/>
      <c r="Q63" s="2"/>
      <c r="R63" s="7">
        <f t="shared" si="48"/>
        <v>0</v>
      </c>
      <c r="S63" s="2"/>
      <c r="T63" s="6">
        <v>246.2</v>
      </c>
      <c r="U63" s="2"/>
      <c r="V63" s="7">
        <f t="shared" si="49"/>
        <v>6.2050436772570776E-4</v>
      </c>
      <c r="W63" s="2"/>
      <c r="X63" s="6">
        <f t="shared" si="50"/>
        <v>-246.2</v>
      </c>
      <c r="Y63" s="2"/>
      <c r="Z63" s="7">
        <f t="shared" si="51"/>
        <v>-1</v>
      </c>
    </row>
    <row r="64" spans="1:26" s="24" customFormat="1" hidden="1" outlineLevel="2" x14ac:dyDescent="0.25">
      <c r="A64" s="25"/>
      <c r="B64" s="11" t="str">
        <f>CONCATENATE("          ", "6284", " - ", "TRASH REMOVAL EXPENSE")</f>
        <v xml:space="preserve">          6284 - TRASH REMOVAL EXPENSE</v>
      </c>
      <c r="C64" s="11"/>
      <c r="D64" s="6">
        <v>1000</v>
      </c>
      <c r="E64" s="2"/>
      <c r="F64" s="7">
        <f t="shared" si="44"/>
        <v>0.11550385089838894</v>
      </c>
      <c r="G64" s="2"/>
      <c r="H64" s="6">
        <v>623</v>
      </c>
      <c r="I64" s="2"/>
      <c r="J64" s="7">
        <f t="shared" si="45"/>
        <v>7.3344716872910908E-3</v>
      </c>
      <c r="K64" s="2"/>
      <c r="L64" s="6">
        <f t="shared" si="46"/>
        <v>377</v>
      </c>
      <c r="M64" s="2"/>
      <c r="N64" s="7">
        <f t="shared" si="47"/>
        <v>0.60513643659711081</v>
      </c>
      <c r="O64" s="11"/>
      <c r="P64" s="6">
        <v>4761</v>
      </c>
      <c r="Q64" s="2"/>
      <c r="R64" s="7">
        <f t="shared" si="48"/>
        <v>0.13470492237420184</v>
      </c>
      <c r="S64" s="2"/>
      <c r="T64" s="6">
        <v>2492</v>
      </c>
      <c r="U64" s="2"/>
      <c r="V64" s="7">
        <f t="shared" si="49"/>
        <v>6.280653470237465E-3</v>
      </c>
      <c r="W64" s="2"/>
      <c r="X64" s="6">
        <f t="shared" si="50"/>
        <v>2269</v>
      </c>
      <c r="Y64" s="2"/>
      <c r="Z64" s="7">
        <f t="shared" si="51"/>
        <v>0.9105136436597111</v>
      </c>
    </row>
    <row r="65" spans="1:26" s="24" customFormat="1" hidden="1" outlineLevel="2" x14ac:dyDescent="0.25">
      <c r="A65" s="25"/>
      <c r="B65" s="11" t="str">
        <f>CONCATENATE("          ", "6285", " - ", "JANITORIAL SERVICES")</f>
        <v xml:space="preserve">          6285 - JANITORIAL SERVICES</v>
      </c>
      <c r="C65" s="11"/>
      <c r="D65" s="6">
        <v>3179.44</v>
      </c>
      <c r="E65" s="2"/>
      <c r="F65" s="7">
        <f t="shared" si="44"/>
        <v>0.36723756370037375</v>
      </c>
      <c r="G65" s="2"/>
      <c r="H65" s="6">
        <v>3040.95</v>
      </c>
      <c r="I65" s="2"/>
      <c r="J65" s="7">
        <f t="shared" si="45"/>
        <v>3.5800580541681927E-2</v>
      </c>
      <c r="K65" s="2"/>
      <c r="L65" s="6">
        <f t="shared" si="46"/>
        <v>138.49000000000024</v>
      </c>
      <c r="M65" s="2"/>
      <c r="N65" s="7">
        <f t="shared" si="47"/>
        <v>4.5541689274733302E-2</v>
      </c>
      <c r="O65" s="11"/>
      <c r="P65" s="6">
        <v>9591.3700000000008</v>
      </c>
      <c r="Q65" s="2"/>
      <c r="R65" s="7">
        <f t="shared" si="48"/>
        <v>0.2713725585616989</v>
      </c>
      <c r="S65" s="2"/>
      <c r="T65" s="6">
        <v>15504.750000000002</v>
      </c>
      <c r="U65" s="2"/>
      <c r="V65" s="7">
        <f t="shared" si="49"/>
        <v>3.9077031257088425E-2</v>
      </c>
      <c r="W65" s="2"/>
      <c r="X65" s="6">
        <f t="shared" si="50"/>
        <v>-5913.380000000001</v>
      </c>
      <c r="Y65" s="2"/>
      <c r="Z65" s="7">
        <f t="shared" si="51"/>
        <v>-0.38139150905367714</v>
      </c>
    </row>
    <row r="66" spans="1:26" s="24" customFormat="1" hidden="1" outlineLevel="2" x14ac:dyDescent="0.25">
      <c r="A66" s="25"/>
      <c r="B66" s="11" t="str">
        <f>CONCATENATE("          ", "6286", " - ", "LAUNDRY EXPENSE")</f>
        <v xml:space="preserve">          6286 - LAUNDRY EXPENSE</v>
      </c>
      <c r="C66" s="11"/>
      <c r="D66" s="6"/>
      <c r="E66" s="2"/>
      <c r="F66" s="7">
        <f t="shared" si="44"/>
        <v>0</v>
      </c>
      <c r="G66" s="2"/>
      <c r="H66" s="6">
        <v>245.64</v>
      </c>
      <c r="I66" s="2"/>
      <c r="J66" s="7">
        <f t="shared" si="45"/>
        <v>2.8918774081319156E-3</v>
      </c>
      <c r="K66" s="2"/>
      <c r="L66" s="6">
        <f t="shared" si="46"/>
        <v>-245.64</v>
      </c>
      <c r="M66" s="2"/>
      <c r="N66" s="7">
        <f t="shared" si="47"/>
        <v>-1</v>
      </c>
      <c r="O66" s="11"/>
      <c r="P66" s="6">
        <v>365.63</v>
      </c>
      <c r="Q66" s="2"/>
      <c r="R66" s="7">
        <f t="shared" si="48"/>
        <v>1.0344919295878895E-2</v>
      </c>
      <c r="S66" s="2"/>
      <c r="T66" s="6">
        <v>1209.5</v>
      </c>
      <c r="U66" s="2"/>
      <c r="V66" s="7">
        <f t="shared" si="49"/>
        <v>3.0483348203259285E-3</v>
      </c>
      <c r="W66" s="2"/>
      <c r="X66" s="6">
        <f t="shared" si="50"/>
        <v>-843.87</v>
      </c>
      <c r="Y66" s="2"/>
      <c r="Z66" s="7">
        <f t="shared" si="51"/>
        <v>-0.69770152955766851</v>
      </c>
    </row>
    <row r="67" spans="1:26" s="26" customFormat="1" outlineLevel="1" collapsed="1" x14ac:dyDescent="0.25">
      <c r="A67" s="27"/>
      <c r="B67" s="13" t="str">
        <f>CONCATENATE("     ","Subscriptions &amp; Dues                              ")</f>
        <v xml:space="preserve">     Subscriptions &amp; Dues                              </v>
      </c>
      <c r="C67" s="13"/>
      <c r="D67" s="1">
        <f>SUM(OSRRefD22_13x_0)</f>
        <v>0</v>
      </c>
      <c r="E67" s="1"/>
      <c r="F67" s="5">
        <f t="shared" ref="F67:F77" si="52">IF(D$12=0,0,D67/D$12)</f>
        <v>0</v>
      </c>
      <c r="G67" s="1"/>
      <c r="H67" s="1">
        <f>SUM(OSRRefH22_13x_0)</f>
        <v>196.71</v>
      </c>
      <c r="I67" s="1"/>
      <c r="J67" s="5">
        <f t="shared" ref="J67:J77" si="53">IF(H$12=0,0,H67/H$12)</f>
        <v>2.315832946399728E-3</v>
      </c>
      <c r="K67" s="1"/>
      <c r="L67" s="1">
        <f t="shared" ref="L67:L77" si="54">+D67-H67</f>
        <v>-196.71</v>
      </c>
      <c r="M67" s="1"/>
      <c r="N67" s="5">
        <f t="shared" ref="N67:N77" si="55">IF(H67=0,0,L67/H67)</f>
        <v>-1</v>
      </c>
      <c r="O67" s="13"/>
      <c r="P67" s="1">
        <f>SUM(OSRRefP22_13x_0)</f>
        <v>271.33</v>
      </c>
      <c r="Q67" s="1"/>
      <c r="R67" s="5">
        <f t="shared" ref="R67:R77" si="56">IF(P$12=0,0,P67/P$12)</f>
        <v>7.6768507850855251E-3</v>
      </c>
      <c r="S67" s="1"/>
      <c r="T67" s="1">
        <f>SUM(OSRRefT22_13x_0)</f>
        <v>983.55</v>
      </c>
      <c r="U67" s="1"/>
      <c r="V67" s="5">
        <f t="shared" ref="V67:V77" si="57">IF(T$12=0,0,T67/T$12)</f>
        <v>2.4788670628619817E-3</v>
      </c>
      <c r="W67" s="1"/>
      <c r="X67" s="1">
        <f t="shared" ref="X67:X77" si="58">+P67-T67</f>
        <v>-712.22</v>
      </c>
      <c r="Y67" s="1"/>
      <c r="Z67" s="5">
        <f t="shared" ref="Z67:Z77" si="59">IF(T67=0,0,X67/T67)</f>
        <v>-0.72413197092166137</v>
      </c>
    </row>
    <row r="68" spans="1:26" s="24" customFormat="1" hidden="1" outlineLevel="2" x14ac:dyDescent="0.25">
      <c r="A68" s="25"/>
      <c r="B68" s="11" t="str">
        <f>CONCATENATE("          ", "6275", " - ", "SUBSCRIPTIONS")</f>
        <v xml:space="preserve">          6275 - SUBSCRIPTIONS</v>
      </c>
      <c r="C68" s="11"/>
      <c r="D68" s="6"/>
      <c r="E68" s="2"/>
      <c r="F68" s="7">
        <f t="shared" si="52"/>
        <v>0</v>
      </c>
      <c r="G68" s="2"/>
      <c r="H68" s="6">
        <v>196.71</v>
      </c>
      <c r="I68" s="2"/>
      <c r="J68" s="7">
        <f t="shared" si="53"/>
        <v>2.315832946399728E-3</v>
      </c>
      <c r="K68" s="2"/>
      <c r="L68" s="6">
        <f t="shared" si="54"/>
        <v>-196.71</v>
      </c>
      <c r="M68" s="2"/>
      <c r="N68" s="7">
        <f t="shared" si="55"/>
        <v>-1</v>
      </c>
      <c r="O68" s="11"/>
      <c r="P68" s="6">
        <v>271.33</v>
      </c>
      <c r="Q68" s="2"/>
      <c r="R68" s="7">
        <f t="shared" si="56"/>
        <v>7.6768507850855251E-3</v>
      </c>
      <c r="S68" s="2"/>
      <c r="T68" s="6">
        <v>983.55</v>
      </c>
      <c r="U68" s="2"/>
      <c r="V68" s="7">
        <f t="shared" si="57"/>
        <v>2.4788670628619817E-3</v>
      </c>
      <c r="W68" s="2"/>
      <c r="X68" s="6">
        <f t="shared" si="58"/>
        <v>-712.22</v>
      </c>
      <c r="Y68" s="2"/>
      <c r="Z68" s="7">
        <f t="shared" si="59"/>
        <v>-0.72413197092166137</v>
      </c>
    </row>
    <row r="69" spans="1:26" s="26" customFormat="1" outlineLevel="1" collapsed="1" x14ac:dyDescent="0.25">
      <c r="A69" s="27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SUM(OSRRefD22_14x_0)</f>
        <v>0</v>
      </c>
      <c r="E69" s="1"/>
      <c r="F69" s="5">
        <f t="shared" si="52"/>
        <v>0</v>
      </c>
      <c r="G69" s="1"/>
      <c r="H69" s="1">
        <f>SUM(OSRRefH22_14x_0)</f>
        <v>1247.02</v>
      </c>
      <c r="I69" s="1"/>
      <c r="J69" s="5">
        <f t="shared" si="53"/>
        <v>1.4680951658885612E-2</v>
      </c>
      <c r="K69" s="1"/>
      <c r="L69" s="1">
        <f t="shared" si="54"/>
        <v>-1247.02</v>
      </c>
      <c r="M69" s="1"/>
      <c r="N69" s="5">
        <f t="shared" si="55"/>
        <v>-1</v>
      </c>
      <c r="O69" s="13"/>
      <c r="P69" s="1">
        <f>SUM(OSRRefP22_14x_0)</f>
        <v>7486.5</v>
      </c>
      <c r="Q69" s="1"/>
      <c r="R69" s="5">
        <f t="shared" si="56"/>
        <v>0.2118186098203029</v>
      </c>
      <c r="S69" s="1"/>
      <c r="T69" s="1">
        <f>SUM(OSRRefT22_14x_0)</f>
        <v>12575.39</v>
      </c>
      <c r="U69" s="1"/>
      <c r="V69" s="5">
        <f t="shared" si="57"/>
        <v>3.1694087818254217E-2</v>
      </c>
      <c r="W69" s="1"/>
      <c r="X69" s="1">
        <f t="shared" si="58"/>
        <v>-5088.8899999999994</v>
      </c>
      <c r="Y69" s="1"/>
      <c r="Z69" s="5">
        <f t="shared" si="59"/>
        <v>-0.40467055097297178</v>
      </c>
    </row>
    <row r="70" spans="1:26" s="24" customFormat="1" hidden="1" outlineLevel="2" x14ac:dyDescent="0.25">
      <c r="A70" s="25"/>
      <c r="B70" s="11" t="str">
        <f>CONCATENATE("          ", "6234", " - ", "EXPENDABLE SUPPLIES &amp; EQUIPMEN")</f>
        <v xml:space="preserve">          6234 - EXPENDABLE SUPPLIES &amp; EQUIPMEN</v>
      </c>
      <c r="C70" s="11"/>
      <c r="D70" s="6"/>
      <c r="E70" s="2"/>
      <c r="F70" s="7">
        <f t="shared" si="52"/>
        <v>0</v>
      </c>
      <c r="G70" s="2"/>
      <c r="H70" s="6">
        <v>67.72</v>
      </c>
      <c r="I70" s="2"/>
      <c r="J70" s="7">
        <f t="shared" si="53"/>
        <v>7.9725589512576677E-4</v>
      </c>
      <c r="K70" s="2"/>
      <c r="L70" s="6">
        <f t="shared" si="54"/>
        <v>-67.72</v>
      </c>
      <c r="M70" s="2"/>
      <c r="N70" s="7">
        <f t="shared" si="55"/>
        <v>-1</v>
      </c>
      <c r="O70" s="11"/>
      <c r="P70" s="6">
        <v>310.91000000000003</v>
      </c>
      <c r="Q70" s="2"/>
      <c r="R70" s="7">
        <f t="shared" si="56"/>
        <v>8.7967039309731366E-3</v>
      </c>
      <c r="S70" s="2"/>
      <c r="T70" s="6">
        <v>67.72</v>
      </c>
      <c r="U70" s="2"/>
      <c r="V70" s="7">
        <f t="shared" si="57"/>
        <v>1.7067650602105986E-4</v>
      </c>
      <c r="W70" s="2"/>
      <c r="X70" s="6">
        <f t="shared" si="58"/>
        <v>243.19000000000003</v>
      </c>
      <c r="Y70" s="2"/>
      <c r="Z70" s="7">
        <f t="shared" si="59"/>
        <v>3.5911104548139403</v>
      </c>
    </row>
    <row r="71" spans="1:26" s="24" customFormat="1" hidden="1" outlineLevel="2" x14ac:dyDescent="0.25">
      <c r="A71" s="25"/>
      <c r="B71" s="11" t="str">
        <f>CONCATENATE("          ", "6235", " - ", "COVID-19 EXPENSES")</f>
        <v xml:space="preserve">          6235 - COVID-19 EXPENSES</v>
      </c>
      <c r="C71" s="11"/>
      <c r="D71" s="6"/>
      <c r="E71" s="2"/>
      <c r="F71" s="7">
        <f t="shared" si="52"/>
        <v>0</v>
      </c>
      <c r="G71" s="2"/>
      <c r="H71" s="6"/>
      <c r="I71" s="2"/>
      <c r="J71" s="7">
        <f t="shared" si="53"/>
        <v>0</v>
      </c>
      <c r="K71" s="2"/>
      <c r="L71" s="6">
        <f t="shared" si="54"/>
        <v>0</v>
      </c>
      <c r="M71" s="2"/>
      <c r="N71" s="7">
        <f t="shared" si="55"/>
        <v>0</v>
      </c>
      <c r="O71" s="11"/>
      <c r="P71" s="6">
        <v>6753.97</v>
      </c>
      <c r="Q71" s="2"/>
      <c r="R71" s="7">
        <f t="shared" si="56"/>
        <v>0.19109283859854823</v>
      </c>
      <c r="S71" s="2"/>
      <c r="T71" s="6"/>
      <c r="U71" s="2"/>
      <c r="V71" s="7">
        <f t="shared" si="57"/>
        <v>0</v>
      </c>
      <c r="W71" s="2"/>
      <c r="X71" s="6">
        <f t="shared" si="58"/>
        <v>6753.97</v>
      </c>
      <c r="Y71" s="2"/>
      <c r="Z71" s="7">
        <f t="shared" si="59"/>
        <v>0</v>
      </c>
    </row>
    <row r="72" spans="1:26" s="24" customFormat="1" hidden="1" outlineLevel="2" x14ac:dyDescent="0.25">
      <c r="A72" s="25"/>
      <c r="B72" s="11" t="str">
        <f>CONCATENATE("          ", "6237", " - ", "JANITORIAL SUPPLIES")</f>
        <v xml:space="preserve">          6237 - JANITORIAL SUPPLIES</v>
      </c>
      <c r="C72" s="11"/>
      <c r="D72" s="6"/>
      <c r="E72" s="2"/>
      <c r="F72" s="7">
        <f t="shared" si="52"/>
        <v>0</v>
      </c>
      <c r="G72" s="2"/>
      <c r="H72" s="6">
        <v>890.25</v>
      </c>
      <c r="I72" s="2"/>
      <c r="J72" s="7">
        <f t="shared" si="53"/>
        <v>1.0480759903067245E-2</v>
      </c>
      <c r="K72" s="2"/>
      <c r="L72" s="6">
        <f t="shared" si="54"/>
        <v>-890.25</v>
      </c>
      <c r="M72" s="2"/>
      <c r="N72" s="7">
        <f t="shared" si="55"/>
        <v>-1</v>
      </c>
      <c r="O72" s="11"/>
      <c r="P72" s="6">
        <v>268.05</v>
      </c>
      <c r="Q72" s="2"/>
      <c r="R72" s="7">
        <f t="shared" si="56"/>
        <v>7.5840484021014089E-3</v>
      </c>
      <c r="S72" s="2"/>
      <c r="T72" s="6">
        <v>3697.99</v>
      </c>
      <c r="U72" s="2"/>
      <c r="V72" s="7">
        <f t="shared" si="57"/>
        <v>9.3201419447846885E-3</v>
      </c>
      <c r="W72" s="2"/>
      <c r="X72" s="6">
        <f t="shared" si="58"/>
        <v>-3429.9399999999996</v>
      </c>
      <c r="Y72" s="2"/>
      <c r="Z72" s="7">
        <f t="shared" si="59"/>
        <v>-0.92751467689204126</v>
      </c>
    </row>
    <row r="73" spans="1:26" s="24" customFormat="1" hidden="1" outlineLevel="2" x14ac:dyDescent="0.25">
      <c r="A73" s="25"/>
      <c r="B73" s="11" t="str">
        <f>CONCATENATE("          ", "6239", " - ", "KITCHEN SUPPLIES")</f>
        <v xml:space="preserve">          6239 - KITCHEN SUPPLIES</v>
      </c>
      <c r="C73" s="11"/>
      <c r="D73" s="6"/>
      <c r="E73" s="2"/>
      <c r="F73" s="7">
        <f t="shared" si="52"/>
        <v>0</v>
      </c>
      <c r="G73" s="2"/>
      <c r="H73" s="6">
        <v>39.67</v>
      </c>
      <c r="I73" s="2"/>
      <c r="J73" s="7">
        <f t="shared" si="53"/>
        <v>4.6702807678144077E-4</v>
      </c>
      <c r="K73" s="2"/>
      <c r="L73" s="6">
        <f t="shared" si="54"/>
        <v>-39.67</v>
      </c>
      <c r="M73" s="2"/>
      <c r="N73" s="7">
        <f t="shared" si="55"/>
        <v>-1</v>
      </c>
      <c r="O73" s="11"/>
      <c r="P73" s="6">
        <v>19.829999999999998</v>
      </c>
      <c r="Q73" s="2"/>
      <c r="R73" s="7">
        <f t="shared" si="56"/>
        <v>5.6105830932165978E-4</v>
      </c>
      <c r="S73" s="2"/>
      <c r="T73" s="6">
        <v>231.26</v>
      </c>
      <c r="U73" s="2"/>
      <c r="V73" s="7">
        <f t="shared" si="57"/>
        <v>5.8285069082147521E-4</v>
      </c>
      <c r="W73" s="2"/>
      <c r="X73" s="6">
        <f t="shared" si="58"/>
        <v>-211.43</v>
      </c>
      <c r="Y73" s="2"/>
      <c r="Z73" s="7">
        <f t="shared" si="59"/>
        <v>-0.91425235665484739</v>
      </c>
    </row>
    <row r="74" spans="1:26" s="24" customFormat="1" hidden="1" outlineLevel="2" x14ac:dyDescent="0.25">
      <c r="A74" s="25"/>
      <c r="B74" s="11" t="str">
        <f>CONCATENATE("          ", "6241", " - ", "OFFICE EXPENSE")</f>
        <v xml:space="preserve">          6241 - OFFICE EXPENSE</v>
      </c>
      <c r="C74" s="11"/>
      <c r="D74" s="6"/>
      <c r="E74" s="2"/>
      <c r="F74" s="7">
        <f t="shared" si="52"/>
        <v>0</v>
      </c>
      <c r="G74" s="2"/>
      <c r="H74" s="6"/>
      <c r="I74" s="2"/>
      <c r="J74" s="7">
        <f t="shared" si="53"/>
        <v>0</v>
      </c>
      <c r="K74" s="2"/>
      <c r="L74" s="6">
        <f t="shared" si="54"/>
        <v>0</v>
      </c>
      <c r="M74" s="2"/>
      <c r="N74" s="7">
        <f t="shared" si="55"/>
        <v>0</v>
      </c>
      <c r="O74" s="11"/>
      <c r="P74" s="6">
        <v>133.74</v>
      </c>
      <c r="Q74" s="2"/>
      <c r="R74" s="7">
        <f t="shared" si="56"/>
        <v>3.7839605793584868E-3</v>
      </c>
      <c r="S74" s="2"/>
      <c r="T74" s="6">
        <v>5261.76</v>
      </c>
      <c r="U74" s="2"/>
      <c r="V74" s="7">
        <f t="shared" si="57"/>
        <v>1.3261352810416006E-2</v>
      </c>
      <c r="W74" s="2"/>
      <c r="X74" s="6">
        <f t="shared" si="58"/>
        <v>-5128.0200000000004</v>
      </c>
      <c r="Y74" s="2"/>
      <c r="Z74" s="7">
        <f t="shared" si="59"/>
        <v>-0.97458264915161474</v>
      </c>
    </row>
    <row r="75" spans="1:26" s="24" customFormat="1" hidden="1" outlineLevel="2" x14ac:dyDescent="0.25">
      <c r="A75" s="25"/>
      <c r="B75" s="11" t="str">
        <f>CONCATENATE("          ", "6243", " - ", "PAPER SUPPLIES")</f>
        <v xml:space="preserve">          6243 - PAPER SUPPLIES</v>
      </c>
      <c r="C75" s="11"/>
      <c r="D75" s="6"/>
      <c r="E75" s="2"/>
      <c r="F75" s="7">
        <f t="shared" si="52"/>
        <v>0</v>
      </c>
      <c r="G75" s="2"/>
      <c r="H75" s="6">
        <v>233.91</v>
      </c>
      <c r="I75" s="2"/>
      <c r="J75" s="7">
        <f t="shared" si="53"/>
        <v>2.7537821386424705E-3</v>
      </c>
      <c r="K75" s="2"/>
      <c r="L75" s="6">
        <f t="shared" si="54"/>
        <v>-233.91</v>
      </c>
      <c r="M75" s="2"/>
      <c r="N75" s="7">
        <f t="shared" si="55"/>
        <v>-1</v>
      </c>
      <c r="O75" s="11"/>
      <c r="P75" s="6"/>
      <c r="Q75" s="2"/>
      <c r="R75" s="7">
        <f t="shared" si="56"/>
        <v>0</v>
      </c>
      <c r="S75" s="2"/>
      <c r="T75" s="6">
        <v>2890.63</v>
      </c>
      <c r="U75" s="2"/>
      <c r="V75" s="7">
        <f t="shared" si="57"/>
        <v>7.2853311960965183E-3</v>
      </c>
      <c r="W75" s="2"/>
      <c r="X75" s="6">
        <f t="shared" si="58"/>
        <v>-2890.63</v>
      </c>
      <c r="Y75" s="2"/>
      <c r="Z75" s="7">
        <f t="shared" si="59"/>
        <v>-1</v>
      </c>
    </row>
    <row r="76" spans="1:26" s="24" customFormat="1" hidden="1" outlineLevel="2" x14ac:dyDescent="0.25">
      <c r="A76" s="25"/>
      <c r="B76" s="11" t="str">
        <f>CONCATENATE("          ", "6247", " - ", "STORE SUPPLIES")</f>
        <v xml:space="preserve">          6247 - STORE SUPPLIES</v>
      </c>
      <c r="C76" s="11"/>
      <c r="D76" s="6"/>
      <c r="E76" s="2"/>
      <c r="F76" s="7">
        <f t="shared" si="52"/>
        <v>0</v>
      </c>
      <c r="G76" s="2"/>
      <c r="H76" s="6"/>
      <c r="I76" s="2"/>
      <c r="J76" s="7">
        <f t="shared" si="53"/>
        <v>0</v>
      </c>
      <c r="K76" s="2"/>
      <c r="L76" s="6">
        <f t="shared" si="54"/>
        <v>0</v>
      </c>
      <c r="M76" s="2"/>
      <c r="N76" s="7">
        <f t="shared" si="55"/>
        <v>0</v>
      </c>
      <c r="O76" s="11"/>
      <c r="P76" s="6"/>
      <c r="Q76" s="2"/>
      <c r="R76" s="7">
        <f t="shared" si="56"/>
        <v>0</v>
      </c>
      <c r="S76" s="2"/>
      <c r="T76" s="6">
        <v>410.56</v>
      </c>
      <c r="U76" s="2"/>
      <c r="V76" s="7">
        <f t="shared" si="57"/>
        <v>1.0347452202009203E-3</v>
      </c>
      <c r="W76" s="2"/>
      <c r="X76" s="6">
        <f t="shared" si="58"/>
        <v>-410.56</v>
      </c>
      <c r="Y76" s="2"/>
      <c r="Z76" s="7">
        <f t="shared" si="59"/>
        <v>-1</v>
      </c>
    </row>
    <row r="77" spans="1:26" s="24" customFormat="1" hidden="1" outlineLevel="2" x14ac:dyDescent="0.25">
      <c r="A77" s="25"/>
      <c r="B77" s="11" t="str">
        <f>CONCATENATE("          ", "6248", " - ", "UNIFORMS")</f>
        <v xml:space="preserve">          6248 - UNIFORMS</v>
      </c>
      <c r="C77" s="11"/>
      <c r="D77" s="6"/>
      <c r="E77" s="2"/>
      <c r="F77" s="7">
        <f t="shared" si="52"/>
        <v>0</v>
      </c>
      <c r="G77" s="2"/>
      <c r="H77" s="6">
        <v>15.47</v>
      </c>
      <c r="I77" s="2"/>
      <c r="J77" s="7">
        <f t="shared" si="53"/>
        <v>1.821256452686889E-4</v>
      </c>
      <c r="K77" s="2"/>
      <c r="L77" s="6">
        <f t="shared" si="54"/>
        <v>-15.47</v>
      </c>
      <c r="M77" s="2"/>
      <c r="N77" s="7">
        <f t="shared" si="55"/>
        <v>-1</v>
      </c>
      <c r="O77" s="11"/>
      <c r="P77" s="6"/>
      <c r="Q77" s="2"/>
      <c r="R77" s="7">
        <f t="shared" si="56"/>
        <v>0</v>
      </c>
      <c r="S77" s="2"/>
      <c r="T77" s="6">
        <v>15.47</v>
      </c>
      <c r="U77" s="2"/>
      <c r="V77" s="7">
        <f t="shared" si="57"/>
        <v>3.8989449913552807E-5</v>
      </c>
      <c r="W77" s="2"/>
      <c r="X77" s="6">
        <f t="shared" si="58"/>
        <v>-15.47</v>
      </c>
      <c r="Y77" s="2"/>
      <c r="Z77" s="7">
        <f t="shared" si="59"/>
        <v>-1</v>
      </c>
    </row>
    <row r="78" spans="1:26" s="26" customFormat="1" outlineLevel="1" collapsed="1" x14ac:dyDescent="0.25">
      <c r="A78" s="27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SUM(OSRRefD22_15x_0)</f>
        <v>-56</v>
      </c>
      <c r="E78" s="1"/>
      <c r="F78" s="5">
        <f t="shared" ref="F78:F83" si="60">IF(D$12=0,0,D78/D$12)</f>
        <v>-6.4682156503097802E-3</v>
      </c>
      <c r="G78" s="1"/>
      <c r="H78" s="1">
        <f>SUM(OSRRefH22_15x_0)</f>
        <v>137.94999999999999</v>
      </c>
      <c r="I78" s="1"/>
      <c r="J78" s="5">
        <f t="shared" ref="J78:J83" si="61">IF(H$12=0,0,H78/H$12)</f>
        <v>1.6240615879001699E-3</v>
      </c>
      <c r="K78" s="1"/>
      <c r="L78" s="1">
        <f t="shared" ref="L78:L83" si="62">+D78-H78</f>
        <v>-193.95</v>
      </c>
      <c r="M78" s="1"/>
      <c r="N78" s="5">
        <f t="shared" ref="N78:N83" si="63">IF(H78=0,0,L78/H78)</f>
        <v>-1.4059441826748822</v>
      </c>
      <c r="O78" s="13"/>
      <c r="P78" s="1">
        <f>SUM(OSRRefP22_15x_0)</f>
        <v>1078</v>
      </c>
      <c r="Q78" s="1"/>
      <c r="R78" s="5">
        <f t="shared" ref="R78:R83" si="64">IF(P$12=0,0,P78/P$12)</f>
        <v>3.0500295383194622E-2</v>
      </c>
      <c r="S78" s="1"/>
      <c r="T78" s="1">
        <f>SUM(OSRRefT22_15x_0)</f>
        <v>718.55</v>
      </c>
      <c r="U78" s="1"/>
      <c r="V78" s="5">
        <f t="shared" ref="V78:V83" si="65">IF(T$12=0,0,T78/T$12)</f>
        <v>1.8109805582018981E-3</v>
      </c>
      <c r="W78" s="1"/>
      <c r="X78" s="1">
        <f t="shared" ref="X78:X83" si="66">+P78-T78</f>
        <v>359.45000000000005</v>
      </c>
      <c r="Y78" s="1"/>
      <c r="Z78" s="5">
        <f t="shared" ref="Z78:Z83" si="67">IF(T78=0,0,X78/T78)</f>
        <v>0.50024354603019983</v>
      </c>
    </row>
    <row r="79" spans="1:26" s="24" customFormat="1" hidden="1" outlineLevel="2" x14ac:dyDescent="0.25">
      <c r="A79" s="25"/>
      <c r="B79" s="11" t="str">
        <f>CONCATENATE("          ", "6309", " - ", "TELEPHONE")</f>
        <v xml:space="preserve">          6309 - TELEPHONE</v>
      </c>
      <c r="C79" s="11"/>
      <c r="D79" s="6">
        <v>-56</v>
      </c>
      <c r="E79" s="2"/>
      <c r="F79" s="7">
        <f t="shared" si="60"/>
        <v>-6.4682156503097802E-3</v>
      </c>
      <c r="G79" s="2"/>
      <c r="H79" s="6">
        <v>137.94999999999999</v>
      </c>
      <c r="I79" s="2"/>
      <c r="J79" s="7">
        <f t="shared" si="61"/>
        <v>1.6240615879001699E-3</v>
      </c>
      <c r="K79" s="2"/>
      <c r="L79" s="6">
        <f t="shared" si="62"/>
        <v>-193.95</v>
      </c>
      <c r="M79" s="2"/>
      <c r="N79" s="7">
        <f t="shared" si="63"/>
        <v>-1.4059441826748822</v>
      </c>
      <c r="O79" s="11"/>
      <c r="P79" s="6">
        <v>1078</v>
      </c>
      <c r="Q79" s="2"/>
      <c r="R79" s="7">
        <f t="shared" si="64"/>
        <v>3.0500295383194622E-2</v>
      </c>
      <c r="S79" s="2"/>
      <c r="T79" s="6">
        <v>718.55</v>
      </c>
      <c r="U79" s="2"/>
      <c r="V79" s="7">
        <f t="shared" si="65"/>
        <v>1.8109805582018981E-3</v>
      </c>
      <c r="W79" s="2"/>
      <c r="X79" s="6">
        <f t="shared" si="66"/>
        <v>359.45000000000005</v>
      </c>
      <c r="Y79" s="2"/>
      <c r="Z79" s="7">
        <f t="shared" si="67"/>
        <v>0.50024354603019983</v>
      </c>
    </row>
    <row r="80" spans="1:26" s="26" customFormat="1" outlineLevel="1" collapsed="1" x14ac:dyDescent="0.25">
      <c r="A80" s="27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SUM(OSRRefD22_16x_0)</f>
        <v>400</v>
      </c>
      <c r="E80" s="1"/>
      <c r="F80" s="5">
        <f t="shared" si="60"/>
        <v>4.6201540359355572E-2</v>
      </c>
      <c r="G80" s="1"/>
      <c r="H80" s="1">
        <f>SUM(OSRRefH22_16x_0)</f>
        <v>0</v>
      </c>
      <c r="I80" s="1"/>
      <c r="J80" s="5">
        <f t="shared" si="61"/>
        <v>0</v>
      </c>
      <c r="K80" s="1"/>
      <c r="L80" s="1">
        <f t="shared" si="62"/>
        <v>400</v>
      </c>
      <c r="M80" s="1"/>
      <c r="N80" s="5">
        <f t="shared" si="63"/>
        <v>0</v>
      </c>
      <c r="O80" s="13"/>
      <c r="P80" s="1">
        <f>SUM(OSRRefP22_16x_0)</f>
        <v>400</v>
      </c>
      <c r="Q80" s="1"/>
      <c r="R80" s="5">
        <f t="shared" si="64"/>
        <v>1.131736377855088E-2</v>
      </c>
      <c r="S80" s="1"/>
      <c r="T80" s="1">
        <f>SUM(OSRRefT22_16x_0)</f>
        <v>144</v>
      </c>
      <c r="U80" s="1"/>
      <c r="V80" s="5">
        <f t="shared" si="65"/>
        <v>3.6292700630585675E-4</v>
      </c>
      <c r="W80" s="1"/>
      <c r="X80" s="1">
        <f t="shared" si="66"/>
        <v>256</v>
      </c>
      <c r="Y80" s="1"/>
      <c r="Z80" s="5">
        <f t="shared" si="67"/>
        <v>1.7777777777777777</v>
      </c>
    </row>
    <row r="81" spans="1:26" s="24" customFormat="1" hidden="1" outlineLevel="2" x14ac:dyDescent="0.25">
      <c r="A81" s="25"/>
      <c r="B81" s="11" t="str">
        <f>CONCATENATE("          ", "6376", " - ", "TRAINING")</f>
        <v xml:space="preserve">          6376 - TRAINING</v>
      </c>
      <c r="C81" s="11"/>
      <c r="D81" s="6">
        <v>400</v>
      </c>
      <c r="E81" s="2"/>
      <c r="F81" s="7">
        <f t="shared" si="60"/>
        <v>4.6201540359355572E-2</v>
      </c>
      <c r="G81" s="2"/>
      <c r="H81" s="6"/>
      <c r="I81" s="2"/>
      <c r="J81" s="7">
        <f t="shared" si="61"/>
        <v>0</v>
      </c>
      <c r="K81" s="2"/>
      <c r="L81" s="6">
        <f t="shared" si="62"/>
        <v>400</v>
      </c>
      <c r="M81" s="2"/>
      <c r="N81" s="7">
        <f t="shared" si="63"/>
        <v>0</v>
      </c>
      <c r="O81" s="11"/>
      <c r="P81" s="6">
        <v>400</v>
      </c>
      <c r="Q81" s="2"/>
      <c r="R81" s="7">
        <f t="shared" si="64"/>
        <v>1.131736377855088E-2</v>
      </c>
      <c r="S81" s="2"/>
      <c r="T81" s="6">
        <v>144</v>
      </c>
      <c r="U81" s="2"/>
      <c r="V81" s="7">
        <f t="shared" si="65"/>
        <v>3.6292700630585675E-4</v>
      </c>
      <c r="W81" s="2"/>
      <c r="X81" s="6">
        <f t="shared" si="66"/>
        <v>256</v>
      </c>
      <c r="Y81" s="2"/>
      <c r="Z81" s="7">
        <f t="shared" si="67"/>
        <v>1.7777777777777777</v>
      </c>
    </row>
    <row r="82" spans="1:26" s="26" customFormat="1" outlineLevel="1" collapsed="1" x14ac:dyDescent="0.25">
      <c r="A82" s="27"/>
      <c r="B82" s="13" t="str">
        <f>CONCATENATE("     ","Utilities                                         ")</f>
        <v xml:space="preserve">     Utilities                                         </v>
      </c>
      <c r="C82" s="13"/>
      <c r="D82" s="1">
        <f>SUM(OSRRefD22_17x_0)</f>
        <v>2312</v>
      </c>
      <c r="E82" s="1"/>
      <c r="F82" s="5">
        <f t="shared" si="60"/>
        <v>0.2670449032770752</v>
      </c>
      <c r="G82" s="1"/>
      <c r="H82" s="1">
        <f>SUM(OSRRefH22_17x_0)</f>
        <v>2031</v>
      </c>
      <c r="I82" s="1"/>
      <c r="J82" s="5">
        <f t="shared" si="61"/>
        <v>2.3910613157123926E-2</v>
      </c>
      <c r="K82" s="1"/>
      <c r="L82" s="1">
        <f t="shared" si="62"/>
        <v>281</v>
      </c>
      <c r="M82" s="1"/>
      <c r="N82" s="5">
        <f t="shared" si="63"/>
        <v>0.13835548990645002</v>
      </c>
      <c r="O82" s="13"/>
      <c r="P82" s="1">
        <f>SUM(OSRRefP22_17x_0)</f>
        <v>11512</v>
      </c>
      <c r="Q82" s="1"/>
      <c r="R82" s="5">
        <f t="shared" si="64"/>
        <v>0.32571372954669431</v>
      </c>
      <c r="S82" s="1"/>
      <c r="T82" s="1">
        <f>SUM(OSRRefT22_17x_0)</f>
        <v>8124</v>
      </c>
      <c r="U82" s="1"/>
      <c r="V82" s="5">
        <f t="shared" si="65"/>
        <v>2.0475131939088752E-2</v>
      </c>
      <c r="W82" s="1"/>
      <c r="X82" s="1">
        <f t="shared" si="66"/>
        <v>3388</v>
      </c>
      <c r="Y82" s="1"/>
      <c r="Z82" s="5">
        <f t="shared" si="67"/>
        <v>0.41703594288527818</v>
      </c>
    </row>
    <row r="83" spans="1:26" s="24" customFormat="1" hidden="1" outlineLevel="2" x14ac:dyDescent="0.25">
      <c r="A83" s="25"/>
      <c r="B83" s="11" t="str">
        <f>CONCATENATE("          ", "6274", " - ", "UTILITIES")</f>
        <v xml:space="preserve">          6274 - UTILITIES</v>
      </c>
      <c r="C83" s="11"/>
      <c r="D83" s="6">
        <v>2312</v>
      </c>
      <c r="E83" s="2"/>
      <c r="F83" s="7">
        <f t="shared" si="60"/>
        <v>0.2670449032770752</v>
      </c>
      <c r="G83" s="2"/>
      <c r="H83" s="6">
        <v>2031</v>
      </c>
      <c r="I83" s="2"/>
      <c r="J83" s="7">
        <f t="shared" si="61"/>
        <v>2.3910613157123926E-2</v>
      </c>
      <c r="K83" s="2"/>
      <c r="L83" s="6">
        <f t="shared" si="62"/>
        <v>281</v>
      </c>
      <c r="M83" s="2"/>
      <c r="N83" s="7">
        <f t="shared" si="63"/>
        <v>0.13835548990645002</v>
      </c>
      <c r="O83" s="11"/>
      <c r="P83" s="6">
        <v>11512</v>
      </c>
      <c r="Q83" s="2"/>
      <c r="R83" s="7">
        <f t="shared" si="64"/>
        <v>0.32571372954669431</v>
      </c>
      <c r="S83" s="2"/>
      <c r="T83" s="6">
        <v>8124</v>
      </c>
      <c r="U83" s="2"/>
      <c r="V83" s="7">
        <f t="shared" si="65"/>
        <v>2.0475131939088752E-2</v>
      </c>
      <c r="W83" s="2"/>
      <c r="X83" s="6">
        <f t="shared" si="66"/>
        <v>3388</v>
      </c>
      <c r="Y83" s="2"/>
      <c r="Z83" s="7">
        <f t="shared" si="67"/>
        <v>0.41703594288527818</v>
      </c>
    </row>
    <row r="84" spans="1:26" s="53" customFormat="1" x14ac:dyDescent="0.25">
      <c r="A84" s="37"/>
      <c r="B84" s="37"/>
      <c r="C84" s="37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25">
      <c r="A85" s="10"/>
      <c r="B85" s="29" t="s">
        <v>0</v>
      </c>
      <c r="C85" s="10"/>
      <c r="D85" s="4">
        <f>SUM(0)</f>
        <v>0</v>
      </c>
      <c r="E85" s="4"/>
      <c r="F85" s="12">
        <f>IF(D$12=0,0,D85/D$12)</f>
        <v>0</v>
      </c>
      <c r="G85" s="4"/>
      <c r="H85" s="4">
        <f>SUM(0)</f>
        <v>0</v>
      </c>
      <c r="I85" s="4"/>
      <c r="J85" s="12">
        <f>IF(H$12=0,0,H85/H$12)</f>
        <v>0</v>
      </c>
      <c r="K85" s="4"/>
      <c r="L85" s="4">
        <f>+D85-H85</f>
        <v>0</v>
      </c>
      <c r="M85" s="4"/>
      <c r="N85" s="12">
        <f>IF(H85=0,0,L85/H85)</f>
        <v>0</v>
      </c>
      <c r="O85" s="10"/>
      <c r="P85" s="4">
        <f>SUM(0)</f>
        <v>0</v>
      </c>
      <c r="Q85" s="4"/>
      <c r="R85" s="12">
        <f>IF(P$12=0,0,P85/P$12)</f>
        <v>0</v>
      </c>
      <c r="S85" s="4"/>
      <c r="T85" s="4">
        <f>SUM(0)</f>
        <v>0</v>
      </c>
      <c r="U85" s="4"/>
      <c r="V85" s="12">
        <f>IF(T$12=0,0,T85/T$12)</f>
        <v>0</v>
      </c>
      <c r="W85" s="4"/>
      <c r="X85" s="4">
        <f>+P85-T85</f>
        <v>0</v>
      </c>
      <c r="Y85" s="4"/>
      <c r="Z85" s="12">
        <f>IF(T85=0,0,X85/T85)</f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8" t="s">
        <v>3</v>
      </c>
      <c r="C87" s="28"/>
      <c r="D87" s="20">
        <f>+D20-D22+D85</f>
        <v>-52075.799999999996</v>
      </c>
      <c r="E87" s="14"/>
      <c r="F87" s="22">
        <f>IF(D$12=0,0,D87/D$12)</f>
        <v>-6.0149554386143222</v>
      </c>
      <c r="G87" s="14"/>
      <c r="H87" s="20">
        <f>+H20-H22+H85</f>
        <v>-11134.939999999988</v>
      </c>
      <c r="I87" s="14"/>
      <c r="J87" s="22">
        <f>IF(H$12=0,0,H87/H$12)</f>
        <v>-0.13108973060944618</v>
      </c>
      <c r="K87" s="15"/>
      <c r="L87" s="20">
        <f>+D87-H87</f>
        <v>-40940.860000000008</v>
      </c>
      <c r="M87" s="15"/>
      <c r="N87" s="22">
        <f>IF(H87=0,0,L87/H87)</f>
        <v>3.676792151551787</v>
      </c>
      <c r="O87" s="29"/>
      <c r="P87" s="20">
        <f>+P20-P22+P85</f>
        <v>-303115.98</v>
      </c>
      <c r="Q87" s="14"/>
      <c r="R87" s="22">
        <f>IF(P$12=0,0,P87/P$12)</f>
        <v>-8.5761845318798819</v>
      </c>
      <c r="S87" s="14"/>
      <c r="T87" s="20">
        <f>+T20-T22+T85</f>
        <v>-84654.320000000065</v>
      </c>
      <c r="U87" s="14"/>
      <c r="V87" s="22">
        <f>IF(T$12=0,0,T87/T$12)</f>
        <v>-0.21335652033651414</v>
      </c>
      <c r="W87" s="15"/>
      <c r="X87" s="20">
        <f>+P87-T87</f>
        <v>-218461.65999999992</v>
      </c>
      <c r="Y87" s="15"/>
      <c r="Z87" s="22">
        <f>IF(T87=0,0,X87/T87)</f>
        <v>2.580632152027206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1"/>
      <c r="B89" s="10" t="s">
        <v>13</v>
      </c>
      <c r="C89" s="10"/>
      <c r="D89" s="4">
        <v>-164.66</v>
      </c>
      <c r="E89" s="4"/>
      <c r="F89" s="12">
        <f>IF(D$12=0,0,D89/D$12)</f>
        <v>-1.9018864088928722E-2</v>
      </c>
      <c r="G89" s="4"/>
      <c r="H89" s="4">
        <v>10625.81</v>
      </c>
      <c r="I89" s="4"/>
      <c r="J89" s="12">
        <f>IF(H$12=0,0,H89/H$12)</f>
        <v>0.12509583081787246</v>
      </c>
      <c r="K89" s="4"/>
      <c r="L89" s="4">
        <f>+D89-H89</f>
        <v>-10790.47</v>
      </c>
      <c r="M89" s="4"/>
      <c r="N89" s="12">
        <f>IF(H89=0,0,L89/H89)</f>
        <v>-1.0154962304050232</v>
      </c>
      <c r="O89" s="10"/>
      <c r="P89" s="4">
        <v>5616.15</v>
      </c>
      <c r="Q89" s="4"/>
      <c r="R89" s="12">
        <f>IF(P$12=0,0,P89/P$12)</f>
        <v>0.1589000314622713</v>
      </c>
      <c r="S89" s="4"/>
      <c r="T89" s="4">
        <v>42015.68</v>
      </c>
      <c r="U89" s="4"/>
      <c r="V89" s="12">
        <f>IF(T$12=0,0,T89/T$12)</f>
        <v>0.10589322889100597</v>
      </c>
      <c r="W89" s="4"/>
      <c r="X89" s="4">
        <f>+P89-T89</f>
        <v>-36399.53</v>
      </c>
      <c r="Y89" s="4"/>
      <c r="Z89" s="12">
        <f>IF(T89=0,0,X89/T89)</f>
        <v>-0.86633204556013366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4</v>
      </c>
      <c r="C91" s="28"/>
      <c r="D91" s="31">
        <f>+D87-D89</f>
        <v>-51911.139999999992</v>
      </c>
      <c r="E91" s="14"/>
      <c r="F91" s="34">
        <f>IF(D$12=0,0,D91/D$12)</f>
        <v>-5.995936574525393</v>
      </c>
      <c r="G91" s="14"/>
      <c r="H91" s="31">
        <f>+H87-H89</f>
        <v>-21760.749999999985</v>
      </c>
      <c r="I91" s="14"/>
      <c r="J91" s="34">
        <f>IF(H$12=0,0,H91/H$12)</f>
        <v>-0.25618556142731863</v>
      </c>
      <c r="K91" s="15"/>
      <c r="L91" s="31">
        <f>D91-H91</f>
        <v>-30150.390000000007</v>
      </c>
      <c r="M91" s="15"/>
      <c r="N91" s="34">
        <f>IF(H91=0,0,L91/H91)</f>
        <v>1.385540020449664</v>
      </c>
      <c r="O91" s="29"/>
      <c r="P91" s="31">
        <f>+P87-P89</f>
        <v>-308732.13</v>
      </c>
      <c r="Q91" s="14"/>
      <c r="R91" s="34">
        <f>IF(P$12=0,0,P91/P$12)</f>
        <v>-8.7350845633421539</v>
      </c>
      <c r="S91" s="14"/>
      <c r="T91" s="31">
        <f>+T87-T89</f>
        <v>-126670.00000000006</v>
      </c>
      <c r="U91" s="14"/>
      <c r="V91" s="34">
        <f>IF(T$12=0,0,T91/T$12)</f>
        <v>-0.31924974922752009</v>
      </c>
      <c r="W91" s="15"/>
      <c r="X91" s="31">
        <f>P91-T91</f>
        <v>-182062.12999999995</v>
      </c>
      <c r="Y91" s="15"/>
      <c r="Z91" s="34">
        <f>IF(T91=0,0,X91/T91)</f>
        <v>1.4372947817162696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8" t="s">
        <v>5</v>
      </c>
      <c r="C94" s="28"/>
      <c r="D94" s="32">
        <f>SUM(D91:D93)</f>
        <v>-51911.139999999992</v>
      </c>
      <c r="E94" s="14"/>
      <c r="F94" s="30">
        <f>IF(D$12=0,0,D94/D$12)</f>
        <v>-5.995936574525393</v>
      </c>
      <c r="G94" s="14"/>
      <c r="H94" s="32">
        <f>SUM(H91:H93)</f>
        <v>-21760.749999999985</v>
      </c>
      <c r="I94" s="14"/>
      <c r="J94" s="30">
        <f>IF(H$12=0,0,H94/H$12)</f>
        <v>-0.25618556142731863</v>
      </c>
      <c r="K94" s="15"/>
      <c r="L94" s="32">
        <f>+D94-H94</f>
        <v>-30150.390000000007</v>
      </c>
      <c r="M94" s="15"/>
      <c r="N94" s="30">
        <f>IF(H94=0,0,L94/H94)</f>
        <v>1.385540020449664</v>
      </c>
      <c r="O94" s="29"/>
      <c r="P94" s="32">
        <f>SUM(P91:P93)</f>
        <v>-308732.13</v>
      </c>
      <c r="Q94" s="14"/>
      <c r="R94" s="30">
        <f>IF(P$12=0,0,P94/P$12)</f>
        <v>-8.7350845633421539</v>
      </c>
      <c r="S94" s="14"/>
      <c r="T94" s="32">
        <f>SUM(T91:T93)</f>
        <v>-126670.00000000006</v>
      </c>
      <c r="U94" s="14"/>
      <c r="V94" s="30">
        <f>IF(T$12=0,0,T94/T$12)</f>
        <v>-0.31924974922752009</v>
      </c>
      <c r="W94" s="15"/>
      <c r="X94" s="32">
        <f>+P94-T94</f>
        <v>-182062.12999999995</v>
      </c>
      <c r="Y94" s="15"/>
      <c r="Z94" s="30">
        <f>IF(T94=0,0,X94/T94)</f>
        <v>1.4372947817162696</v>
      </c>
    </row>
    <row r="95" spans="1:26" ht="15.75" thickTop="1" x14ac:dyDescent="0.25">
      <c r="A95" s="9"/>
      <c r="C95" s="9"/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54">
        <v>44174.686031863428</v>
      </c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56" t="s">
        <v>313</v>
      </c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A98" s="9"/>
      <c r="B98" s="61"/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25"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","418", " - ", "Nugget")</f>
        <v>Department 418 - Nugget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138334.53</v>
      </c>
      <c r="I12" s="4"/>
      <c r="J12" s="12"/>
      <c r="K12" s="4"/>
      <c r="L12" s="4">
        <f t="shared" ref="L12:L14" si="0">+D12-H12</f>
        <v>-138334.53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656573.16</v>
      </c>
      <c r="U12" s="4"/>
      <c r="V12" s="12"/>
      <c r="W12" s="4"/>
      <c r="X12" s="4">
        <f t="shared" ref="X12:X14" si="2">+P12-T12</f>
        <v>-656573.16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4" si="4">0</f>
        <v>0</v>
      </c>
      <c r="E13" s="2"/>
      <c r="F13" s="19"/>
      <c r="G13" s="2"/>
      <c r="H13" s="2">
        <f>--49116.37</f>
        <v>49116.37</v>
      </c>
      <c r="I13" s="2"/>
      <c r="J13" s="19"/>
      <c r="K13" s="2"/>
      <c r="L13" s="2">
        <f t="shared" si="0"/>
        <v>-49116.37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--235107.97</f>
        <v>235107.97</v>
      </c>
      <c r="U13" s="2"/>
      <c r="V13" s="19"/>
      <c r="W13" s="2"/>
      <c r="X13" s="2">
        <f t="shared" si="2"/>
        <v>-235107.97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"4155", " - ", "NON-TAXABLE SALES-FOOD")</f>
        <v xml:space="preserve">          4155 - NON-TAXABLE SALES-FOOD</v>
      </c>
      <c r="C14" s="11"/>
      <c r="D14" s="2">
        <f t="shared" si="4"/>
        <v>0</v>
      </c>
      <c r="E14" s="2"/>
      <c r="F14" s="19"/>
      <c r="G14" s="2"/>
      <c r="H14" s="2">
        <f>--89218.16</f>
        <v>89218.16</v>
      </c>
      <c r="I14" s="2"/>
      <c r="J14" s="19"/>
      <c r="K14" s="2"/>
      <c r="L14" s="2">
        <f t="shared" si="0"/>
        <v>-89218.16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--421465.19</f>
        <v>421465.19</v>
      </c>
      <c r="U14" s="2"/>
      <c r="V14" s="19"/>
      <c r="W14" s="2"/>
      <c r="X14" s="2">
        <f t="shared" si="2"/>
        <v>-421465.19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48400.07</v>
      </c>
      <c r="I16" s="4"/>
      <c r="J16" s="12">
        <f t="shared" ref="J16:J18" si="7">IF(H$12=0,0,H16/H$12)</f>
        <v>0.34987699744958833</v>
      </c>
      <c r="K16" s="4"/>
      <c r="L16" s="4">
        <f t="shared" ref="L16:L18" si="8">+D16-H16</f>
        <v>-48400.07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216522.62</v>
      </c>
      <c r="U16" s="4"/>
      <c r="V16" s="12">
        <f t="shared" ref="V16:V18" si="11">IF(T$12=0,0,T16/T$12)</f>
        <v>0.32977683705499017</v>
      </c>
      <c r="W16" s="4"/>
      <c r="X16" s="4">
        <f t="shared" ref="X16:X18" si="12">+P16-T16</f>
        <v>-216522.62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41430.07</v>
      </c>
      <c r="I17" s="2"/>
      <c r="J17" s="19">
        <f t="shared" si="7"/>
        <v>0.29949189114243568</v>
      </c>
      <c r="K17" s="2"/>
      <c r="L17" s="2">
        <f t="shared" si="8"/>
        <v>-41430.07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221059.62</v>
      </c>
      <c r="U17" s="2"/>
      <c r="V17" s="19">
        <f t="shared" si="11"/>
        <v>0.33668695808400084</v>
      </c>
      <c r="W17" s="2"/>
      <c r="X17" s="2">
        <f t="shared" si="12"/>
        <v>-221059.62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6970</v>
      </c>
      <c r="I18" s="2"/>
      <c r="J18" s="19">
        <f t="shared" si="7"/>
        <v>5.038510630715267E-2</v>
      </c>
      <c r="K18" s="2"/>
      <c r="L18" s="2">
        <f t="shared" si="8"/>
        <v>-6970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-4537</v>
      </c>
      <c r="U18" s="2"/>
      <c r="V18" s="19">
        <f t="shared" si="11"/>
        <v>-6.9101210290106888E-3</v>
      </c>
      <c r="W18" s="2"/>
      <c r="X18" s="2">
        <f t="shared" si="12"/>
        <v>4537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89934.459999999992</v>
      </c>
      <c r="I20" s="14"/>
      <c r="J20" s="22">
        <f>IF(H$12=0,0,H20/H$12)</f>
        <v>0.65012300255041167</v>
      </c>
      <c r="K20" s="15"/>
      <c r="L20" s="20">
        <f>+D20-H20</f>
        <v>-89934.459999999992</v>
      </c>
      <c r="M20" s="15"/>
      <c r="N20" s="22">
        <f>IF(H20=0,0,L20/H20)</f>
        <v>-1</v>
      </c>
      <c r="O20" s="29"/>
      <c r="P20" s="20">
        <f>P12-P16</f>
        <v>0</v>
      </c>
      <c r="Q20" s="14"/>
      <c r="R20" s="22">
        <f>IF(P$12=0,0,P20/P$12)</f>
        <v>0</v>
      </c>
      <c r="S20" s="14"/>
      <c r="T20" s="20">
        <f>T12-T16</f>
        <v>440050.54000000004</v>
      </c>
      <c r="U20" s="14"/>
      <c r="V20" s="22">
        <f>IF(T$12=0,0,T20/T$12)</f>
        <v>0.67022316294500983</v>
      </c>
      <c r="W20" s="15"/>
      <c r="X20" s="20">
        <f>+P20-T20</f>
        <v>-440050.54000000004</v>
      </c>
      <c r="Y20" s="15"/>
      <c r="Z20" s="22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6747.53</v>
      </c>
      <c r="E22" s="21"/>
      <c r="F22" s="35">
        <f t="shared" ref="F22:F31" si="14">IF(D$12=0,0,D22/D$12)</f>
        <v>0</v>
      </c>
      <c r="G22" s="21"/>
      <c r="H22" s="21">
        <f>SUM(OSRRefH22x_0)</f>
        <v>62506.18</v>
      </c>
      <c r="I22" s="21"/>
      <c r="J22" s="35">
        <f t="shared" ref="J22:J31" si="15">IF(H$12=0,0,H22/H$12)</f>
        <v>0.45184799485710475</v>
      </c>
      <c r="K22" s="4"/>
      <c r="L22" s="21">
        <f t="shared" ref="L22:L31" si="16">+D22-H22</f>
        <v>-55758.65</v>
      </c>
      <c r="M22" s="4"/>
      <c r="N22" s="35">
        <f t="shared" ref="N22:N31" si="17">IF(H22=0,0,L22/H22)</f>
        <v>-0.89205019407680974</v>
      </c>
      <c r="O22" s="10"/>
      <c r="P22" s="21">
        <f>SUM(OSRRefP22x_0)</f>
        <v>45337.62000000001</v>
      </c>
      <c r="Q22" s="21"/>
      <c r="R22" s="35">
        <f t="shared" ref="R22:R31" si="18">IF(P$12=0,0,P22/P$12)</f>
        <v>0</v>
      </c>
      <c r="S22" s="21"/>
      <c r="T22" s="21">
        <f>SUM(OSRRefT22x_0)</f>
        <v>304107.54999999981</v>
      </c>
      <c r="U22" s="21"/>
      <c r="V22" s="35">
        <f t="shared" ref="V22:V31" si="19">IF(T$12=0,0,T22/T$12)</f>
        <v>0.46317389824463706</v>
      </c>
      <c r="W22" s="4"/>
      <c r="X22" s="21">
        <f t="shared" ref="X22:X31" si="20">+P22-T22</f>
        <v>-258769.92999999982</v>
      </c>
      <c r="Y22" s="4"/>
      <c r="Z22" s="35">
        <f t="shared" ref="Z22:Z31" si="21">IF(T22=0,0,X22/T22)</f>
        <v>-0.85091583553252781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2.36</v>
      </c>
      <c r="E23" s="1"/>
      <c r="F23" s="5">
        <f t="shared" si="14"/>
        <v>0</v>
      </c>
      <c r="G23" s="1"/>
      <c r="H23" s="1">
        <f>SUM(OSRRefH22_0x_0)</f>
        <v>11150.01</v>
      </c>
      <c r="I23" s="1"/>
      <c r="J23" s="5">
        <f t="shared" si="15"/>
        <v>8.0601784673718133E-2</v>
      </c>
      <c r="K23" s="1"/>
      <c r="L23" s="1">
        <f t="shared" si="16"/>
        <v>-11147.65</v>
      </c>
      <c r="M23" s="1"/>
      <c r="N23" s="5">
        <f t="shared" si="17"/>
        <v>-0.99978834099700353</v>
      </c>
      <c r="O23" s="13"/>
      <c r="P23" s="1">
        <f>SUM(OSRRefP22_0x_0)</f>
        <v>6086.32</v>
      </c>
      <c r="Q23" s="1"/>
      <c r="R23" s="5">
        <f t="shared" si="18"/>
        <v>0</v>
      </c>
      <c r="S23" s="1"/>
      <c r="T23" s="1">
        <f>SUM(OSRRefT22_0x_0)</f>
        <v>38712.910000000003</v>
      </c>
      <c r="U23" s="1"/>
      <c r="V23" s="5">
        <f t="shared" si="19"/>
        <v>5.8962066009521315E-2</v>
      </c>
      <c r="W23" s="1"/>
      <c r="X23" s="1">
        <f t="shared" si="20"/>
        <v>-32626.590000000004</v>
      </c>
      <c r="Y23" s="1"/>
      <c r="Z23" s="5">
        <f t="shared" si="21"/>
        <v>-0.84278319557997583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>
        <v>2.36</v>
      </c>
      <c r="E24" s="2"/>
      <c r="F24" s="7">
        <f t="shared" si="14"/>
        <v>0</v>
      </c>
      <c r="G24" s="2"/>
      <c r="H24" s="6">
        <v>1921.61</v>
      </c>
      <c r="I24" s="2"/>
      <c r="J24" s="7">
        <f t="shared" si="15"/>
        <v>1.3891036460672544E-2</v>
      </c>
      <c r="K24" s="2"/>
      <c r="L24" s="6">
        <f t="shared" si="16"/>
        <v>-1919.25</v>
      </c>
      <c r="M24" s="2"/>
      <c r="N24" s="7">
        <f t="shared" si="17"/>
        <v>-0.99877186317723166</v>
      </c>
      <c r="O24" s="11"/>
      <c r="P24" s="6">
        <v>237.51</v>
      </c>
      <c r="Q24" s="2"/>
      <c r="R24" s="7">
        <f t="shared" si="18"/>
        <v>0</v>
      </c>
      <c r="S24" s="2"/>
      <c r="T24" s="6">
        <v>9276.0499999999993</v>
      </c>
      <c r="U24" s="2"/>
      <c r="V24" s="7">
        <f t="shared" si="19"/>
        <v>1.4127976233448225E-2</v>
      </c>
      <c r="W24" s="2"/>
      <c r="X24" s="6">
        <f t="shared" si="20"/>
        <v>-9038.5399999999991</v>
      </c>
      <c r="Y24" s="2"/>
      <c r="Z24" s="7">
        <f t="shared" si="21"/>
        <v>-0.97439535146964495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1646.25</v>
      </c>
      <c r="I25" s="2"/>
      <c r="J25" s="7">
        <f t="shared" si="15"/>
        <v>1.1900499463149222E-2</v>
      </c>
      <c r="K25" s="2"/>
      <c r="L25" s="6">
        <f t="shared" si="16"/>
        <v>-1646.25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4007.16</v>
      </c>
      <c r="U25" s="2"/>
      <c r="V25" s="7">
        <f t="shared" si="19"/>
        <v>6.1031431744788343E-3</v>
      </c>
      <c r="W25" s="2"/>
      <c r="X25" s="6">
        <f t="shared" si="20"/>
        <v>-4007.16</v>
      </c>
      <c r="Y25" s="2"/>
      <c r="Z25" s="7">
        <f t="shared" si="21"/>
        <v>-1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5096.34</v>
      </c>
      <c r="I26" s="2"/>
      <c r="J26" s="7">
        <f t="shared" si="15"/>
        <v>3.6840693354002071E-2</v>
      </c>
      <c r="K26" s="2"/>
      <c r="L26" s="6">
        <f t="shared" si="16"/>
        <v>-5096.34</v>
      </c>
      <c r="M26" s="2"/>
      <c r="N26" s="7">
        <f t="shared" si="17"/>
        <v>-1</v>
      </c>
      <c r="O26" s="11"/>
      <c r="P26" s="6">
        <v>4780.67</v>
      </c>
      <c r="Q26" s="2"/>
      <c r="R26" s="7">
        <f t="shared" si="18"/>
        <v>0</v>
      </c>
      <c r="S26" s="2"/>
      <c r="T26" s="6">
        <v>15331.96</v>
      </c>
      <c r="U26" s="2"/>
      <c r="V26" s="7">
        <f t="shared" si="19"/>
        <v>2.3351487593553166E-2</v>
      </c>
      <c r="W26" s="2"/>
      <c r="X26" s="6">
        <f t="shared" si="20"/>
        <v>-10551.289999999999</v>
      </c>
      <c r="Y26" s="2"/>
      <c r="Z26" s="7">
        <f t="shared" si="21"/>
        <v>-0.68818924651512259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110.32</v>
      </c>
      <c r="I27" s="2"/>
      <c r="J27" s="7">
        <f t="shared" si="15"/>
        <v>7.9748707715998309E-4</v>
      </c>
      <c r="K27" s="2"/>
      <c r="L27" s="6">
        <f t="shared" si="16"/>
        <v>-110.32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405.79</v>
      </c>
      <c r="U27" s="2"/>
      <c r="V27" s="7">
        <f t="shared" si="19"/>
        <v>6.1804232143756836E-4</v>
      </c>
      <c r="W27" s="2"/>
      <c r="X27" s="6">
        <f t="shared" si="20"/>
        <v>-405.79</v>
      </c>
      <c r="Y27" s="2"/>
      <c r="Z27" s="7">
        <f t="shared" si="21"/>
        <v>-1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617.47</v>
      </c>
      <c r="I28" s="2"/>
      <c r="J28" s="7">
        <f t="shared" si="15"/>
        <v>4.4635999413884589E-3</v>
      </c>
      <c r="K28" s="2"/>
      <c r="L28" s="6">
        <f t="shared" si="16"/>
        <v>-617.47</v>
      </c>
      <c r="M28" s="2"/>
      <c r="N28" s="7">
        <f t="shared" si="17"/>
        <v>-1</v>
      </c>
      <c r="O28" s="11"/>
      <c r="P28" s="6">
        <v>678.15</v>
      </c>
      <c r="Q28" s="2"/>
      <c r="R28" s="7">
        <f t="shared" si="18"/>
        <v>0</v>
      </c>
      <c r="S28" s="2"/>
      <c r="T28" s="6">
        <v>2284.08</v>
      </c>
      <c r="U28" s="2"/>
      <c r="V28" s="7">
        <f t="shared" si="19"/>
        <v>3.4787897817815153E-3</v>
      </c>
      <c r="W28" s="2"/>
      <c r="X28" s="6">
        <f t="shared" si="20"/>
        <v>-1605.9299999999998</v>
      </c>
      <c r="Y28" s="2"/>
      <c r="Z28" s="7">
        <f t="shared" si="21"/>
        <v>-0.70309708941893445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629.32000000000005</v>
      </c>
      <c r="I29" s="2"/>
      <c r="J29" s="7">
        <f t="shared" si="15"/>
        <v>4.5492618509637471E-3</v>
      </c>
      <c r="K29" s="2"/>
      <c r="L29" s="6">
        <f t="shared" si="16"/>
        <v>-629.32000000000005</v>
      </c>
      <c r="M29" s="2"/>
      <c r="N29" s="7">
        <f t="shared" si="17"/>
        <v>-1</v>
      </c>
      <c r="O29" s="11"/>
      <c r="P29" s="6">
        <v>248.21</v>
      </c>
      <c r="Q29" s="2"/>
      <c r="R29" s="7">
        <f t="shared" si="18"/>
        <v>0</v>
      </c>
      <c r="S29" s="2"/>
      <c r="T29" s="6">
        <v>2791.59</v>
      </c>
      <c r="U29" s="2"/>
      <c r="V29" s="7">
        <f t="shared" si="19"/>
        <v>4.2517577172968817E-3</v>
      </c>
      <c r="W29" s="2"/>
      <c r="X29" s="6">
        <f t="shared" si="20"/>
        <v>-2543.38</v>
      </c>
      <c r="Y29" s="2"/>
      <c r="Z29" s="7">
        <f t="shared" si="21"/>
        <v>-0.91108651342066704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665.96</v>
      </c>
      <c r="I30" s="2"/>
      <c r="J30" s="7">
        <f t="shared" si="15"/>
        <v>4.8141270295999133E-3</v>
      </c>
      <c r="K30" s="2"/>
      <c r="L30" s="6">
        <f t="shared" si="16"/>
        <v>-665.96</v>
      </c>
      <c r="M30" s="2"/>
      <c r="N30" s="7">
        <f t="shared" si="17"/>
        <v>-1</v>
      </c>
      <c r="O30" s="11"/>
      <c r="P30" s="6">
        <v>141.78</v>
      </c>
      <c r="Q30" s="2"/>
      <c r="R30" s="7">
        <f t="shared" si="18"/>
        <v>0</v>
      </c>
      <c r="S30" s="2"/>
      <c r="T30" s="6">
        <v>2833.94</v>
      </c>
      <c r="U30" s="2"/>
      <c r="V30" s="7">
        <f t="shared" si="19"/>
        <v>4.3162592878453936E-3</v>
      </c>
      <c r="W30" s="2"/>
      <c r="X30" s="6">
        <f t="shared" si="20"/>
        <v>-2692.16</v>
      </c>
      <c r="Y30" s="2"/>
      <c r="Z30" s="7">
        <f t="shared" si="21"/>
        <v>-0.94997071215339768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462.74</v>
      </c>
      <c r="I31" s="2"/>
      <c r="J31" s="7">
        <f t="shared" si="15"/>
        <v>3.3450794967821848E-3</v>
      </c>
      <c r="K31" s="2"/>
      <c r="L31" s="6">
        <f t="shared" si="16"/>
        <v>-462.74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1782.34</v>
      </c>
      <c r="U31" s="2"/>
      <c r="V31" s="7">
        <f t="shared" si="19"/>
        <v>2.7146098996797246E-3</v>
      </c>
      <c r="W31" s="2"/>
      <c r="X31" s="6">
        <f t="shared" si="20"/>
        <v>-1782.34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8" si="22">IF(D$12=0,0,D32/D$12)</f>
        <v>0</v>
      </c>
      <c r="G32" s="1"/>
      <c r="H32" s="1">
        <f>SUM(OSRRefH22_1x_0)</f>
        <v>35430.97</v>
      </c>
      <c r="I32" s="1"/>
      <c r="J32" s="5">
        <f t="shared" ref="J32:J38" si="23">IF(H$12=0,0,H32/H$12)</f>
        <v>0.25612527833795368</v>
      </c>
      <c r="K32" s="1"/>
      <c r="L32" s="1">
        <f t="shared" ref="L32:L38" si="24">+D32-H32</f>
        <v>-35430.97</v>
      </c>
      <c r="M32" s="1"/>
      <c r="N32" s="5">
        <f t="shared" ref="N32:N38" si="25">IF(H32=0,0,L32/H32)</f>
        <v>-1</v>
      </c>
      <c r="O32" s="13"/>
      <c r="P32" s="1">
        <f>SUM(OSRRefP22_1x_0)</f>
        <v>2151.69</v>
      </c>
      <c r="Q32" s="1"/>
      <c r="R32" s="5">
        <f t="shared" ref="R32:R38" si="26">IF(P$12=0,0,P32/P$12)</f>
        <v>0</v>
      </c>
      <c r="S32" s="1"/>
      <c r="T32" s="1">
        <f>SUM(OSRRefT22_1x_0)</f>
        <v>166712.15</v>
      </c>
      <c r="U32" s="1"/>
      <c r="V32" s="5">
        <f t="shared" ref="V32:V38" si="27">IF(T$12=0,0,T32/T$12)</f>
        <v>0.25391252667105674</v>
      </c>
      <c r="W32" s="1"/>
      <c r="X32" s="1">
        <f t="shared" ref="X32:X38" si="28">+P32-T32</f>
        <v>-164560.46</v>
      </c>
      <c r="Y32" s="1"/>
      <c r="Z32" s="5">
        <f t="shared" ref="Z32:Z38" si="29">IF(T32=0,0,X32/T32)</f>
        <v>-0.98709338221599319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8840</v>
      </c>
      <c r="I33" s="2"/>
      <c r="J33" s="7">
        <f t="shared" si="23"/>
        <v>6.3903061657852159E-2</v>
      </c>
      <c r="K33" s="2"/>
      <c r="L33" s="6">
        <f t="shared" si="24"/>
        <v>-8840</v>
      </c>
      <c r="M33" s="2"/>
      <c r="N33" s="7">
        <f t="shared" si="25"/>
        <v>-1</v>
      </c>
      <c r="O33" s="11"/>
      <c r="P33" s="6">
        <v>2151.69</v>
      </c>
      <c r="Q33" s="2"/>
      <c r="R33" s="7">
        <f t="shared" si="26"/>
        <v>0</v>
      </c>
      <c r="S33" s="2"/>
      <c r="T33" s="6">
        <v>35968</v>
      </c>
      <c r="U33" s="2"/>
      <c r="V33" s="7">
        <f t="shared" si="27"/>
        <v>5.4781404710481915E-2</v>
      </c>
      <c r="W33" s="2"/>
      <c r="X33" s="6">
        <f t="shared" si="28"/>
        <v>-33816.31</v>
      </c>
      <c r="Y33" s="2"/>
      <c r="Z33" s="7">
        <f t="shared" si="29"/>
        <v>-0.94017765791814945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2"/>
        <v>0</v>
      </c>
      <c r="G34" s="2"/>
      <c r="H34" s="6">
        <v>5392.91</v>
      </c>
      <c r="I34" s="2"/>
      <c r="J34" s="7">
        <f t="shared" si="23"/>
        <v>3.8984554326385465E-2</v>
      </c>
      <c r="K34" s="2"/>
      <c r="L34" s="6">
        <f t="shared" si="24"/>
        <v>-5392.91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17013.990000000002</v>
      </c>
      <c r="U34" s="2"/>
      <c r="V34" s="7">
        <f t="shared" si="27"/>
        <v>2.5913319393074185E-2</v>
      </c>
      <c r="W34" s="2"/>
      <c r="X34" s="6">
        <f t="shared" si="28"/>
        <v>-17013.990000000002</v>
      </c>
      <c r="Y34" s="2"/>
      <c r="Z34" s="7">
        <f t="shared" si="29"/>
        <v>-1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2"/>
        <v>0</v>
      </c>
      <c r="G35" s="2"/>
      <c r="H35" s="6">
        <v>10106.99</v>
      </c>
      <c r="I35" s="2"/>
      <c r="J35" s="7">
        <f t="shared" si="23"/>
        <v>7.3061946283404441E-2</v>
      </c>
      <c r="K35" s="2"/>
      <c r="L35" s="6">
        <f t="shared" si="24"/>
        <v>-10106.99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49771.839999999997</v>
      </c>
      <c r="U35" s="2"/>
      <c r="V35" s="7">
        <f t="shared" si="27"/>
        <v>7.580547459478848E-2</v>
      </c>
      <c r="W35" s="2"/>
      <c r="X35" s="6">
        <f t="shared" si="28"/>
        <v>-49771.839999999997</v>
      </c>
      <c r="Y35" s="2"/>
      <c r="Z35" s="7">
        <f t="shared" si="29"/>
        <v>-1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2"/>
        <v>0</v>
      </c>
      <c r="G36" s="2"/>
      <c r="H36" s="6">
        <v>611</v>
      </c>
      <c r="I36" s="2"/>
      <c r="J36" s="7">
        <f t="shared" si="23"/>
        <v>4.4168292616456641E-3</v>
      </c>
      <c r="K36" s="2"/>
      <c r="L36" s="6">
        <f t="shared" si="24"/>
        <v>-611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6646.26</v>
      </c>
      <c r="U36" s="2"/>
      <c r="V36" s="7">
        <f t="shared" si="27"/>
        <v>1.0122649546015557E-2</v>
      </c>
      <c r="W36" s="2"/>
      <c r="X36" s="6">
        <f t="shared" si="28"/>
        <v>-6646.26</v>
      </c>
      <c r="Y36" s="2"/>
      <c r="Z36" s="7">
        <f t="shared" si="29"/>
        <v>-1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22"/>
        <v>0</v>
      </c>
      <c r="G37" s="2"/>
      <c r="H37" s="6">
        <v>10480.07</v>
      </c>
      <c r="I37" s="2"/>
      <c r="J37" s="7">
        <f t="shared" si="23"/>
        <v>7.5758886808665923E-2</v>
      </c>
      <c r="K37" s="2"/>
      <c r="L37" s="6">
        <f t="shared" si="24"/>
        <v>-10480.07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55482.060000000005</v>
      </c>
      <c r="U37" s="2"/>
      <c r="V37" s="7">
        <f t="shared" si="27"/>
        <v>8.4502479510432632E-2</v>
      </c>
      <c r="W37" s="2"/>
      <c r="X37" s="6">
        <f t="shared" si="28"/>
        <v>-55482.060000000005</v>
      </c>
      <c r="Y37" s="2"/>
      <c r="Z37" s="7">
        <f t="shared" si="29"/>
        <v>-1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1830</v>
      </c>
      <c r="U38" s="2"/>
      <c r="V38" s="7">
        <f t="shared" si="27"/>
        <v>2.7871989162639543E-3</v>
      </c>
      <c r="W38" s="2"/>
      <c r="X38" s="6">
        <f t="shared" si="28"/>
        <v>-1830</v>
      </c>
      <c r="Y38" s="2"/>
      <c r="Z38" s="7">
        <f t="shared" si="29"/>
        <v>-1</v>
      </c>
    </row>
    <row r="39" spans="1:26" s="26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47" si="30">IF(D$12=0,0,D39/D$12)</f>
        <v>0</v>
      </c>
      <c r="G39" s="1"/>
      <c r="H39" s="1">
        <f>SUM(OSRRefH22_2x_0)</f>
        <v>600.17999999999995</v>
      </c>
      <c r="I39" s="1"/>
      <c r="J39" s="5">
        <f t="shared" ref="J39:J47" si="31">IF(H$12=0,0,H39/H$12)</f>
        <v>4.3386130707929538E-3</v>
      </c>
      <c r="K39" s="1"/>
      <c r="L39" s="1">
        <f t="shared" ref="L39:L47" si="32">+D39-H39</f>
        <v>-600.17999999999995</v>
      </c>
      <c r="M39" s="1"/>
      <c r="N39" s="5">
        <f t="shared" ref="N39:N47" si="33">IF(H39=0,0,L39/H39)</f>
        <v>-1</v>
      </c>
      <c r="O39" s="13"/>
      <c r="P39" s="1">
        <f>SUM(OSRRefP22_2x_0)</f>
        <v>0</v>
      </c>
      <c r="Q39" s="1"/>
      <c r="R39" s="5">
        <f t="shared" ref="R39:R47" si="34">IF(P$12=0,0,P39/P$12)</f>
        <v>0</v>
      </c>
      <c r="S39" s="1"/>
      <c r="T39" s="1">
        <f>SUM(OSRRefT22_2x_0)</f>
        <v>3041.11</v>
      </c>
      <c r="U39" s="1"/>
      <c r="V39" s="5">
        <f t="shared" ref="V39:V47" si="35">IF(T$12=0,0,T39/T$12)</f>
        <v>4.6317915279997131E-3</v>
      </c>
      <c r="W39" s="1"/>
      <c r="X39" s="1">
        <f t="shared" ref="X39:X47" si="36">+P39-T39</f>
        <v>-3041.11</v>
      </c>
      <c r="Y39" s="1"/>
      <c r="Z39" s="5">
        <f t="shared" ref="Z39:Z47" si="37">IF(T39=0,0,X39/T39)</f>
        <v>-1</v>
      </c>
    </row>
    <row r="40" spans="1:26" s="24" customFormat="1" hidden="1" outlineLevel="2" x14ac:dyDescent="0.25">
      <c r="A40" s="25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30"/>
        <v>0</v>
      </c>
      <c r="G40" s="2"/>
      <c r="H40" s="6">
        <v>600.17999999999995</v>
      </c>
      <c r="I40" s="2"/>
      <c r="J40" s="7">
        <f t="shared" si="31"/>
        <v>4.3386130707929538E-3</v>
      </c>
      <c r="K40" s="2"/>
      <c r="L40" s="6">
        <f t="shared" si="32"/>
        <v>-600.17999999999995</v>
      </c>
      <c r="M40" s="2"/>
      <c r="N40" s="7">
        <f t="shared" si="33"/>
        <v>-1</v>
      </c>
      <c r="O40" s="11"/>
      <c r="P40" s="6"/>
      <c r="Q40" s="2"/>
      <c r="R40" s="7">
        <f t="shared" si="34"/>
        <v>0</v>
      </c>
      <c r="S40" s="2"/>
      <c r="T40" s="6">
        <v>3041.11</v>
      </c>
      <c r="U40" s="2"/>
      <c r="V40" s="7">
        <f t="shared" si="35"/>
        <v>4.6317915279997131E-3</v>
      </c>
      <c r="W40" s="2"/>
      <c r="X40" s="6">
        <f t="shared" si="36"/>
        <v>-3041.11</v>
      </c>
      <c r="Y40" s="2"/>
      <c r="Z40" s="7">
        <f t="shared" si="37"/>
        <v>-1</v>
      </c>
    </row>
    <row r="41" spans="1:26" s="26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-2.54</v>
      </c>
      <c r="I41" s="1"/>
      <c r="J41" s="5">
        <f t="shared" si="31"/>
        <v>-1.8361286946939424E-5</v>
      </c>
      <c r="K41" s="1"/>
      <c r="L41" s="1">
        <f t="shared" si="32"/>
        <v>2.54</v>
      </c>
      <c r="M41" s="1"/>
      <c r="N41" s="5">
        <f t="shared" si="33"/>
        <v>-1</v>
      </c>
      <c r="O41" s="13"/>
      <c r="P41" s="1">
        <f>SUM(OSRRefP22_3x_0)</f>
        <v>0</v>
      </c>
      <c r="Q41" s="1"/>
      <c r="R41" s="5">
        <f t="shared" si="34"/>
        <v>0</v>
      </c>
      <c r="S41" s="1"/>
      <c r="T41" s="1">
        <f>SUM(OSRRefT22_3x_0)</f>
        <v>1.62</v>
      </c>
      <c r="U41" s="1"/>
      <c r="V41" s="5">
        <f t="shared" si="35"/>
        <v>2.4673564176762877E-6</v>
      </c>
      <c r="W41" s="1"/>
      <c r="X41" s="1">
        <f t="shared" si="36"/>
        <v>-1.62</v>
      </c>
      <c r="Y41" s="1"/>
      <c r="Z41" s="5">
        <f t="shared" si="37"/>
        <v>-1</v>
      </c>
    </row>
    <row r="42" spans="1:26" s="24" customFormat="1" hidden="1" outlineLevel="2" x14ac:dyDescent="0.25">
      <c r="A42" s="25"/>
      <c r="B42" s="11" t="str">
        <f>CONCATENATE("          ", "6272", " - ", "CASH (OVER/SHORT)")</f>
        <v xml:space="preserve">          6272 - CASH (OVER/SHORT)</v>
      </c>
      <c r="C42" s="11"/>
      <c r="D42" s="6"/>
      <c r="E42" s="2"/>
      <c r="F42" s="7">
        <f t="shared" si="30"/>
        <v>0</v>
      </c>
      <c r="G42" s="2"/>
      <c r="H42" s="6">
        <v>-2.54</v>
      </c>
      <c r="I42" s="2"/>
      <c r="J42" s="7">
        <f t="shared" si="31"/>
        <v>-1.8361286946939424E-5</v>
      </c>
      <c r="K42" s="2"/>
      <c r="L42" s="6">
        <f t="shared" si="32"/>
        <v>2.54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1.62</v>
      </c>
      <c r="U42" s="2"/>
      <c r="V42" s="7">
        <f t="shared" si="35"/>
        <v>2.4673564176762877E-6</v>
      </c>
      <c r="W42" s="2"/>
      <c r="X42" s="6">
        <f t="shared" si="36"/>
        <v>-1.62</v>
      </c>
      <c r="Y42" s="2"/>
      <c r="Z42" s="7">
        <f t="shared" si="37"/>
        <v>-1</v>
      </c>
    </row>
    <row r="43" spans="1:26" s="26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0</v>
      </c>
      <c r="E43" s="1"/>
      <c r="F43" s="5">
        <f t="shared" si="30"/>
        <v>0</v>
      </c>
      <c r="G43" s="1"/>
      <c r="H43" s="1">
        <f>SUM(OSRRefH22_4x_0)</f>
        <v>4616.08</v>
      </c>
      <c r="I43" s="1"/>
      <c r="J43" s="5">
        <f t="shared" si="31"/>
        <v>3.3368964350404776E-2</v>
      </c>
      <c r="K43" s="1"/>
      <c r="L43" s="1">
        <f t="shared" si="32"/>
        <v>-4616.08</v>
      </c>
      <c r="M43" s="1"/>
      <c r="N43" s="5">
        <f t="shared" si="33"/>
        <v>-1</v>
      </c>
      <c r="O43" s="13"/>
      <c r="P43" s="1">
        <f>SUM(OSRRefP22_4x_0)</f>
        <v>0</v>
      </c>
      <c r="Q43" s="1"/>
      <c r="R43" s="5">
        <f t="shared" si="34"/>
        <v>0</v>
      </c>
      <c r="S43" s="1"/>
      <c r="T43" s="1">
        <f>SUM(OSRRefT22_4x_0)</f>
        <v>23499.670000000002</v>
      </c>
      <c r="U43" s="1"/>
      <c r="V43" s="5">
        <f t="shared" si="35"/>
        <v>3.5791396041836378E-2</v>
      </c>
      <c r="W43" s="1"/>
      <c r="X43" s="1">
        <f t="shared" si="36"/>
        <v>-23499.670000000002</v>
      </c>
      <c r="Y43" s="1"/>
      <c r="Z43" s="5">
        <f t="shared" si="37"/>
        <v>-1</v>
      </c>
    </row>
    <row r="44" spans="1:26" s="24" customFormat="1" hidden="1" outlineLevel="2" x14ac:dyDescent="0.25">
      <c r="A44" s="25"/>
      <c r="B44" s="11" t="str">
        <f>CONCATENATE("          ", "6381", " - ", "BANK/CREDIT CARD FEES")</f>
        <v xml:space="preserve">          6381 - BANK/CREDIT CARD FEES</v>
      </c>
      <c r="C44" s="11"/>
      <c r="D44" s="6"/>
      <c r="E44" s="2"/>
      <c r="F44" s="7">
        <f t="shared" si="30"/>
        <v>0</v>
      </c>
      <c r="G44" s="2"/>
      <c r="H44" s="6">
        <v>4616.08</v>
      </c>
      <c r="I44" s="2"/>
      <c r="J44" s="7">
        <f t="shared" si="31"/>
        <v>3.3368964350404776E-2</v>
      </c>
      <c r="K44" s="2"/>
      <c r="L44" s="6">
        <f t="shared" si="32"/>
        <v>-4616.08</v>
      </c>
      <c r="M44" s="2"/>
      <c r="N44" s="7">
        <f t="shared" si="33"/>
        <v>-1</v>
      </c>
      <c r="O44" s="11"/>
      <c r="P44" s="6"/>
      <c r="Q44" s="2"/>
      <c r="R44" s="7">
        <f t="shared" si="34"/>
        <v>0</v>
      </c>
      <c r="S44" s="2"/>
      <c r="T44" s="6">
        <v>23499.670000000002</v>
      </c>
      <c r="U44" s="2"/>
      <c r="V44" s="7">
        <f t="shared" si="35"/>
        <v>3.5791396041836378E-2</v>
      </c>
      <c r="W44" s="2"/>
      <c r="X44" s="6">
        <f t="shared" si="36"/>
        <v>-23499.670000000002</v>
      </c>
      <c r="Y44" s="2"/>
      <c r="Z44" s="7">
        <f t="shared" si="37"/>
        <v>-1</v>
      </c>
    </row>
    <row r="45" spans="1:26" s="26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6745.17</v>
      </c>
      <c r="E45" s="1"/>
      <c r="F45" s="5">
        <f t="shared" si="30"/>
        <v>0</v>
      </c>
      <c r="G45" s="1"/>
      <c r="H45" s="1">
        <f>SUM(OSRRefH22_5x_0)</f>
        <v>8263.4700000000012</v>
      </c>
      <c r="I45" s="1"/>
      <c r="J45" s="5">
        <f t="shared" si="31"/>
        <v>5.9735410963553358E-2</v>
      </c>
      <c r="K45" s="1"/>
      <c r="L45" s="1">
        <f t="shared" si="32"/>
        <v>-1518.3000000000011</v>
      </c>
      <c r="M45" s="1"/>
      <c r="N45" s="5">
        <f t="shared" si="33"/>
        <v>-0.18373637225039854</v>
      </c>
      <c r="O45" s="13"/>
      <c r="P45" s="1">
        <f>SUM(OSRRefP22_5x_0)</f>
        <v>35023</v>
      </c>
      <c r="Q45" s="1"/>
      <c r="R45" s="5">
        <f t="shared" si="34"/>
        <v>0</v>
      </c>
      <c r="S45" s="1"/>
      <c r="T45" s="1">
        <f>SUM(OSRRefT22_5x_0)</f>
        <v>41317.35</v>
      </c>
      <c r="U45" s="1"/>
      <c r="V45" s="5">
        <f t="shared" si="35"/>
        <v>6.2928783138195901E-2</v>
      </c>
      <c r="W45" s="1"/>
      <c r="X45" s="1">
        <f t="shared" si="36"/>
        <v>-6294.3499999999985</v>
      </c>
      <c r="Y45" s="1"/>
      <c r="Z45" s="5">
        <f t="shared" si="37"/>
        <v>-0.15234157079289931</v>
      </c>
    </row>
    <row r="46" spans="1:26" s="24" customFormat="1" hidden="1" outlineLevel="2" x14ac:dyDescent="0.25">
      <c r="A46" s="25"/>
      <c r="B46" s="11" t="str">
        <f>CONCATENATE("          ", "6321", " - ", "BUILDING DEPRECIATION")</f>
        <v xml:space="preserve">          6321 - BUILDING DEPRECIATION</v>
      </c>
      <c r="C46" s="11"/>
      <c r="D46" s="6">
        <v>6537.05</v>
      </c>
      <c r="E46" s="2"/>
      <c r="F46" s="7">
        <f t="shared" si="30"/>
        <v>0</v>
      </c>
      <c r="G46" s="2"/>
      <c r="H46" s="6">
        <v>6537.05</v>
      </c>
      <c r="I46" s="2"/>
      <c r="J46" s="7">
        <f t="shared" si="31"/>
        <v>4.7255374345074944E-2</v>
      </c>
      <c r="K46" s="2"/>
      <c r="L46" s="6">
        <f t="shared" si="32"/>
        <v>0</v>
      </c>
      <c r="M46" s="2"/>
      <c r="N46" s="7">
        <f t="shared" si="33"/>
        <v>0</v>
      </c>
      <c r="O46" s="11"/>
      <c r="P46" s="6">
        <v>32685.25</v>
      </c>
      <c r="Q46" s="2"/>
      <c r="R46" s="7">
        <f t="shared" si="34"/>
        <v>0</v>
      </c>
      <c r="S46" s="2"/>
      <c r="T46" s="6">
        <v>32685.25</v>
      </c>
      <c r="U46" s="2"/>
      <c r="V46" s="7">
        <f t="shared" si="35"/>
        <v>4.9781581080773997E-2</v>
      </c>
      <c r="W46" s="2"/>
      <c r="X46" s="6">
        <f t="shared" si="36"/>
        <v>0</v>
      </c>
      <c r="Y46" s="2"/>
      <c r="Z46" s="7">
        <f t="shared" si="37"/>
        <v>0</v>
      </c>
    </row>
    <row r="47" spans="1:26" s="24" customFormat="1" hidden="1" outlineLevel="2" x14ac:dyDescent="0.25">
      <c r="A47" s="25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208.12</v>
      </c>
      <c r="E47" s="2"/>
      <c r="F47" s="7">
        <f t="shared" si="30"/>
        <v>0</v>
      </c>
      <c r="G47" s="2"/>
      <c r="H47" s="6">
        <v>1726.42</v>
      </c>
      <c r="I47" s="2"/>
      <c r="J47" s="7">
        <f t="shared" si="31"/>
        <v>1.2480036618478409E-2</v>
      </c>
      <c r="K47" s="2"/>
      <c r="L47" s="6">
        <f t="shared" si="32"/>
        <v>-1518.3000000000002</v>
      </c>
      <c r="M47" s="2"/>
      <c r="N47" s="7">
        <f t="shared" si="33"/>
        <v>-0.87944996003290055</v>
      </c>
      <c r="O47" s="11"/>
      <c r="P47" s="6">
        <v>2337.75</v>
      </c>
      <c r="Q47" s="2"/>
      <c r="R47" s="7">
        <f t="shared" si="34"/>
        <v>0</v>
      </c>
      <c r="S47" s="2"/>
      <c r="T47" s="6">
        <v>8632.1</v>
      </c>
      <c r="U47" s="2"/>
      <c r="V47" s="7">
        <f t="shared" si="35"/>
        <v>1.3147202057421902E-2</v>
      </c>
      <c r="W47" s="2"/>
      <c r="X47" s="6">
        <f t="shared" si="36"/>
        <v>-6294.35</v>
      </c>
      <c r="Y47" s="2"/>
      <c r="Z47" s="7">
        <f t="shared" si="37"/>
        <v>-0.72917945806929951</v>
      </c>
    </row>
    <row r="48" spans="1:26" s="26" customFormat="1" outlineLevel="1" collapsed="1" x14ac:dyDescent="0.25">
      <c r="A48" s="27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SUM(OSRRefD22_6x_0)</f>
        <v>0</v>
      </c>
      <c r="E48" s="1"/>
      <c r="F48" s="5">
        <f t="shared" ref="F48:F54" si="38">IF(D$12=0,0,D48/D$12)</f>
        <v>0</v>
      </c>
      <c r="G48" s="1"/>
      <c r="H48" s="1">
        <f>SUM(OSRRefH22_6x_0)</f>
        <v>0</v>
      </c>
      <c r="I48" s="1"/>
      <c r="J48" s="5">
        <f t="shared" ref="J48:J54" si="39">IF(H$12=0,0,H48/H$12)</f>
        <v>0</v>
      </c>
      <c r="K48" s="1"/>
      <c r="L48" s="1">
        <f t="shared" ref="L48:L54" si="40">+D48-H48</f>
        <v>0</v>
      </c>
      <c r="M48" s="1"/>
      <c r="N48" s="5">
        <f t="shared" ref="N48:N54" si="41">IF(H48=0,0,L48/H48)</f>
        <v>0</v>
      </c>
      <c r="O48" s="13"/>
      <c r="P48" s="1">
        <f>SUM(OSRRefP22_6x_0)</f>
        <v>0</v>
      </c>
      <c r="Q48" s="1"/>
      <c r="R48" s="5">
        <f t="shared" ref="R48:R54" si="42">IF(P$12=0,0,P48/P$12)</f>
        <v>0</v>
      </c>
      <c r="S48" s="1"/>
      <c r="T48" s="1">
        <f>SUM(OSRRefT22_6x_0)</f>
        <v>8.25</v>
      </c>
      <c r="U48" s="1"/>
      <c r="V48" s="5">
        <f t="shared" ref="V48:V54" si="43">IF(T$12=0,0,T48/T$12)</f>
        <v>1.2565241015944057E-5</v>
      </c>
      <c r="W48" s="1"/>
      <c r="X48" s="1">
        <f t="shared" ref="X48:X54" si="44">+P48-T48</f>
        <v>-8.25</v>
      </c>
      <c r="Y48" s="1"/>
      <c r="Z48" s="5">
        <f t="shared" ref="Z48:Z54" si="45">IF(T48=0,0,X48/T48)</f>
        <v>-1</v>
      </c>
    </row>
    <row r="49" spans="1:26" s="24" customFormat="1" hidden="1" outlineLevel="2" x14ac:dyDescent="0.25">
      <c r="A49" s="25"/>
      <c r="B49" s="11" t="str">
        <f>CONCATENATE("          ", "6277", " - ", "EMPLOYEE APPRECIATION")</f>
        <v xml:space="preserve">          6277 - EMPLOYEE APPRECIATION</v>
      </c>
      <c r="C49" s="11"/>
      <c r="D49" s="6"/>
      <c r="E49" s="2"/>
      <c r="F49" s="7">
        <f t="shared" si="38"/>
        <v>0</v>
      </c>
      <c r="G49" s="2"/>
      <c r="H49" s="6"/>
      <c r="I49" s="2"/>
      <c r="J49" s="7">
        <f t="shared" si="39"/>
        <v>0</v>
      </c>
      <c r="K49" s="2"/>
      <c r="L49" s="6">
        <f t="shared" si="40"/>
        <v>0</v>
      </c>
      <c r="M49" s="2"/>
      <c r="N49" s="7">
        <f t="shared" si="41"/>
        <v>0</v>
      </c>
      <c r="O49" s="11"/>
      <c r="P49" s="6"/>
      <c r="Q49" s="2"/>
      <c r="R49" s="7">
        <f t="shared" si="42"/>
        <v>0</v>
      </c>
      <c r="S49" s="2"/>
      <c r="T49" s="6">
        <v>8.25</v>
      </c>
      <c r="U49" s="2"/>
      <c r="V49" s="7">
        <f t="shared" si="43"/>
        <v>1.2565241015944057E-5</v>
      </c>
      <c r="W49" s="2"/>
      <c r="X49" s="6">
        <f t="shared" si="44"/>
        <v>-8.25</v>
      </c>
      <c r="Y49" s="2"/>
      <c r="Z49" s="7">
        <f t="shared" si="45"/>
        <v>-1</v>
      </c>
    </row>
    <row r="50" spans="1:26" s="26" customFormat="1" outlineLevel="1" collapsed="1" x14ac:dyDescent="0.25">
      <c r="A50" s="27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SUM(OSRRefD22_7x_0)</f>
        <v>0</v>
      </c>
      <c r="E50" s="1"/>
      <c r="F50" s="5">
        <f t="shared" si="38"/>
        <v>0</v>
      </c>
      <c r="G50" s="1"/>
      <c r="H50" s="1">
        <f>SUM(OSRRefH22_7x_0)</f>
        <v>251.44</v>
      </c>
      <c r="I50" s="1"/>
      <c r="J50" s="5">
        <f t="shared" si="39"/>
        <v>1.8176228306844284E-3</v>
      </c>
      <c r="K50" s="1"/>
      <c r="L50" s="1">
        <f t="shared" si="40"/>
        <v>-251.44</v>
      </c>
      <c r="M50" s="1"/>
      <c r="N50" s="5">
        <f t="shared" si="41"/>
        <v>-1</v>
      </c>
      <c r="O50" s="13"/>
      <c r="P50" s="1">
        <f>SUM(OSRRefP22_7x_0)</f>
        <v>263.72000000000003</v>
      </c>
      <c r="Q50" s="1"/>
      <c r="R50" s="5">
        <f t="shared" si="42"/>
        <v>0</v>
      </c>
      <c r="S50" s="1"/>
      <c r="T50" s="1">
        <f>SUM(OSRRefT22_7x_0)</f>
        <v>2212.6799999999998</v>
      </c>
      <c r="U50" s="1"/>
      <c r="V50" s="5">
        <f t="shared" si="43"/>
        <v>3.3700433322617082E-3</v>
      </c>
      <c r="W50" s="1"/>
      <c r="X50" s="1">
        <f t="shared" si="44"/>
        <v>-1948.9599999999998</v>
      </c>
      <c r="Y50" s="1"/>
      <c r="Z50" s="5">
        <f t="shared" si="45"/>
        <v>-0.88081421624455414</v>
      </c>
    </row>
    <row r="51" spans="1:26" s="24" customFormat="1" hidden="1" outlineLevel="2" x14ac:dyDescent="0.25">
      <c r="A51" s="25"/>
      <c r="B51" s="11" t="str">
        <f>CONCATENATE("          ", "6351", " - ", "EQUIPMENT RENTAL")</f>
        <v xml:space="preserve">          6351 - EQUIPMENT RENTAL</v>
      </c>
      <c r="C51" s="11"/>
      <c r="D51" s="6"/>
      <c r="E51" s="2"/>
      <c r="F51" s="7">
        <f t="shared" si="38"/>
        <v>0</v>
      </c>
      <c r="G51" s="2"/>
      <c r="H51" s="6">
        <v>251.44</v>
      </c>
      <c r="I51" s="2"/>
      <c r="J51" s="7">
        <f t="shared" si="39"/>
        <v>1.8176228306844284E-3</v>
      </c>
      <c r="K51" s="2"/>
      <c r="L51" s="6">
        <f t="shared" si="40"/>
        <v>-251.44</v>
      </c>
      <c r="M51" s="2"/>
      <c r="N51" s="7">
        <f t="shared" si="41"/>
        <v>-1</v>
      </c>
      <c r="O51" s="11"/>
      <c r="P51" s="6">
        <v>263.72000000000003</v>
      </c>
      <c r="Q51" s="2"/>
      <c r="R51" s="7">
        <f t="shared" si="42"/>
        <v>0</v>
      </c>
      <c r="S51" s="2"/>
      <c r="T51" s="6">
        <v>2212.6799999999998</v>
      </c>
      <c r="U51" s="2"/>
      <c r="V51" s="7">
        <f t="shared" si="43"/>
        <v>3.3700433322617082E-3</v>
      </c>
      <c r="W51" s="2"/>
      <c r="X51" s="6">
        <f t="shared" si="44"/>
        <v>-1948.9599999999998</v>
      </c>
      <c r="Y51" s="2"/>
      <c r="Z51" s="7">
        <f t="shared" si="45"/>
        <v>-0.88081421624455414</v>
      </c>
    </row>
    <row r="52" spans="1:26" s="26" customFormat="1" outlineLevel="1" collapsed="1" x14ac:dyDescent="0.25">
      <c r="A52" s="27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SUM(OSRRefD22_8x_0)</f>
        <v>0</v>
      </c>
      <c r="E52" s="1"/>
      <c r="F52" s="5">
        <f t="shared" si="38"/>
        <v>0</v>
      </c>
      <c r="G52" s="1"/>
      <c r="H52" s="1">
        <f>SUM(OSRRefH22_8x_0)</f>
        <v>651.57000000000005</v>
      </c>
      <c r="I52" s="1"/>
      <c r="J52" s="5">
        <f t="shared" si="39"/>
        <v>4.7101038330776852E-3</v>
      </c>
      <c r="K52" s="1"/>
      <c r="L52" s="1">
        <f t="shared" si="40"/>
        <v>-651.57000000000005</v>
      </c>
      <c r="M52" s="1"/>
      <c r="N52" s="5">
        <f t="shared" si="41"/>
        <v>-1</v>
      </c>
      <c r="O52" s="13"/>
      <c r="P52" s="1">
        <f>SUM(OSRRefP22_8x_0)</f>
        <v>1284.55</v>
      </c>
      <c r="Q52" s="1"/>
      <c r="R52" s="5">
        <f t="shared" si="42"/>
        <v>0</v>
      </c>
      <c r="S52" s="1"/>
      <c r="T52" s="1">
        <f>SUM(OSRRefT22_8x_0)</f>
        <v>7411.62</v>
      </c>
      <c r="U52" s="1"/>
      <c r="V52" s="5">
        <f t="shared" si="43"/>
        <v>1.1288338378011065E-2</v>
      </c>
      <c r="W52" s="1"/>
      <c r="X52" s="1">
        <f t="shared" si="44"/>
        <v>-6127.07</v>
      </c>
      <c r="Y52" s="1"/>
      <c r="Z52" s="5">
        <f t="shared" si="45"/>
        <v>-0.8266843146302697</v>
      </c>
    </row>
    <row r="53" spans="1:26" s="24" customFormat="1" hidden="1" outlineLevel="2" x14ac:dyDescent="0.25">
      <c r="A53" s="25"/>
      <c r="B53" s="11" t="str">
        <f>CONCATENATE("          ", "6269", " - ", "ENTERTAINMENT")</f>
        <v xml:space="preserve">          6269 - ENTERTAINMENT</v>
      </c>
      <c r="C53" s="11"/>
      <c r="D53" s="6"/>
      <c r="E53" s="2"/>
      <c r="F53" s="7">
        <f t="shared" si="38"/>
        <v>0</v>
      </c>
      <c r="G53" s="2"/>
      <c r="H53" s="6">
        <v>600</v>
      </c>
      <c r="I53" s="2"/>
      <c r="J53" s="7">
        <f t="shared" si="39"/>
        <v>4.3373118772297853E-3</v>
      </c>
      <c r="K53" s="2"/>
      <c r="L53" s="6">
        <f t="shared" si="40"/>
        <v>-600</v>
      </c>
      <c r="M53" s="2"/>
      <c r="N53" s="7">
        <f t="shared" si="41"/>
        <v>-1</v>
      </c>
      <c r="O53" s="11"/>
      <c r="P53" s="6"/>
      <c r="Q53" s="2"/>
      <c r="R53" s="7">
        <f t="shared" si="42"/>
        <v>0</v>
      </c>
      <c r="S53" s="2"/>
      <c r="T53" s="6">
        <v>6100</v>
      </c>
      <c r="U53" s="2"/>
      <c r="V53" s="7">
        <f t="shared" si="43"/>
        <v>9.2906630542131819E-3</v>
      </c>
      <c r="W53" s="2"/>
      <c r="X53" s="6">
        <f t="shared" si="44"/>
        <v>-6100</v>
      </c>
      <c r="Y53" s="2"/>
      <c r="Z53" s="7">
        <f t="shared" si="45"/>
        <v>-1</v>
      </c>
    </row>
    <row r="54" spans="1:26" s="24" customFormat="1" hidden="1" outlineLevel="2" x14ac:dyDescent="0.25">
      <c r="A54" s="25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38"/>
        <v>0</v>
      </c>
      <c r="G54" s="2"/>
      <c r="H54" s="6">
        <v>51.57</v>
      </c>
      <c r="I54" s="2"/>
      <c r="J54" s="7">
        <f t="shared" si="39"/>
        <v>3.7279195584790005E-4</v>
      </c>
      <c r="K54" s="2"/>
      <c r="L54" s="6">
        <f t="shared" si="40"/>
        <v>-51.57</v>
      </c>
      <c r="M54" s="2"/>
      <c r="N54" s="7">
        <f t="shared" si="41"/>
        <v>-1</v>
      </c>
      <c r="O54" s="11"/>
      <c r="P54" s="6">
        <v>1284.55</v>
      </c>
      <c r="Q54" s="2"/>
      <c r="R54" s="7">
        <f t="shared" si="42"/>
        <v>0</v>
      </c>
      <c r="S54" s="2"/>
      <c r="T54" s="6">
        <v>1311.62</v>
      </c>
      <c r="U54" s="2"/>
      <c r="V54" s="7">
        <f t="shared" si="43"/>
        <v>1.9976753237978839E-3</v>
      </c>
      <c r="W54" s="2"/>
      <c r="X54" s="6">
        <f t="shared" si="44"/>
        <v>-27.069999999999936</v>
      </c>
      <c r="Y54" s="2"/>
      <c r="Z54" s="7">
        <f t="shared" si="45"/>
        <v>-2.0638599594394669E-2</v>
      </c>
    </row>
    <row r="55" spans="1:26" s="26" customFormat="1" outlineLevel="1" collapsed="1" x14ac:dyDescent="0.25">
      <c r="A55" s="27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SUM(OSRRefD22_9x_0)</f>
        <v>0</v>
      </c>
      <c r="E55" s="1"/>
      <c r="F55" s="5">
        <f t="shared" ref="F55:F58" si="46">IF(D$12=0,0,D55/D$12)</f>
        <v>0</v>
      </c>
      <c r="G55" s="1"/>
      <c r="H55" s="1">
        <f>SUM(OSRRefH22_9x_0)</f>
        <v>0</v>
      </c>
      <c r="I55" s="1"/>
      <c r="J55" s="5">
        <f t="shared" ref="J55:J58" si="47">IF(H$12=0,0,H55/H$12)</f>
        <v>0</v>
      </c>
      <c r="K55" s="1"/>
      <c r="L55" s="1">
        <f t="shared" ref="L55:L58" si="48">+D55-H55</f>
        <v>0</v>
      </c>
      <c r="M55" s="1"/>
      <c r="N55" s="5">
        <f t="shared" ref="N55:N58" si="49">IF(H55=0,0,L55/H55)</f>
        <v>0</v>
      </c>
      <c r="O55" s="13"/>
      <c r="P55" s="1">
        <f>SUM(OSRRefP22_9x_0)</f>
        <v>277.47000000000003</v>
      </c>
      <c r="Q55" s="1"/>
      <c r="R55" s="5">
        <f t="shared" ref="R55:R58" si="50">IF(P$12=0,0,P55/P$12)</f>
        <v>0</v>
      </c>
      <c r="S55" s="1"/>
      <c r="T55" s="1">
        <f>SUM(OSRRefT22_9x_0)</f>
        <v>11849.689999999999</v>
      </c>
      <c r="U55" s="1"/>
      <c r="V55" s="5">
        <f t="shared" ref="V55:V58" si="51">IF(T$12=0,0,T55/T$12)</f>
        <v>1.804778312899662E-2</v>
      </c>
      <c r="W55" s="1"/>
      <c r="X55" s="1">
        <f t="shared" ref="X55:X58" si="52">+P55-T55</f>
        <v>-11572.22</v>
      </c>
      <c r="Y55" s="1"/>
      <c r="Z55" s="5">
        <f t="shared" ref="Z55:Z58" si="53">IF(T55=0,0,X55/T55)</f>
        <v>-0.97658419756128645</v>
      </c>
    </row>
    <row r="56" spans="1:26" s="24" customFormat="1" hidden="1" outlineLevel="2" x14ac:dyDescent="0.25">
      <c r="A56" s="25"/>
      <c r="B56" s="11" t="str">
        <f>CONCATENATE("          ", "6371", " - ", "COMPUTER SOFTWARE MAINTENANCE")</f>
        <v xml:space="preserve">          6371 - COMPUTER SOFTWARE MAINTENANCE</v>
      </c>
      <c r="C56" s="11"/>
      <c r="D56" s="6"/>
      <c r="E56" s="2"/>
      <c r="F56" s="7">
        <f t="shared" si="46"/>
        <v>0</v>
      </c>
      <c r="G56" s="2"/>
      <c r="H56" s="6"/>
      <c r="I56" s="2"/>
      <c r="J56" s="7">
        <f t="shared" si="47"/>
        <v>0</v>
      </c>
      <c r="K56" s="2"/>
      <c r="L56" s="6">
        <f t="shared" si="48"/>
        <v>0</v>
      </c>
      <c r="M56" s="2"/>
      <c r="N56" s="7">
        <f t="shared" si="49"/>
        <v>0</v>
      </c>
      <c r="O56" s="11"/>
      <c r="P56" s="6"/>
      <c r="Q56" s="2"/>
      <c r="R56" s="7">
        <f t="shared" si="50"/>
        <v>0</v>
      </c>
      <c r="S56" s="2"/>
      <c r="T56" s="6">
        <v>2623.85</v>
      </c>
      <c r="U56" s="2"/>
      <c r="V56" s="7">
        <f t="shared" si="51"/>
        <v>3.9962797139011892E-3</v>
      </c>
      <c r="W56" s="2"/>
      <c r="X56" s="6">
        <f t="shared" si="52"/>
        <v>-2623.85</v>
      </c>
      <c r="Y56" s="2"/>
      <c r="Z56" s="7">
        <f t="shared" si="53"/>
        <v>-1</v>
      </c>
    </row>
    <row r="57" spans="1:26" s="24" customFormat="1" hidden="1" outlineLevel="2" x14ac:dyDescent="0.25">
      <c r="A57" s="25"/>
      <c r="B57" s="11" t="str">
        <f>CONCATENATE("          ", "6373", " - ", "MAINTENANCE CONTRACTS")</f>
        <v xml:space="preserve">          6373 - MAINTENANCE CONTRACTS</v>
      </c>
      <c r="C57" s="11"/>
      <c r="D57" s="6"/>
      <c r="E57" s="2"/>
      <c r="F57" s="7">
        <f t="shared" si="46"/>
        <v>0</v>
      </c>
      <c r="G57" s="2"/>
      <c r="H57" s="6"/>
      <c r="I57" s="2"/>
      <c r="J57" s="7">
        <f t="shared" si="47"/>
        <v>0</v>
      </c>
      <c r="K57" s="2"/>
      <c r="L57" s="6">
        <f t="shared" si="48"/>
        <v>0</v>
      </c>
      <c r="M57" s="2"/>
      <c r="N57" s="7">
        <f t="shared" si="49"/>
        <v>0</v>
      </c>
      <c r="O57" s="11"/>
      <c r="P57" s="6">
        <v>277.47000000000003</v>
      </c>
      <c r="Q57" s="2"/>
      <c r="R57" s="7">
        <f t="shared" si="50"/>
        <v>0</v>
      </c>
      <c r="S57" s="2"/>
      <c r="T57" s="6">
        <v>189.04</v>
      </c>
      <c r="U57" s="2"/>
      <c r="V57" s="7">
        <f t="shared" si="51"/>
        <v>2.8791917110958357E-4</v>
      </c>
      <c r="W57" s="2"/>
      <c r="X57" s="6">
        <f t="shared" si="52"/>
        <v>88.430000000000035</v>
      </c>
      <c r="Y57" s="2"/>
      <c r="Z57" s="7">
        <f t="shared" si="53"/>
        <v>0.4677845958527298</v>
      </c>
    </row>
    <row r="58" spans="1:26" s="24" customFormat="1" hidden="1" outlineLevel="2" x14ac:dyDescent="0.25">
      <c r="A58" s="25"/>
      <c r="B58" s="11" t="str">
        <f>CONCATENATE("          ", "6375", " - ", "OUTSIDE REPAIRS &amp; MAINTENANCE")</f>
        <v xml:space="preserve">          6375 - OUTSIDE REPAIRS &amp; MAINTENANCE</v>
      </c>
      <c r="C58" s="11"/>
      <c r="D58" s="6"/>
      <c r="E58" s="2"/>
      <c r="F58" s="7">
        <f t="shared" si="46"/>
        <v>0</v>
      </c>
      <c r="G58" s="2"/>
      <c r="H58" s="6"/>
      <c r="I58" s="2"/>
      <c r="J58" s="7">
        <f t="shared" si="47"/>
        <v>0</v>
      </c>
      <c r="K58" s="2"/>
      <c r="L58" s="6">
        <f t="shared" si="48"/>
        <v>0</v>
      </c>
      <c r="M58" s="2"/>
      <c r="N58" s="7">
        <f t="shared" si="49"/>
        <v>0</v>
      </c>
      <c r="O58" s="11"/>
      <c r="P58" s="6"/>
      <c r="Q58" s="2"/>
      <c r="R58" s="7">
        <f t="shared" si="50"/>
        <v>0</v>
      </c>
      <c r="S58" s="2"/>
      <c r="T58" s="6">
        <v>9036.7999999999993</v>
      </c>
      <c r="U58" s="2"/>
      <c r="V58" s="7">
        <f t="shared" si="51"/>
        <v>1.3763584243985848E-2</v>
      </c>
      <c r="W58" s="2"/>
      <c r="X58" s="6">
        <f t="shared" si="52"/>
        <v>-9036.7999999999993</v>
      </c>
      <c r="Y58" s="2"/>
      <c r="Z58" s="7">
        <f t="shared" si="53"/>
        <v>-1</v>
      </c>
    </row>
    <row r="59" spans="1:26" s="26" customFormat="1" outlineLevel="1" collapsed="1" x14ac:dyDescent="0.25">
      <c r="A59" s="27"/>
      <c r="B59" s="13" t="str">
        <f>CONCATENATE("     ","Services                                          ")</f>
        <v xml:space="preserve">     Services                                          </v>
      </c>
      <c r="C59" s="13"/>
      <c r="D59" s="1">
        <f>SUM(OSRRefD22_10x_0)</f>
        <v>0</v>
      </c>
      <c r="E59" s="1"/>
      <c r="F59" s="5">
        <f t="shared" ref="F59:F62" si="54">IF(D$12=0,0,D59/D$12)</f>
        <v>0</v>
      </c>
      <c r="G59" s="1"/>
      <c r="H59" s="1">
        <f>SUM(OSRRefH22_10x_0)</f>
        <v>177.45</v>
      </c>
      <c r="I59" s="1"/>
      <c r="J59" s="5">
        <f t="shared" ref="J59:J62" si="55">IF(H$12=0,0,H59/H$12)</f>
        <v>1.2827599876907088E-3</v>
      </c>
      <c r="K59" s="1"/>
      <c r="L59" s="1">
        <f t="shared" ref="L59:L62" si="56">+D59-H59</f>
        <v>-177.45</v>
      </c>
      <c r="M59" s="1"/>
      <c r="N59" s="5">
        <f t="shared" ref="N59:N62" si="57">IF(H59=0,0,L59/H59)</f>
        <v>-1</v>
      </c>
      <c r="O59" s="13"/>
      <c r="P59" s="1">
        <f>SUM(OSRRefP22_10x_0)</f>
        <v>0</v>
      </c>
      <c r="Q59" s="1"/>
      <c r="R59" s="5">
        <f t="shared" ref="R59:R62" si="58">IF(P$12=0,0,P59/P$12)</f>
        <v>0</v>
      </c>
      <c r="S59" s="1"/>
      <c r="T59" s="1">
        <f>SUM(OSRRefT22_10x_0)</f>
        <v>1483.45</v>
      </c>
      <c r="U59" s="1"/>
      <c r="V59" s="5">
        <f t="shared" ref="V59:V62" si="59">IF(T$12=0,0,T59/T$12)</f>
        <v>2.2593826406184497E-3</v>
      </c>
      <c r="W59" s="1"/>
      <c r="X59" s="1">
        <f t="shared" ref="X59:X62" si="60">+P59-T59</f>
        <v>-1483.45</v>
      </c>
      <c r="Y59" s="1"/>
      <c r="Z59" s="5">
        <f t="shared" ref="Z59:Z62" si="61">IF(T59=0,0,X59/T59)</f>
        <v>-1</v>
      </c>
    </row>
    <row r="60" spans="1:26" s="24" customFormat="1" hidden="1" outlineLevel="2" x14ac:dyDescent="0.25">
      <c r="A60" s="25"/>
      <c r="B60" s="11" t="str">
        <f>CONCATENATE("          ", "6283", " - ", "PLANT SERVICE")</f>
        <v xml:space="preserve">          6283 - PLANT SERVICE</v>
      </c>
      <c r="C60" s="11"/>
      <c r="D60" s="6"/>
      <c r="E60" s="2"/>
      <c r="F60" s="7">
        <f t="shared" si="54"/>
        <v>0</v>
      </c>
      <c r="G60" s="2"/>
      <c r="H60" s="6">
        <v>39.75</v>
      </c>
      <c r="I60" s="2"/>
      <c r="J60" s="7">
        <f t="shared" si="55"/>
        <v>2.8734691186647324E-4</v>
      </c>
      <c r="K60" s="2"/>
      <c r="L60" s="6">
        <f t="shared" si="56"/>
        <v>-39.75</v>
      </c>
      <c r="M60" s="2"/>
      <c r="N60" s="7">
        <f t="shared" si="57"/>
        <v>-1</v>
      </c>
      <c r="O60" s="11"/>
      <c r="P60" s="6"/>
      <c r="Q60" s="2"/>
      <c r="R60" s="7">
        <f t="shared" si="58"/>
        <v>0</v>
      </c>
      <c r="S60" s="2"/>
      <c r="T60" s="6">
        <v>159</v>
      </c>
      <c r="U60" s="2"/>
      <c r="V60" s="7">
        <f t="shared" si="59"/>
        <v>2.4216646321637637E-4</v>
      </c>
      <c r="W60" s="2"/>
      <c r="X60" s="6">
        <f t="shared" si="60"/>
        <v>-159</v>
      </c>
      <c r="Y60" s="2"/>
      <c r="Z60" s="7">
        <f t="shared" si="61"/>
        <v>-1</v>
      </c>
    </row>
    <row r="61" spans="1:26" s="24" customFormat="1" hidden="1" outlineLevel="2" x14ac:dyDescent="0.25">
      <c r="A61" s="25"/>
      <c r="B61" s="11" t="str">
        <f>CONCATENATE("          ", "6285", " - ", "JANITORIAL SERVICES")</f>
        <v xml:space="preserve">          6285 - JANITORIAL SERVICES</v>
      </c>
      <c r="C61" s="11"/>
      <c r="D61" s="6"/>
      <c r="E61" s="2"/>
      <c r="F61" s="7">
        <f t="shared" si="54"/>
        <v>0</v>
      </c>
      <c r="G61" s="2"/>
      <c r="H61" s="6"/>
      <c r="I61" s="2"/>
      <c r="J61" s="7">
        <f t="shared" si="55"/>
        <v>0</v>
      </c>
      <c r="K61" s="2"/>
      <c r="L61" s="6">
        <f t="shared" si="56"/>
        <v>0</v>
      </c>
      <c r="M61" s="2"/>
      <c r="N61" s="7">
        <f t="shared" si="57"/>
        <v>0</v>
      </c>
      <c r="O61" s="11"/>
      <c r="P61" s="6"/>
      <c r="Q61" s="2"/>
      <c r="R61" s="7">
        <f t="shared" si="58"/>
        <v>0</v>
      </c>
      <c r="S61" s="2"/>
      <c r="T61" s="6">
        <v>350</v>
      </c>
      <c r="U61" s="2"/>
      <c r="V61" s="7">
        <f t="shared" si="59"/>
        <v>5.3307083097944483E-4</v>
      </c>
      <c r="W61" s="2"/>
      <c r="X61" s="6">
        <f t="shared" si="60"/>
        <v>-350</v>
      </c>
      <c r="Y61" s="2"/>
      <c r="Z61" s="7">
        <f t="shared" si="61"/>
        <v>-1</v>
      </c>
    </row>
    <row r="62" spans="1:26" s="24" customFormat="1" hidden="1" outlineLevel="2" x14ac:dyDescent="0.25">
      <c r="A62" s="25"/>
      <c r="B62" s="11" t="str">
        <f>CONCATENATE("          ", "6286", " - ", "LAUNDRY EXPENSE")</f>
        <v xml:space="preserve">          6286 - LAUNDRY EXPENSE</v>
      </c>
      <c r="C62" s="11"/>
      <c r="D62" s="6"/>
      <c r="E62" s="2"/>
      <c r="F62" s="7">
        <f t="shared" si="54"/>
        <v>0</v>
      </c>
      <c r="G62" s="2"/>
      <c r="H62" s="6">
        <v>137.69999999999999</v>
      </c>
      <c r="I62" s="2"/>
      <c r="J62" s="7">
        <f t="shared" si="55"/>
        <v>9.9541307582423546E-4</v>
      </c>
      <c r="K62" s="2"/>
      <c r="L62" s="6">
        <f t="shared" si="56"/>
        <v>-137.69999999999999</v>
      </c>
      <c r="M62" s="2"/>
      <c r="N62" s="7">
        <f t="shared" si="57"/>
        <v>-1</v>
      </c>
      <c r="O62" s="11"/>
      <c r="P62" s="6"/>
      <c r="Q62" s="2"/>
      <c r="R62" s="7">
        <f t="shared" si="58"/>
        <v>0</v>
      </c>
      <c r="S62" s="2"/>
      <c r="T62" s="6">
        <v>974.45</v>
      </c>
      <c r="U62" s="2"/>
      <c r="V62" s="7">
        <f t="shared" si="59"/>
        <v>1.4841453464226287E-3</v>
      </c>
      <c r="W62" s="2"/>
      <c r="X62" s="6">
        <f t="shared" si="60"/>
        <v>-974.45</v>
      </c>
      <c r="Y62" s="2"/>
      <c r="Z62" s="7">
        <f t="shared" si="61"/>
        <v>-1</v>
      </c>
    </row>
    <row r="63" spans="1:26" s="26" customFormat="1" outlineLevel="1" collapsed="1" x14ac:dyDescent="0.25">
      <c r="A63" s="27"/>
      <c r="B63" s="13" t="str">
        <f>CONCATENATE("     ","Subscriptions &amp; Dues                              ")</f>
        <v xml:space="preserve">     Subscriptions &amp; Dues                              </v>
      </c>
      <c r="C63" s="13"/>
      <c r="D63" s="1">
        <f>SUM(OSRRefD22_11x_0)</f>
        <v>0</v>
      </c>
      <c r="E63" s="1"/>
      <c r="F63" s="5">
        <f t="shared" ref="F63:F71" si="62">IF(D$12=0,0,D63/D$12)</f>
        <v>0</v>
      </c>
      <c r="G63" s="1"/>
      <c r="H63" s="1">
        <f>SUM(OSRRefH22_11x_0)</f>
        <v>196.71</v>
      </c>
      <c r="I63" s="1"/>
      <c r="J63" s="5">
        <f t="shared" ref="J63:J71" si="63">IF(H$12=0,0,H63/H$12)</f>
        <v>1.421987698949785E-3</v>
      </c>
      <c r="K63" s="1"/>
      <c r="L63" s="1">
        <f t="shared" ref="L63:L71" si="64">+D63-H63</f>
        <v>-196.71</v>
      </c>
      <c r="M63" s="1"/>
      <c r="N63" s="5">
        <f t="shared" ref="N63:N71" si="65">IF(H63=0,0,L63/H63)</f>
        <v>-1</v>
      </c>
      <c r="O63" s="13"/>
      <c r="P63" s="1">
        <f>SUM(OSRRefP22_11x_0)</f>
        <v>0</v>
      </c>
      <c r="Q63" s="1"/>
      <c r="R63" s="5">
        <f t="shared" ref="R63:R71" si="66">IF(P$12=0,0,P63/P$12)</f>
        <v>0</v>
      </c>
      <c r="S63" s="1"/>
      <c r="T63" s="1">
        <f>SUM(OSRRefT22_11x_0)</f>
        <v>983.55</v>
      </c>
      <c r="U63" s="1"/>
      <c r="V63" s="5">
        <f t="shared" ref="V63:V71" si="67">IF(T$12=0,0,T63/T$12)</f>
        <v>1.4980051880280941E-3</v>
      </c>
      <c r="W63" s="1"/>
      <c r="X63" s="1">
        <f t="shared" ref="X63:X71" si="68">+P63-T63</f>
        <v>-983.55</v>
      </c>
      <c r="Y63" s="1"/>
      <c r="Z63" s="5">
        <f t="shared" ref="Z63:Z71" si="69">IF(T63=0,0,X63/T63)</f>
        <v>-1</v>
      </c>
    </row>
    <row r="64" spans="1:26" s="24" customFormat="1" hidden="1" outlineLevel="2" x14ac:dyDescent="0.25">
      <c r="A64" s="25"/>
      <c r="B64" s="11" t="str">
        <f>CONCATENATE("          ", "6275", " - ", "SUBSCRIPTIONS")</f>
        <v xml:space="preserve">          6275 - SUBSCRIPTIONS</v>
      </c>
      <c r="C64" s="11"/>
      <c r="D64" s="6"/>
      <c r="E64" s="2"/>
      <c r="F64" s="7">
        <f t="shared" si="62"/>
        <v>0</v>
      </c>
      <c r="G64" s="2"/>
      <c r="H64" s="6">
        <v>196.71</v>
      </c>
      <c r="I64" s="2"/>
      <c r="J64" s="7">
        <f t="shared" si="63"/>
        <v>1.421987698949785E-3</v>
      </c>
      <c r="K64" s="2"/>
      <c r="L64" s="6">
        <f t="shared" si="64"/>
        <v>-196.71</v>
      </c>
      <c r="M64" s="2"/>
      <c r="N64" s="7">
        <f t="shared" si="65"/>
        <v>-1</v>
      </c>
      <c r="O64" s="11"/>
      <c r="P64" s="6"/>
      <c r="Q64" s="2"/>
      <c r="R64" s="7">
        <f t="shared" si="66"/>
        <v>0</v>
      </c>
      <c r="S64" s="2"/>
      <c r="T64" s="6">
        <v>983.55</v>
      </c>
      <c r="U64" s="2"/>
      <c r="V64" s="7">
        <f t="shared" si="67"/>
        <v>1.4980051880280941E-3</v>
      </c>
      <c r="W64" s="2"/>
      <c r="X64" s="6">
        <f t="shared" si="68"/>
        <v>-983.55</v>
      </c>
      <c r="Y64" s="2"/>
      <c r="Z64" s="7">
        <f t="shared" si="69"/>
        <v>-1</v>
      </c>
    </row>
    <row r="65" spans="1:26" s="26" customFormat="1" outlineLevel="1" collapsed="1" x14ac:dyDescent="0.25">
      <c r="A65" s="27"/>
      <c r="B65" s="13" t="str">
        <f>CONCATENATE("     ","Supplies                                          ")</f>
        <v xml:space="preserve">     Supplies                                          </v>
      </c>
      <c r="C65" s="13"/>
      <c r="D65" s="1">
        <f>SUM(OSRRefD22_12x_0)</f>
        <v>0</v>
      </c>
      <c r="E65" s="1"/>
      <c r="F65" s="5">
        <f t="shared" si="62"/>
        <v>0</v>
      </c>
      <c r="G65" s="1"/>
      <c r="H65" s="1">
        <f>SUM(OSRRefH22_12x_0)</f>
        <v>1013.3899999999999</v>
      </c>
      <c r="I65" s="1"/>
      <c r="J65" s="5">
        <f t="shared" si="63"/>
        <v>7.3256474721098185E-3</v>
      </c>
      <c r="K65" s="1"/>
      <c r="L65" s="1">
        <f t="shared" si="64"/>
        <v>-1013.3899999999999</v>
      </c>
      <c r="M65" s="1"/>
      <c r="N65" s="5">
        <f t="shared" si="65"/>
        <v>-1</v>
      </c>
      <c r="O65" s="13"/>
      <c r="P65" s="1">
        <f>SUM(OSRRefP22_12x_0)</f>
        <v>0</v>
      </c>
      <c r="Q65" s="1"/>
      <c r="R65" s="5">
        <f t="shared" si="66"/>
        <v>0</v>
      </c>
      <c r="S65" s="1"/>
      <c r="T65" s="1">
        <f>SUM(OSRRefT22_12x_0)</f>
        <v>6035.65</v>
      </c>
      <c r="U65" s="1"/>
      <c r="V65" s="5">
        <f t="shared" si="67"/>
        <v>9.1926541742888175E-3</v>
      </c>
      <c r="W65" s="1"/>
      <c r="X65" s="1">
        <f t="shared" si="68"/>
        <v>-6035.65</v>
      </c>
      <c r="Y65" s="1"/>
      <c r="Z65" s="5">
        <f t="shared" si="69"/>
        <v>-1</v>
      </c>
    </row>
    <row r="66" spans="1:26" s="24" customFormat="1" hidden="1" outlineLevel="2" x14ac:dyDescent="0.25">
      <c r="A66" s="25"/>
      <c r="B66" s="11" t="str">
        <f>CONCATENATE("          ", "6239", " - ", "KITCHEN SUPPLIES")</f>
        <v xml:space="preserve">          6239 - KITCHEN SUPPLIES</v>
      </c>
      <c r="C66" s="11"/>
      <c r="D66" s="6"/>
      <c r="E66" s="2"/>
      <c r="F66" s="7">
        <f t="shared" si="62"/>
        <v>0</v>
      </c>
      <c r="G66" s="2"/>
      <c r="H66" s="6">
        <v>119.07</v>
      </c>
      <c r="I66" s="2"/>
      <c r="J66" s="7">
        <f t="shared" si="63"/>
        <v>8.6073954203625075E-4</v>
      </c>
      <c r="K66" s="2"/>
      <c r="L66" s="6">
        <f t="shared" si="64"/>
        <v>-119.07</v>
      </c>
      <c r="M66" s="2"/>
      <c r="N66" s="7">
        <f t="shared" si="65"/>
        <v>-1</v>
      </c>
      <c r="O66" s="11"/>
      <c r="P66" s="6"/>
      <c r="Q66" s="2"/>
      <c r="R66" s="7">
        <f t="shared" si="66"/>
        <v>0</v>
      </c>
      <c r="S66" s="2"/>
      <c r="T66" s="6">
        <v>482.61</v>
      </c>
      <c r="U66" s="2"/>
      <c r="V66" s="7">
        <f t="shared" si="67"/>
        <v>7.3504375353997109E-4</v>
      </c>
      <c r="W66" s="2"/>
      <c r="X66" s="6">
        <f t="shared" si="68"/>
        <v>-482.61</v>
      </c>
      <c r="Y66" s="2"/>
      <c r="Z66" s="7">
        <f t="shared" si="69"/>
        <v>-1</v>
      </c>
    </row>
    <row r="67" spans="1:26" s="24" customFormat="1" hidden="1" outlineLevel="2" x14ac:dyDescent="0.25">
      <c r="A67" s="25"/>
      <c r="B67" s="11" t="str">
        <f>CONCATENATE("          ", "6241", " - ", "OFFICE EXPENSE")</f>
        <v xml:space="preserve">          6241 - OFFICE EXPENSE</v>
      </c>
      <c r="C67" s="11"/>
      <c r="D67" s="6"/>
      <c r="E67" s="2"/>
      <c r="F67" s="7">
        <f t="shared" si="62"/>
        <v>0</v>
      </c>
      <c r="G67" s="2"/>
      <c r="H67" s="6">
        <v>103.64</v>
      </c>
      <c r="I67" s="2"/>
      <c r="J67" s="7">
        <f t="shared" si="63"/>
        <v>7.4919833826015824E-4</v>
      </c>
      <c r="K67" s="2"/>
      <c r="L67" s="6">
        <f t="shared" si="64"/>
        <v>-103.64</v>
      </c>
      <c r="M67" s="2"/>
      <c r="N67" s="7">
        <f t="shared" si="65"/>
        <v>-1</v>
      </c>
      <c r="O67" s="11"/>
      <c r="P67" s="6"/>
      <c r="Q67" s="2"/>
      <c r="R67" s="7">
        <f t="shared" si="66"/>
        <v>0</v>
      </c>
      <c r="S67" s="2"/>
      <c r="T67" s="6">
        <v>1572.54</v>
      </c>
      <c r="U67" s="2"/>
      <c r="V67" s="7">
        <f t="shared" si="67"/>
        <v>2.3950720129954747E-3</v>
      </c>
      <c r="W67" s="2"/>
      <c r="X67" s="6">
        <f t="shared" si="68"/>
        <v>-1572.54</v>
      </c>
      <c r="Y67" s="2"/>
      <c r="Z67" s="7">
        <f t="shared" si="69"/>
        <v>-1</v>
      </c>
    </row>
    <row r="68" spans="1:26" s="24" customFormat="1" hidden="1" outlineLevel="2" x14ac:dyDescent="0.25">
      <c r="A68" s="25"/>
      <c r="B68" s="11" t="str">
        <f>CONCATENATE("          ", "6243", " - ", "PAPER SUPPLIES")</f>
        <v xml:space="preserve">          6243 - PAPER SUPPLIES</v>
      </c>
      <c r="C68" s="11"/>
      <c r="D68" s="6"/>
      <c r="E68" s="2"/>
      <c r="F68" s="7">
        <f t="shared" si="62"/>
        <v>0</v>
      </c>
      <c r="G68" s="2"/>
      <c r="H68" s="6">
        <v>39.270000000000003</v>
      </c>
      <c r="I68" s="2"/>
      <c r="J68" s="7">
        <f t="shared" si="63"/>
        <v>2.8387706236468946E-4</v>
      </c>
      <c r="K68" s="2"/>
      <c r="L68" s="6">
        <f t="shared" si="64"/>
        <v>-39.270000000000003</v>
      </c>
      <c r="M68" s="2"/>
      <c r="N68" s="7">
        <f t="shared" si="65"/>
        <v>-1</v>
      </c>
      <c r="O68" s="11"/>
      <c r="P68" s="6"/>
      <c r="Q68" s="2"/>
      <c r="R68" s="7">
        <f t="shared" si="66"/>
        <v>0</v>
      </c>
      <c r="S68" s="2"/>
      <c r="T68" s="6">
        <v>1913.6</v>
      </c>
      <c r="U68" s="2"/>
      <c r="V68" s="7">
        <f t="shared" si="67"/>
        <v>2.9145266918921874E-3</v>
      </c>
      <c r="W68" s="2"/>
      <c r="X68" s="6">
        <f t="shared" si="68"/>
        <v>-1913.6</v>
      </c>
      <c r="Y68" s="2"/>
      <c r="Z68" s="7">
        <f t="shared" si="69"/>
        <v>-1</v>
      </c>
    </row>
    <row r="69" spans="1:26" s="24" customFormat="1" hidden="1" outlineLevel="2" x14ac:dyDescent="0.25">
      <c r="A69" s="25"/>
      <c r="B69" s="11" t="str">
        <f>CONCATENATE("          ", "6245", " - ", "PRINTING")</f>
        <v xml:space="preserve">          6245 - PRINTING</v>
      </c>
      <c r="C69" s="11"/>
      <c r="D69" s="6"/>
      <c r="E69" s="2"/>
      <c r="F69" s="7">
        <f t="shared" si="62"/>
        <v>0</v>
      </c>
      <c r="G69" s="2"/>
      <c r="H69" s="6"/>
      <c r="I69" s="2"/>
      <c r="J69" s="7">
        <f t="shared" si="63"/>
        <v>0</v>
      </c>
      <c r="K69" s="2"/>
      <c r="L69" s="6">
        <f t="shared" si="64"/>
        <v>0</v>
      </c>
      <c r="M69" s="2"/>
      <c r="N69" s="7">
        <f t="shared" si="65"/>
        <v>0</v>
      </c>
      <c r="O69" s="11"/>
      <c r="P69" s="6"/>
      <c r="Q69" s="2"/>
      <c r="R69" s="7">
        <f t="shared" si="66"/>
        <v>0</v>
      </c>
      <c r="S69" s="2"/>
      <c r="T69" s="6">
        <v>22.05</v>
      </c>
      <c r="U69" s="2"/>
      <c r="V69" s="7">
        <f t="shared" si="67"/>
        <v>3.3583462351705024E-5</v>
      </c>
      <c r="W69" s="2"/>
      <c r="X69" s="6">
        <f t="shared" si="68"/>
        <v>-22.05</v>
      </c>
      <c r="Y69" s="2"/>
      <c r="Z69" s="7">
        <f t="shared" si="69"/>
        <v>-1</v>
      </c>
    </row>
    <row r="70" spans="1:26" s="24" customFormat="1" hidden="1" outlineLevel="2" x14ac:dyDescent="0.25">
      <c r="A70" s="25"/>
      <c r="B70" s="11" t="str">
        <f>CONCATENATE("          ", "6247", " - ", "STORE SUPPLIES")</f>
        <v xml:space="preserve">          6247 - STORE SUPPLIES</v>
      </c>
      <c r="C70" s="11"/>
      <c r="D70" s="6"/>
      <c r="E70" s="2"/>
      <c r="F70" s="7">
        <f t="shared" si="62"/>
        <v>0</v>
      </c>
      <c r="G70" s="2"/>
      <c r="H70" s="6">
        <v>751.41</v>
      </c>
      <c r="I70" s="2"/>
      <c r="J70" s="7">
        <f t="shared" si="63"/>
        <v>5.4318325294487211E-3</v>
      </c>
      <c r="K70" s="2"/>
      <c r="L70" s="6">
        <f t="shared" si="64"/>
        <v>-751.41</v>
      </c>
      <c r="M70" s="2"/>
      <c r="N70" s="7">
        <f t="shared" si="65"/>
        <v>-1</v>
      </c>
      <c r="O70" s="11"/>
      <c r="P70" s="6"/>
      <c r="Q70" s="2"/>
      <c r="R70" s="7">
        <f t="shared" si="66"/>
        <v>0</v>
      </c>
      <c r="S70" s="2"/>
      <c r="T70" s="6">
        <v>1264.6099999999999</v>
      </c>
      <c r="U70" s="2"/>
      <c r="V70" s="7">
        <f t="shared" si="67"/>
        <v>1.926076295899759E-3</v>
      </c>
      <c r="W70" s="2"/>
      <c r="X70" s="6">
        <f t="shared" si="68"/>
        <v>-1264.6099999999999</v>
      </c>
      <c r="Y70" s="2"/>
      <c r="Z70" s="7">
        <f t="shared" si="69"/>
        <v>-1</v>
      </c>
    </row>
    <row r="71" spans="1:26" s="24" customFormat="1" hidden="1" outlineLevel="2" x14ac:dyDescent="0.25">
      <c r="A71" s="25"/>
      <c r="B71" s="11" t="str">
        <f>CONCATENATE("          ", "6248", " - ", "UNIFORMS")</f>
        <v xml:space="preserve">          6248 - UNIFORMS</v>
      </c>
      <c r="C71" s="11"/>
      <c r="D71" s="6"/>
      <c r="E71" s="2"/>
      <c r="F71" s="7">
        <f t="shared" si="62"/>
        <v>0</v>
      </c>
      <c r="G71" s="2"/>
      <c r="H71" s="6"/>
      <c r="I71" s="2"/>
      <c r="J71" s="7">
        <f t="shared" si="63"/>
        <v>0</v>
      </c>
      <c r="K71" s="2"/>
      <c r="L71" s="6">
        <f t="shared" si="64"/>
        <v>0</v>
      </c>
      <c r="M71" s="2"/>
      <c r="N71" s="7">
        <f t="shared" si="65"/>
        <v>0</v>
      </c>
      <c r="O71" s="11"/>
      <c r="P71" s="6"/>
      <c r="Q71" s="2"/>
      <c r="R71" s="7">
        <f t="shared" si="66"/>
        <v>0</v>
      </c>
      <c r="S71" s="2"/>
      <c r="T71" s="6">
        <v>780.24</v>
      </c>
      <c r="U71" s="2"/>
      <c r="V71" s="7">
        <f t="shared" si="67"/>
        <v>1.1883519576097201E-3</v>
      </c>
      <c r="W71" s="2"/>
      <c r="X71" s="6">
        <f t="shared" si="68"/>
        <v>-780.24</v>
      </c>
      <c r="Y71" s="2"/>
      <c r="Z71" s="7">
        <f t="shared" si="69"/>
        <v>-1</v>
      </c>
    </row>
    <row r="72" spans="1:26" s="26" customFormat="1" outlineLevel="1" collapsed="1" x14ac:dyDescent="0.25">
      <c r="A72" s="27"/>
      <c r="B72" s="13" t="str">
        <f>CONCATENATE("     ","Telephone/Data Lines                              ")</f>
        <v xml:space="preserve">     Telephone/Data Lines                              </v>
      </c>
      <c r="C72" s="13"/>
      <c r="D72" s="1">
        <f>SUM(OSRRefD22_13x_0)</f>
        <v>0</v>
      </c>
      <c r="E72" s="1"/>
      <c r="F72" s="5">
        <f t="shared" ref="F72:F75" si="70">IF(D$12=0,0,D72/D$12)</f>
        <v>0</v>
      </c>
      <c r="G72" s="1"/>
      <c r="H72" s="1">
        <f>SUM(OSRRefH22_13x_0)</f>
        <v>157.44999999999999</v>
      </c>
      <c r="I72" s="1"/>
      <c r="J72" s="5">
        <f t="shared" ref="J72:J75" si="71">IF(H$12=0,0,H72/H$12)</f>
        <v>1.1381829251163828E-3</v>
      </c>
      <c r="K72" s="1"/>
      <c r="L72" s="1">
        <f t="shared" ref="L72:L75" si="72">+D72-H72</f>
        <v>-157.44999999999999</v>
      </c>
      <c r="M72" s="1"/>
      <c r="N72" s="5">
        <f t="shared" ref="N72:N75" si="73">IF(H72=0,0,L72/H72)</f>
        <v>-1</v>
      </c>
      <c r="O72" s="13"/>
      <c r="P72" s="1">
        <f>SUM(OSRRefP22_13x_0)</f>
        <v>250.87</v>
      </c>
      <c r="Q72" s="1"/>
      <c r="R72" s="5">
        <f t="shared" ref="R72:R75" si="74">IF(P$12=0,0,P72/P$12)</f>
        <v>0</v>
      </c>
      <c r="S72" s="1"/>
      <c r="T72" s="1">
        <f>SUM(OSRRefT22_13x_0)</f>
        <v>696.9</v>
      </c>
      <c r="U72" s="1"/>
      <c r="V72" s="5">
        <f t="shared" ref="V72:V75" si="75">IF(T$12=0,0,T72/T$12)</f>
        <v>1.0614201774559288E-3</v>
      </c>
      <c r="W72" s="1"/>
      <c r="X72" s="1">
        <f t="shared" ref="X72:X75" si="76">+P72-T72</f>
        <v>-446.03</v>
      </c>
      <c r="Y72" s="1"/>
      <c r="Z72" s="5">
        <f t="shared" ref="Z72:Z75" si="77">IF(T72=0,0,X72/T72)</f>
        <v>-0.64002008896541829</v>
      </c>
    </row>
    <row r="73" spans="1:26" s="24" customFormat="1" hidden="1" outlineLevel="2" x14ac:dyDescent="0.25">
      <c r="A73" s="25"/>
      <c r="B73" s="11" t="str">
        <f>CONCATENATE("          ", "6309", " - ", "TELEPHONE")</f>
        <v xml:space="preserve">          6309 - TELEPHONE</v>
      </c>
      <c r="C73" s="11"/>
      <c r="D73" s="6"/>
      <c r="E73" s="2"/>
      <c r="F73" s="7">
        <f t="shared" si="70"/>
        <v>0</v>
      </c>
      <c r="G73" s="2"/>
      <c r="H73" s="6">
        <v>157.44999999999999</v>
      </c>
      <c r="I73" s="2"/>
      <c r="J73" s="7">
        <f t="shared" si="71"/>
        <v>1.1381829251163828E-3</v>
      </c>
      <c r="K73" s="2"/>
      <c r="L73" s="6">
        <f t="shared" si="72"/>
        <v>-157.44999999999999</v>
      </c>
      <c r="M73" s="2"/>
      <c r="N73" s="7">
        <f t="shared" si="73"/>
        <v>-1</v>
      </c>
      <c r="O73" s="11"/>
      <c r="P73" s="6">
        <v>250.87</v>
      </c>
      <c r="Q73" s="2"/>
      <c r="R73" s="7">
        <f t="shared" si="74"/>
        <v>0</v>
      </c>
      <c r="S73" s="2"/>
      <c r="T73" s="6">
        <v>696.9</v>
      </c>
      <c r="U73" s="2"/>
      <c r="V73" s="7">
        <f t="shared" si="75"/>
        <v>1.0614201774559288E-3</v>
      </c>
      <c r="W73" s="2"/>
      <c r="X73" s="6">
        <f t="shared" si="76"/>
        <v>-446.03</v>
      </c>
      <c r="Y73" s="2"/>
      <c r="Z73" s="7">
        <f t="shared" si="77"/>
        <v>-0.64002008896541829</v>
      </c>
    </row>
    <row r="74" spans="1:26" s="26" customFormat="1" outlineLevel="1" collapsed="1" x14ac:dyDescent="0.25">
      <c r="A74" s="27"/>
      <c r="B74" s="13" t="str">
        <f>CONCATENATE("     ","Training                                          ")</f>
        <v xml:space="preserve">     Training                                          </v>
      </c>
      <c r="C74" s="13"/>
      <c r="D74" s="1">
        <f>SUM(OSRRefD22_14x_0)</f>
        <v>0</v>
      </c>
      <c r="E74" s="1"/>
      <c r="F74" s="5">
        <f t="shared" si="70"/>
        <v>0</v>
      </c>
      <c r="G74" s="1"/>
      <c r="H74" s="1">
        <f>SUM(OSRRefH22_14x_0)</f>
        <v>0</v>
      </c>
      <c r="I74" s="1"/>
      <c r="J74" s="5">
        <f t="shared" si="71"/>
        <v>0</v>
      </c>
      <c r="K74" s="1"/>
      <c r="L74" s="1">
        <f t="shared" si="72"/>
        <v>0</v>
      </c>
      <c r="M74" s="1"/>
      <c r="N74" s="5">
        <f t="shared" si="73"/>
        <v>0</v>
      </c>
      <c r="O74" s="13"/>
      <c r="P74" s="1">
        <f>SUM(OSRRefP22_14x_0)</f>
        <v>0</v>
      </c>
      <c r="Q74" s="1"/>
      <c r="R74" s="5">
        <f t="shared" si="74"/>
        <v>0</v>
      </c>
      <c r="S74" s="1"/>
      <c r="T74" s="1">
        <f>SUM(OSRRefT22_14x_0)</f>
        <v>140.94999999999999</v>
      </c>
      <c r="U74" s="1"/>
      <c r="V74" s="5">
        <f t="shared" si="75"/>
        <v>2.1467523893300785E-4</v>
      </c>
      <c r="W74" s="1"/>
      <c r="X74" s="1">
        <f t="shared" si="76"/>
        <v>-140.94999999999999</v>
      </c>
      <c r="Y74" s="1"/>
      <c r="Z74" s="5">
        <f t="shared" si="77"/>
        <v>-1</v>
      </c>
    </row>
    <row r="75" spans="1:26" s="24" customFormat="1" hidden="1" outlineLevel="2" x14ac:dyDescent="0.25">
      <c r="A75" s="25"/>
      <c r="B75" s="11" t="str">
        <f>CONCATENATE("          ", "6376", " - ", "TRAINING")</f>
        <v xml:space="preserve">          6376 - TRAINING</v>
      </c>
      <c r="C75" s="11"/>
      <c r="D75" s="6"/>
      <c r="E75" s="2"/>
      <c r="F75" s="7">
        <f t="shared" si="70"/>
        <v>0</v>
      </c>
      <c r="G75" s="2"/>
      <c r="H75" s="6"/>
      <c r="I75" s="2"/>
      <c r="J75" s="7">
        <f t="shared" si="71"/>
        <v>0</v>
      </c>
      <c r="K75" s="2"/>
      <c r="L75" s="6">
        <f t="shared" si="72"/>
        <v>0</v>
      </c>
      <c r="M75" s="2"/>
      <c r="N75" s="7">
        <f t="shared" si="73"/>
        <v>0</v>
      </c>
      <c r="O75" s="11"/>
      <c r="P75" s="6"/>
      <c r="Q75" s="2"/>
      <c r="R75" s="7">
        <f t="shared" si="74"/>
        <v>0</v>
      </c>
      <c r="S75" s="2"/>
      <c r="T75" s="6">
        <v>140.94999999999999</v>
      </c>
      <c r="U75" s="2"/>
      <c r="V75" s="7">
        <f t="shared" si="75"/>
        <v>2.1467523893300785E-4</v>
      </c>
      <c r="W75" s="2"/>
      <c r="X75" s="6">
        <f t="shared" si="76"/>
        <v>-140.94999999999999</v>
      </c>
      <c r="Y75" s="2"/>
      <c r="Z75" s="7">
        <f t="shared" si="77"/>
        <v>-1</v>
      </c>
    </row>
    <row r="76" spans="1:26" s="53" customFormat="1" x14ac:dyDescent="0.25">
      <c r="A76" s="37"/>
      <c r="B76" s="37"/>
      <c r="C76" s="37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collapsed="1" x14ac:dyDescent="0.25">
      <c r="A77" s="10"/>
      <c r="B77" s="29" t="s">
        <v>0</v>
      </c>
      <c r="C77" s="10"/>
      <c r="D77" s="4">
        <f>SUM(OSRRefD25x_0)</f>
        <v>0</v>
      </c>
      <c r="E77" s="4"/>
      <c r="F77" s="12">
        <f t="shared" ref="F77:F78" si="78">IF(D$12=0,0,D77/D$12)</f>
        <v>0</v>
      </c>
      <c r="G77" s="4"/>
      <c r="H77" s="4">
        <f>SUM(OSRRefH25x_0)</f>
        <v>0</v>
      </c>
      <c r="I77" s="4"/>
      <c r="J77" s="12">
        <f t="shared" ref="J77:J78" si="79">IF(H$12=0,0,H77/H$12)</f>
        <v>0</v>
      </c>
      <c r="K77" s="4"/>
      <c r="L77" s="4">
        <f t="shared" ref="L77:L78" si="80">+D77-H77</f>
        <v>0</v>
      </c>
      <c r="M77" s="4"/>
      <c r="N77" s="12">
        <f t="shared" ref="N77:N78" si="81">IF(H77=0,0,L77/H77)</f>
        <v>0</v>
      </c>
      <c r="O77" s="10"/>
      <c r="P77" s="4">
        <f>SUM(OSRRefP25x_0)</f>
        <v>111.42</v>
      </c>
      <c r="Q77" s="4"/>
      <c r="R77" s="12">
        <f t="shared" ref="R77:R78" si="82">IF(P$12=0,0,P77/P$12)</f>
        <v>0</v>
      </c>
      <c r="S77" s="4"/>
      <c r="T77" s="4">
        <f>SUM(OSRRefT25x_0)</f>
        <v>0</v>
      </c>
      <c r="U77" s="4"/>
      <c r="V77" s="12">
        <f t="shared" ref="V77:V78" si="83">IF(T$12=0,0,T77/T$12)</f>
        <v>0</v>
      </c>
      <c r="W77" s="4"/>
      <c r="X77" s="4">
        <f t="shared" ref="X77:X78" si="84">+P77-T77</f>
        <v>111.42</v>
      </c>
      <c r="Y77" s="4"/>
      <c r="Z77" s="12">
        <f t="shared" ref="Z77:Z78" si="85">IF(T77=0,0,X77/T77)</f>
        <v>0</v>
      </c>
    </row>
    <row r="78" spans="1:26" s="24" customFormat="1" hidden="1" outlineLevel="1" x14ac:dyDescent="0.25">
      <c r="A78" s="44"/>
      <c r="B78" s="11" t="str">
        <f>CONCATENATE("          ", "9150", " - ", "MISC. INCOME")</f>
        <v xml:space="preserve">          9150 - MISC. INCOME</v>
      </c>
      <c r="C78" s="11"/>
      <c r="D78" s="2">
        <f>0</f>
        <v>0</v>
      </c>
      <c r="E78" s="2"/>
      <c r="F78" s="19">
        <f t="shared" si="78"/>
        <v>0</v>
      </c>
      <c r="G78" s="2"/>
      <c r="H78" s="2">
        <f>0</f>
        <v>0</v>
      </c>
      <c r="I78" s="2"/>
      <c r="J78" s="19">
        <f t="shared" si="79"/>
        <v>0</v>
      </c>
      <c r="K78" s="2"/>
      <c r="L78" s="2">
        <f t="shared" si="80"/>
        <v>0</v>
      </c>
      <c r="M78" s="2"/>
      <c r="N78" s="19">
        <f t="shared" si="81"/>
        <v>0</v>
      </c>
      <c r="O78" s="11"/>
      <c r="P78" s="2">
        <f>--111.42</f>
        <v>111.42</v>
      </c>
      <c r="Q78" s="2"/>
      <c r="R78" s="19">
        <f t="shared" si="82"/>
        <v>0</v>
      </c>
      <c r="S78" s="2"/>
      <c r="T78" s="2">
        <f>0</f>
        <v>0</v>
      </c>
      <c r="U78" s="2"/>
      <c r="V78" s="19">
        <f t="shared" si="83"/>
        <v>0</v>
      </c>
      <c r="W78" s="2"/>
      <c r="X78" s="2">
        <f t="shared" si="84"/>
        <v>111.42</v>
      </c>
      <c r="Y78" s="2"/>
      <c r="Z78" s="19">
        <f t="shared" si="85"/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8" t="s">
        <v>3</v>
      </c>
      <c r="C80" s="28"/>
      <c r="D80" s="20">
        <f>+D20-D22+D77</f>
        <v>-6747.53</v>
      </c>
      <c r="E80" s="14"/>
      <c r="F80" s="22">
        <f>IF(D$12=0,0,D80/D$12)</f>
        <v>0</v>
      </c>
      <c r="G80" s="14"/>
      <c r="H80" s="20">
        <f>+H20-H22+H77</f>
        <v>27428.279999999992</v>
      </c>
      <c r="I80" s="14"/>
      <c r="J80" s="22">
        <f>IF(H$12=0,0,H80/H$12)</f>
        <v>0.19827500769330689</v>
      </c>
      <c r="K80" s="15"/>
      <c r="L80" s="20">
        <f>+D80-H80</f>
        <v>-34175.80999999999</v>
      </c>
      <c r="M80" s="15"/>
      <c r="N80" s="22">
        <f>IF(H80=0,0,L80/H80)</f>
        <v>-1.2460063117337288</v>
      </c>
      <c r="O80" s="29"/>
      <c r="P80" s="20">
        <f>+P20-P22+P77</f>
        <v>-45226.200000000012</v>
      </c>
      <c r="Q80" s="14"/>
      <c r="R80" s="22">
        <f>IF(P$12=0,0,P80/P$12)</f>
        <v>0</v>
      </c>
      <c r="S80" s="14"/>
      <c r="T80" s="20">
        <f>+T20-T22+T77</f>
        <v>135942.99000000022</v>
      </c>
      <c r="U80" s="14"/>
      <c r="V80" s="22">
        <f>IF(T$12=0,0,T80/T$12)</f>
        <v>0.2070492647003728</v>
      </c>
      <c r="W80" s="15"/>
      <c r="X80" s="20">
        <f>+P80-T80</f>
        <v>-181169.19000000024</v>
      </c>
      <c r="Y80" s="15"/>
      <c r="Z80" s="22">
        <f>IF(T80=0,0,X80/T80)</f>
        <v>-1.3326850468714859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/>
      <c r="E82" s="4"/>
      <c r="F82" s="12">
        <f>IF(D$12=0,0,D82/D$12)</f>
        <v>0</v>
      </c>
      <c r="G82" s="4"/>
      <c r="H82" s="4">
        <v>17359.439999999999</v>
      </c>
      <c r="I82" s="4"/>
      <c r="J82" s="12">
        <f>IF(H$12=0,0,H82/H$12)</f>
        <v>0.12548884215676301</v>
      </c>
      <c r="K82" s="4"/>
      <c r="L82" s="4">
        <f>+D82-H82</f>
        <v>-17359.439999999999</v>
      </c>
      <c r="M82" s="4"/>
      <c r="N82" s="12">
        <f>IF(H82=0,0,L82/H82)</f>
        <v>-1</v>
      </c>
      <c r="O82" s="10"/>
      <c r="P82" s="4"/>
      <c r="Q82" s="4"/>
      <c r="R82" s="12">
        <f>IF(P$12=0,0,P82/P$12)</f>
        <v>0</v>
      </c>
      <c r="S82" s="4"/>
      <c r="T82" s="4">
        <v>69526.66</v>
      </c>
      <c r="U82" s="4"/>
      <c r="V82" s="12">
        <f>IF(T$12=0,0,T82/T$12)</f>
        <v>0.10589324120407237</v>
      </c>
      <c r="W82" s="4"/>
      <c r="X82" s="4">
        <f>+P82-T82</f>
        <v>-69526.66</v>
      </c>
      <c r="Y82" s="4"/>
      <c r="Z82" s="12">
        <f>IF(T82=0,0,X82/T82)</f>
        <v>-1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4</v>
      </c>
      <c r="C84" s="28"/>
      <c r="D84" s="31">
        <f>+D80-D82</f>
        <v>-6747.53</v>
      </c>
      <c r="E84" s="14"/>
      <c r="F84" s="34">
        <f>IF(D$12=0,0,D84/D$12)</f>
        <v>0</v>
      </c>
      <c r="G84" s="14"/>
      <c r="H84" s="31">
        <f>+H80-H82</f>
        <v>10068.839999999993</v>
      </c>
      <c r="I84" s="14"/>
      <c r="J84" s="34">
        <f>IF(H$12=0,0,H84/H$12)</f>
        <v>7.2786165536543865E-2</v>
      </c>
      <c r="K84" s="15"/>
      <c r="L84" s="31">
        <f>D84-H84</f>
        <v>-16816.369999999992</v>
      </c>
      <c r="M84" s="15"/>
      <c r="N84" s="34">
        <f>IF(H84=0,0,L84/H84)</f>
        <v>-1.6701397579065715</v>
      </c>
      <c r="O84" s="29"/>
      <c r="P84" s="31">
        <f>+P80-P82</f>
        <v>-45226.200000000012</v>
      </c>
      <c r="Q84" s="14"/>
      <c r="R84" s="34">
        <f>IF(P$12=0,0,P84/P$12)</f>
        <v>0</v>
      </c>
      <c r="S84" s="14"/>
      <c r="T84" s="31">
        <f>+T80-T82</f>
        <v>66416.33000000022</v>
      </c>
      <c r="U84" s="14"/>
      <c r="V84" s="34">
        <f>IF(T$12=0,0,T84/T$12)</f>
        <v>0.10115602349630043</v>
      </c>
      <c r="W84" s="15"/>
      <c r="X84" s="31">
        <f>P84-T84</f>
        <v>-111642.53000000023</v>
      </c>
      <c r="Y84" s="15"/>
      <c r="Z84" s="34">
        <f>IF(T84=0,0,X84/T84)</f>
        <v>-1.6809500013023884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5</v>
      </c>
      <c r="C87" s="28"/>
      <c r="D87" s="32">
        <f>SUM(D84:D86)</f>
        <v>-6747.53</v>
      </c>
      <c r="E87" s="14"/>
      <c r="F87" s="30">
        <f>IF(D$12=0,0,D87/D$12)</f>
        <v>0</v>
      </c>
      <c r="G87" s="14"/>
      <c r="H87" s="32">
        <f>SUM(H84:H86)</f>
        <v>10068.839999999993</v>
      </c>
      <c r="I87" s="14"/>
      <c r="J87" s="30">
        <f>IF(H$12=0,0,H87/H$12)</f>
        <v>7.2786165536543865E-2</v>
      </c>
      <c r="K87" s="15"/>
      <c r="L87" s="32">
        <f>+D87-H87</f>
        <v>-16816.369999999992</v>
      </c>
      <c r="M87" s="15"/>
      <c r="N87" s="30">
        <f>IF(H87=0,0,L87/H87)</f>
        <v>-1.6701397579065715</v>
      </c>
      <c r="O87" s="29"/>
      <c r="P87" s="32">
        <f>SUM(P84:P86)</f>
        <v>-45226.200000000012</v>
      </c>
      <c r="Q87" s="14"/>
      <c r="R87" s="30">
        <f>IF(P$12=0,0,P87/P$12)</f>
        <v>0</v>
      </c>
      <c r="S87" s="14"/>
      <c r="T87" s="32">
        <f>SUM(T84:T86)</f>
        <v>66416.33000000022</v>
      </c>
      <c r="U87" s="14"/>
      <c r="V87" s="30">
        <f>IF(T$12=0,0,T87/T$12)</f>
        <v>0.10115602349630043</v>
      </c>
      <c r="W87" s="15"/>
      <c r="X87" s="32">
        <f>+P87-T87</f>
        <v>-111642.53000000023</v>
      </c>
      <c r="Y87" s="15"/>
      <c r="Z87" s="30">
        <f>IF(T87=0,0,X87/T87)</f>
        <v>-1.6809500013023884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54">
        <v>44174.686080358799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56" t="s">
        <v>313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61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","420", " - ", "Catering")</f>
        <v>Department 420 - Catering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55493.87</v>
      </c>
      <c r="E12" s="4"/>
      <c r="F12" s="12"/>
      <c r="G12" s="4"/>
      <c r="H12" s="4">
        <f>SUM(OSRRefH13x_0)</f>
        <v>48537.78</v>
      </c>
      <c r="I12" s="4"/>
      <c r="J12" s="12"/>
      <c r="K12" s="4"/>
      <c r="L12" s="4">
        <f t="shared" ref="L12:L14" si="0">+D12-H12</f>
        <v>6956.0900000000038</v>
      </c>
      <c r="M12" s="4"/>
      <c r="N12" s="12">
        <f t="shared" ref="N12:N14" si="1">IF(H12=0,0,L12/H12)</f>
        <v>0.14331289976591438</v>
      </c>
      <c r="O12" s="10"/>
      <c r="P12" s="4">
        <f>SUM(OSRRefP13x_0)</f>
        <v>85725.16</v>
      </c>
      <c r="Q12" s="4"/>
      <c r="R12" s="12"/>
      <c r="S12" s="4"/>
      <c r="T12" s="4">
        <f>SUM(OSRRefT13x_0)</f>
        <v>58608.259999999995</v>
      </c>
      <c r="U12" s="4"/>
      <c r="V12" s="12"/>
      <c r="W12" s="4"/>
      <c r="X12" s="4">
        <f t="shared" ref="X12:X14" si="2">+P12-T12</f>
        <v>27116.900000000009</v>
      </c>
      <c r="Y12" s="4"/>
      <c r="Z12" s="12">
        <f t="shared" ref="Z12:Z14" si="3">IF(T12=0,0,X12/T12)</f>
        <v>0.46268051636407581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--55493.87</f>
        <v>55493.87</v>
      </c>
      <c r="E13" s="2"/>
      <c r="F13" s="19"/>
      <c r="G13" s="2"/>
      <c r="H13" s="2">
        <f>--48404.79</f>
        <v>48404.79</v>
      </c>
      <c r="I13" s="2"/>
      <c r="J13" s="19"/>
      <c r="K13" s="2"/>
      <c r="L13" s="2">
        <f t="shared" si="0"/>
        <v>7089.0800000000017</v>
      </c>
      <c r="M13" s="2"/>
      <c r="N13" s="19">
        <f t="shared" si="1"/>
        <v>0.14645410092678848</v>
      </c>
      <c r="O13" s="11"/>
      <c r="P13" s="2">
        <f>--85725.16</f>
        <v>85725.16</v>
      </c>
      <c r="Q13" s="2"/>
      <c r="R13" s="19"/>
      <c r="S13" s="2"/>
      <c r="T13" s="2">
        <f>--58475.52</f>
        <v>58475.519999999997</v>
      </c>
      <c r="U13" s="2"/>
      <c r="V13" s="19"/>
      <c r="W13" s="2"/>
      <c r="X13" s="2">
        <f t="shared" si="2"/>
        <v>27249.640000000007</v>
      </c>
      <c r="Y13" s="2"/>
      <c r="Z13" s="19">
        <f t="shared" si="3"/>
        <v>0.466000815383942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0</f>
        <v>0</v>
      </c>
      <c r="E14" s="2"/>
      <c r="F14" s="19"/>
      <c r="G14" s="2"/>
      <c r="H14" s="2">
        <f>--132.99</f>
        <v>132.99</v>
      </c>
      <c r="I14" s="2"/>
      <c r="J14" s="19"/>
      <c r="K14" s="2"/>
      <c r="L14" s="2">
        <f t="shared" si="0"/>
        <v>-132.99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--132.74</f>
        <v>132.74</v>
      </c>
      <c r="U14" s="2"/>
      <c r="V14" s="19"/>
      <c r="W14" s="2"/>
      <c r="X14" s="2">
        <f t="shared" si="2"/>
        <v>-132.74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8</v>
      </c>
      <c r="C16" s="10"/>
      <c r="D16" s="4">
        <f>SUM(0)</f>
        <v>0</v>
      </c>
      <c r="E16" s="4"/>
      <c r="F16" s="12">
        <f>IF(D$12=0,0,D16/D$12)</f>
        <v>0</v>
      </c>
      <c r="G16" s="4"/>
      <c r="H16" s="4">
        <f>SUM(0)</f>
        <v>0</v>
      </c>
      <c r="I16" s="4"/>
      <c r="J16" s="12">
        <f>IF(H$12=0,0,H16/H$12)</f>
        <v>0</v>
      </c>
      <c r="K16" s="4"/>
      <c r="L16" s="4">
        <f>+D16-H16</f>
        <v>0</v>
      </c>
      <c r="M16" s="4"/>
      <c r="N16" s="12">
        <f>IF(H16=0,0,L16/H16)</f>
        <v>0</v>
      </c>
      <c r="O16" s="10"/>
      <c r="P16" s="4">
        <f>SUM(0)</f>
        <v>0</v>
      </c>
      <c r="Q16" s="4"/>
      <c r="R16" s="12">
        <f>IF(P$12=0,0,P16/P$12)</f>
        <v>0</v>
      </c>
      <c r="S16" s="4"/>
      <c r="T16" s="4">
        <f>SUM(0)</f>
        <v>0</v>
      </c>
      <c r="U16" s="4"/>
      <c r="V16" s="12">
        <f>IF(T$12=0,0,T16/T$12)</f>
        <v>0</v>
      </c>
      <c r="W16" s="4"/>
      <c r="X16" s="4">
        <f>+P16-T16</f>
        <v>0</v>
      </c>
      <c r="Y16" s="4"/>
      <c r="Z16" s="12">
        <f>IF(T16=0,0,X16/T16)</f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>
        <f>D12-D16</f>
        <v>55493.87</v>
      </c>
      <c r="E18" s="14"/>
      <c r="F18" s="22">
        <f>IF(D$12=0,0,D18/D$12)</f>
        <v>1</v>
      </c>
      <c r="G18" s="14"/>
      <c r="H18" s="20">
        <f>H12-H16</f>
        <v>48537.78</v>
      </c>
      <c r="I18" s="14"/>
      <c r="J18" s="22">
        <f>IF(H$12=0,0,H18/H$12)</f>
        <v>1</v>
      </c>
      <c r="K18" s="15"/>
      <c r="L18" s="20">
        <f>+D18-H18</f>
        <v>6956.0900000000038</v>
      </c>
      <c r="M18" s="15"/>
      <c r="N18" s="22">
        <f>IF(H18=0,0,L18/H18)</f>
        <v>0.14331289976591438</v>
      </c>
      <c r="O18" s="29"/>
      <c r="P18" s="20">
        <f>P12-P16</f>
        <v>85725.16</v>
      </c>
      <c r="Q18" s="14"/>
      <c r="R18" s="22">
        <f>IF(P$12=0,0,P18/P$12)</f>
        <v>1</v>
      </c>
      <c r="S18" s="14"/>
      <c r="T18" s="20">
        <f>T12-T16</f>
        <v>58608.259999999995</v>
      </c>
      <c r="U18" s="14"/>
      <c r="V18" s="22">
        <f>IF(T$12=0,0,T18/T$12)</f>
        <v>1</v>
      </c>
      <c r="W18" s="15"/>
      <c r="X18" s="20">
        <f>+P18-T18</f>
        <v>27116.900000000009</v>
      </c>
      <c r="Y18" s="15"/>
      <c r="Z18" s="22">
        <f>IF(T18=0,0,X18/T18)</f>
        <v>0.46268051636407581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>
        <f>SUM(OSRRefD22x_0)</f>
        <v>7.86</v>
      </c>
      <c r="E20" s="21"/>
      <c r="F20" s="35">
        <f t="shared" ref="F20:F28" si="4">IF(D$12=0,0,D20/D$12)</f>
        <v>1.4163726552139902E-4</v>
      </c>
      <c r="G20" s="21"/>
      <c r="H20" s="21">
        <f>SUM(OSRRefH22x_0)</f>
        <v>30666.220000000005</v>
      </c>
      <c r="I20" s="21"/>
      <c r="J20" s="35">
        <f t="shared" ref="J20:J28" si="5">IF(H$12=0,0,H20/H$12)</f>
        <v>0.63180104240449408</v>
      </c>
      <c r="K20" s="4"/>
      <c r="L20" s="21">
        <f t="shared" ref="L20:L28" si="6">+D20-H20</f>
        <v>-30658.360000000004</v>
      </c>
      <c r="M20" s="4"/>
      <c r="N20" s="35">
        <f t="shared" ref="N20:N28" si="7">IF(H20=0,0,L20/H20)</f>
        <v>-0.99974369191899093</v>
      </c>
      <c r="O20" s="10"/>
      <c r="P20" s="21">
        <f>SUM(OSRRefP22x_0)</f>
        <v>7.86</v>
      </c>
      <c r="Q20" s="21"/>
      <c r="R20" s="35">
        <f t="shared" ref="R20:R28" si="8">IF(P$12=0,0,P20/P$12)</f>
        <v>9.1688367802404805E-5</v>
      </c>
      <c r="S20" s="21"/>
      <c r="T20" s="21">
        <f>SUM(OSRRefT22x_0)</f>
        <v>80268.94</v>
      </c>
      <c r="U20" s="21"/>
      <c r="V20" s="35">
        <f t="shared" ref="V20:V28" si="9">IF(T$12=0,0,T20/T$12)</f>
        <v>1.3695840825166967</v>
      </c>
      <c r="W20" s="4"/>
      <c r="X20" s="21">
        <f t="shared" ref="X20:X28" si="10">+P20-T20</f>
        <v>-80261.08</v>
      </c>
      <c r="Y20" s="4"/>
      <c r="Z20" s="35">
        <f t="shared" ref="Z20:Z28" si="11">IF(T20=0,0,X20/T20)</f>
        <v>-0.99990207918529883</v>
      </c>
    </row>
    <row r="21" spans="1:26" s="26" customFormat="1" outlineLevel="1" collapsed="1" x14ac:dyDescent="0.25">
      <c r="A21" s="27"/>
      <c r="B21" s="13" t="str">
        <f>CONCATENATE("     ","*Benefits                                         ")</f>
        <v xml:space="preserve">     *Benefits                                         </v>
      </c>
      <c r="C21" s="13"/>
      <c r="D21" s="1">
        <f>SUM(OSRRefD22_0x_0)</f>
        <v>7.86</v>
      </c>
      <c r="E21" s="1"/>
      <c r="F21" s="5">
        <f t="shared" si="4"/>
        <v>1.4163726552139902E-4</v>
      </c>
      <c r="G21" s="1"/>
      <c r="H21" s="1">
        <f>SUM(OSRRefH22_0x_0)</f>
        <v>6287.56</v>
      </c>
      <c r="I21" s="1"/>
      <c r="J21" s="5">
        <f t="shared" si="5"/>
        <v>0.12953950510303522</v>
      </c>
      <c r="K21" s="1"/>
      <c r="L21" s="1">
        <f t="shared" si="6"/>
        <v>-6279.7000000000007</v>
      </c>
      <c r="M21" s="1"/>
      <c r="N21" s="5">
        <f t="shared" si="7"/>
        <v>-0.99874991252568568</v>
      </c>
      <c r="O21" s="13"/>
      <c r="P21" s="1">
        <f>SUM(OSRRefP22_0x_0)</f>
        <v>7.86</v>
      </c>
      <c r="Q21" s="1"/>
      <c r="R21" s="5">
        <f t="shared" si="8"/>
        <v>9.1688367802404805E-5</v>
      </c>
      <c r="S21" s="1"/>
      <c r="T21" s="1">
        <f>SUM(OSRRefT22_0x_0)</f>
        <v>15057.520000000002</v>
      </c>
      <c r="U21" s="1"/>
      <c r="V21" s="5">
        <f t="shared" si="9"/>
        <v>0.2569180521653433</v>
      </c>
      <c r="W21" s="1"/>
      <c r="X21" s="1">
        <f t="shared" si="10"/>
        <v>-15049.660000000002</v>
      </c>
      <c r="Y21" s="1"/>
      <c r="Z21" s="5">
        <f t="shared" si="11"/>
        <v>-0.99947800168952117</v>
      </c>
    </row>
    <row r="22" spans="1:26" s="24" customFormat="1" hidden="1" outlineLevel="2" x14ac:dyDescent="0.25">
      <c r="A22" s="25"/>
      <c r="B22" s="11" t="str">
        <f>CONCATENATE("          ", "6111", " - ", "F.I.C.A.")</f>
        <v xml:space="preserve">          6111 - F.I.C.A.</v>
      </c>
      <c r="C22" s="11"/>
      <c r="D22" s="6">
        <v>7.86</v>
      </c>
      <c r="E22" s="2"/>
      <c r="F22" s="7">
        <f t="shared" si="4"/>
        <v>1.4163726552139902E-4</v>
      </c>
      <c r="G22" s="2"/>
      <c r="H22" s="6">
        <v>1678</v>
      </c>
      <c r="I22" s="2"/>
      <c r="J22" s="7">
        <f t="shared" si="5"/>
        <v>3.4571008397994304E-2</v>
      </c>
      <c r="K22" s="2"/>
      <c r="L22" s="6">
        <f t="shared" si="6"/>
        <v>-1670.14</v>
      </c>
      <c r="M22" s="2"/>
      <c r="N22" s="7">
        <f t="shared" si="7"/>
        <v>-0.99531585220500607</v>
      </c>
      <c r="O22" s="11"/>
      <c r="P22" s="6">
        <v>7.86</v>
      </c>
      <c r="Q22" s="2"/>
      <c r="R22" s="7">
        <f t="shared" si="8"/>
        <v>9.1688367802404805E-5</v>
      </c>
      <c r="S22" s="2"/>
      <c r="T22" s="6">
        <v>5016.8500000000004</v>
      </c>
      <c r="U22" s="2"/>
      <c r="V22" s="7">
        <f t="shared" si="9"/>
        <v>8.5599708983000025E-2</v>
      </c>
      <c r="W22" s="2"/>
      <c r="X22" s="6">
        <f t="shared" si="10"/>
        <v>-5008.9900000000007</v>
      </c>
      <c r="Y22" s="2"/>
      <c r="Z22" s="7">
        <f t="shared" si="11"/>
        <v>-0.99843327984691599</v>
      </c>
    </row>
    <row r="23" spans="1:26" s="24" customFormat="1" hidden="1" outlineLevel="2" x14ac:dyDescent="0.25">
      <c r="A23" s="25"/>
      <c r="B23" s="11" t="str">
        <f>CONCATENATE("          ", "6112", " - ", "COMPENSATION INSURANCE")</f>
        <v xml:space="preserve">          6112 - COMPENSATION INSURANCE</v>
      </c>
      <c r="C23" s="11"/>
      <c r="D23" s="6"/>
      <c r="E23" s="2"/>
      <c r="F23" s="7">
        <f t="shared" si="4"/>
        <v>0</v>
      </c>
      <c r="G23" s="2"/>
      <c r="H23" s="6">
        <v>1054.42</v>
      </c>
      <c r="I23" s="2"/>
      <c r="J23" s="7">
        <f t="shared" si="5"/>
        <v>2.1723696469018568E-2</v>
      </c>
      <c r="K23" s="2"/>
      <c r="L23" s="6">
        <f t="shared" si="6"/>
        <v>-1054.42</v>
      </c>
      <c r="M23" s="2"/>
      <c r="N23" s="7">
        <f t="shared" si="7"/>
        <v>-1</v>
      </c>
      <c r="O23" s="11"/>
      <c r="P23" s="6"/>
      <c r="Q23" s="2"/>
      <c r="R23" s="7">
        <f t="shared" si="8"/>
        <v>0</v>
      </c>
      <c r="S23" s="2"/>
      <c r="T23" s="6">
        <v>2597.27</v>
      </c>
      <c r="U23" s="2"/>
      <c r="V23" s="7">
        <f t="shared" si="9"/>
        <v>4.4315767094945321E-2</v>
      </c>
      <c r="W23" s="2"/>
      <c r="X23" s="6">
        <f t="shared" si="10"/>
        <v>-2597.27</v>
      </c>
      <c r="Y23" s="2"/>
      <c r="Z23" s="7">
        <f t="shared" si="11"/>
        <v>-1</v>
      </c>
    </row>
    <row r="24" spans="1:26" s="24" customFormat="1" hidden="1" outlineLevel="2" x14ac:dyDescent="0.25">
      <c r="A24" s="25"/>
      <c r="B24" s="11" t="str">
        <f>CONCATENATE("          ", "6113", " - ", "GROUP INSURANCE")</f>
        <v xml:space="preserve">          6113 - GROUP INSURANCE</v>
      </c>
      <c r="C24" s="11"/>
      <c r="D24" s="6"/>
      <c r="E24" s="2"/>
      <c r="F24" s="7">
        <f t="shared" si="4"/>
        <v>0</v>
      </c>
      <c r="G24" s="2"/>
      <c r="H24" s="6">
        <v>134.30000000000001</v>
      </c>
      <c r="I24" s="2"/>
      <c r="J24" s="7">
        <f t="shared" si="5"/>
        <v>2.7669168223186146E-3</v>
      </c>
      <c r="K24" s="2"/>
      <c r="L24" s="6">
        <f t="shared" si="6"/>
        <v>-134.30000000000001</v>
      </c>
      <c r="M24" s="2"/>
      <c r="N24" s="7">
        <f t="shared" si="7"/>
        <v>-1</v>
      </c>
      <c r="O24" s="11"/>
      <c r="P24" s="6"/>
      <c r="Q24" s="2"/>
      <c r="R24" s="7">
        <f t="shared" si="8"/>
        <v>0</v>
      </c>
      <c r="S24" s="2"/>
      <c r="T24" s="6">
        <v>268.60000000000002</v>
      </c>
      <c r="U24" s="2"/>
      <c r="V24" s="7">
        <f t="shared" si="9"/>
        <v>4.5829717517633191E-3</v>
      </c>
      <c r="W24" s="2"/>
      <c r="X24" s="6">
        <f t="shared" si="10"/>
        <v>-268.60000000000002</v>
      </c>
      <c r="Y24" s="2"/>
      <c r="Z24" s="7">
        <f t="shared" si="11"/>
        <v>-1</v>
      </c>
    </row>
    <row r="25" spans="1:26" s="24" customFormat="1" hidden="1" outlineLevel="2" x14ac:dyDescent="0.25">
      <c r="A25" s="25"/>
      <c r="B25" s="11" t="str">
        <f>CONCATENATE("          ", "6114", " - ", "STATE UNEMPLOYMENT INSURANCE")</f>
        <v xml:space="preserve">          6114 - STATE UNEMPLOYMENT INSURANCE</v>
      </c>
      <c r="C25" s="11"/>
      <c r="D25" s="6"/>
      <c r="E25" s="2"/>
      <c r="F25" s="7">
        <f t="shared" si="4"/>
        <v>0</v>
      </c>
      <c r="G25" s="2"/>
      <c r="H25" s="6">
        <v>70.66</v>
      </c>
      <c r="I25" s="2"/>
      <c r="J25" s="7">
        <f t="shared" si="5"/>
        <v>1.4557732141849092E-3</v>
      </c>
      <c r="K25" s="2"/>
      <c r="L25" s="6">
        <f t="shared" si="6"/>
        <v>-70.66</v>
      </c>
      <c r="M25" s="2"/>
      <c r="N25" s="7">
        <f t="shared" si="7"/>
        <v>-1</v>
      </c>
      <c r="O25" s="11"/>
      <c r="P25" s="6"/>
      <c r="Q25" s="2"/>
      <c r="R25" s="7">
        <f t="shared" si="8"/>
        <v>0</v>
      </c>
      <c r="S25" s="2"/>
      <c r="T25" s="6">
        <v>174.05</v>
      </c>
      <c r="U25" s="2"/>
      <c r="V25" s="7">
        <f t="shared" si="9"/>
        <v>2.9697179203067967E-3</v>
      </c>
      <c r="W25" s="2"/>
      <c r="X25" s="6">
        <f t="shared" si="10"/>
        <v>-174.05</v>
      </c>
      <c r="Y25" s="2"/>
      <c r="Z25" s="7">
        <f t="shared" si="11"/>
        <v>-1</v>
      </c>
    </row>
    <row r="26" spans="1:26" s="24" customFormat="1" hidden="1" outlineLevel="2" x14ac:dyDescent="0.25">
      <c r="A26" s="25"/>
      <c r="B26" s="11" t="str">
        <f>CONCATENATE("          ", "6115", " - ", "P.E.R.S.")</f>
        <v xml:space="preserve">          6115 - P.E.R.S.</v>
      </c>
      <c r="C26" s="11"/>
      <c r="D26" s="6"/>
      <c r="E26" s="2"/>
      <c r="F26" s="7">
        <f t="shared" si="4"/>
        <v>0</v>
      </c>
      <c r="G26" s="2"/>
      <c r="H26" s="6">
        <v>1491.42</v>
      </c>
      <c r="I26" s="2"/>
      <c r="J26" s="7">
        <f t="shared" si="5"/>
        <v>3.0726992458245929E-2</v>
      </c>
      <c r="K26" s="2"/>
      <c r="L26" s="6">
        <f t="shared" si="6"/>
        <v>-1491.42</v>
      </c>
      <c r="M26" s="2"/>
      <c r="N26" s="7">
        <f t="shared" si="7"/>
        <v>-1</v>
      </c>
      <c r="O26" s="11"/>
      <c r="P26" s="6"/>
      <c r="Q26" s="2"/>
      <c r="R26" s="7">
        <f t="shared" si="8"/>
        <v>0</v>
      </c>
      <c r="S26" s="2"/>
      <c r="T26" s="6">
        <v>2353.85</v>
      </c>
      <c r="U26" s="2"/>
      <c r="V26" s="7">
        <f t="shared" si="9"/>
        <v>4.0162427616858107E-2</v>
      </c>
      <c r="W26" s="2"/>
      <c r="X26" s="6">
        <f t="shared" si="10"/>
        <v>-2353.85</v>
      </c>
      <c r="Y26" s="2"/>
      <c r="Z26" s="7">
        <f t="shared" si="11"/>
        <v>-1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/>
      <c r="E27" s="2"/>
      <c r="F27" s="7">
        <f t="shared" si="4"/>
        <v>0</v>
      </c>
      <c r="G27" s="2"/>
      <c r="H27" s="6">
        <v>1005.42</v>
      </c>
      <c r="I27" s="2"/>
      <c r="J27" s="7">
        <f t="shared" si="5"/>
        <v>2.071417357777797E-2</v>
      </c>
      <c r="K27" s="2"/>
      <c r="L27" s="6">
        <f t="shared" si="6"/>
        <v>-1005.42</v>
      </c>
      <c r="M27" s="2"/>
      <c r="N27" s="7">
        <f t="shared" si="7"/>
        <v>-1</v>
      </c>
      <c r="O27" s="11"/>
      <c r="P27" s="6"/>
      <c r="Q27" s="2"/>
      <c r="R27" s="7">
        <f t="shared" si="8"/>
        <v>0</v>
      </c>
      <c r="S27" s="2"/>
      <c r="T27" s="6">
        <v>2513.5500000000002</v>
      </c>
      <c r="U27" s="2"/>
      <c r="V27" s="7">
        <f t="shared" si="9"/>
        <v>4.2887299503517086E-2</v>
      </c>
      <c r="W27" s="2"/>
      <c r="X27" s="6">
        <f t="shared" si="10"/>
        <v>-2513.5500000000002</v>
      </c>
      <c r="Y27" s="2"/>
      <c r="Z27" s="7">
        <f t="shared" si="11"/>
        <v>-1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/>
      <c r="E28" s="2"/>
      <c r="F28" s="7">
        <f t="shared" si="4"/>
        <v>0</v>
      </c>
      <c r="G28" s="2"/>
      <c r="H28" s="6">
        <v>853.34</v>
      </c>
      <c r="I28" s="2"/>
      <c r="J28" s="7">
        <f t="shared" si="5"/>
        <v>1.7580944163494913E-2</v>
      </c>
      <c r="K28" s="2"/>
      <c r="L28" s="6">
        <f t="shared" si="6"/>
        <v>-853.34</v>
      </c>
      <c r="M28" s="2"/>
      <c r="N28" s="7">
        <f t="shared" si="7"/>
        <v>-1</v>
      </c>
      <c r="O28" s="11"/>
      <c r="P28" s="6"/>
      <c r="Q28" s="2"/>
      <c r="R28" s="7">
        <f t="shared" si="8"/>
        <v>0</v>
      </c>
      <c r="S28" s="2"/>
      <c r="T28" s="6">
        <v>2133.35</v>
      </c>
      <c r="U28" s="2"/>
      <c r="V28" s="7">
        <f t="shared" si="9"/>
        <v>3.6400159294952626E-2</v>
      </c>
      <c r="W28" s="2"/>
      <c r="X28" s="6">
        <f t="shared" si="10"/>
        <v>-2133.35</v>
      </c>
      <c r="Y28" s="2"/>
      <c r="Z28" s="7">
        <f t="shared" si="11"/>
        <v>-1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0</v>
      </c>
      <c r="E29" s="1"/>
      <c r="F29" s="5">
        <f t="shared" ref="F29:F33" si="12">IF(D$12=0,0,D29/D$12)</f>
        <v>0</v>
      </c>
      <c r="G29" s="1"/>
      <c r="H29" s="1">
        <f>SUM(OSRRefH22_1x_0)</f>
        <v>24176.070000000003</v>
      </c>
      <c r="I29" s="1"/>
      <c r="J29" s="5">
        <f t="shared" ref="J29:J33" si="13">IF(H$12=0,0,H29/H$12)</f>
        <v>0.49808767520887859</v>
      </c>
      <c r="K29" s="1"/>
      <c r="L29" s="1">
        <f t="shared" ref="L29:L33" si="14">+D29-H29</f>
        <v>-24176.070000000003</v>
      </c>
      <c r="M29" s="1"/>
      <c r="N29" s="5">
        <f t="shared" ref="N29:N33" si="15">IF(H29=0,0,L29/H29)</f>
        <v>-1</v>
      </c>
      <c r="O29" s="13"/>
      <c r="P29" s="1">
        <f>SUM(OSRRefP22_1x_0)</f>
        <v>0</v>
      </c>
      <c r="Q29" s="1"/>
      <c r="R29" s="5">
        <f t="shared" ref="R29:R33" si="16">IF(P$12=0,0,P29/P$12)</f>
        <v>0</v>
      </c>
      <c r="S29" s="1"/>
      <c r="T29" s="1">
        <f>SUM(OSRRefT22_1x_0)</f>
        <v>63277.640000000007</v>
      </c>
      <c r="U29" s="1"/>
      <c r="V29" s="5">
        <f t="shared" ref="V29:V33" si="17">IF(T$12=0,0,T29/T$12)</f>
        <v>1.0796710224804491</v>
      </c>
      <c r="W29" s="1"/>
      <c r="X29" s="1">
        <f t="shared" ref="X29:X33" si="18">+P29-T29</f>
        <v>-63277.640000000007</v>
      </c>
      <c r="Y29" s="1"/>
      <c r="Z29" s="5">
        <f t="shared" ref="Z29:Z33" si="19">IF(T29=0,0,X29/T29)</f>
        <v>-1</v>
      </c>
    </row>
    <row r="30" spans="1:26" s="24" customFormat="1" hidden="1" outlineLevel="2" x14ac:dyDescent="0.25">
      <c r="A30" s="25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12"/>
        <v>0</v>
      </c>
      <c r="G30" s="2"/>
      <c r="H30" s="6">
        <v>17087.63</v>
      </c>
      <c r="I30" s="2"/>
      <c r="J30" s="7">
        <f t="shared" si="13"/>
        <v>0.35204803351121544</v>
      </c>
      <c r="K30" s="2"/>
      <c r="L30" s="6">
        <f t="shared" si="14"/>
        <v>-17087.63</v>
      </c>
      <c r="M30" s="2"/>
      <c r="N30" s="7">
        <f t="shared" si="15"/>
        <v>-1</v>
      </c>
      <c r="O30" s="11"/>
      <c r="P30" s="6"/>
      <c r="Q30" s="2"/>
      <c r="R30" s="7">
        <f t="shared" si="16"/>
        <v>0</v>
      </c>
      <c r="S30" s="2"/>
      <c r="T30" s="6">
        <v>43420.270000000004</v>
      </c>
      <c r="U30" s="2"/>
      <c r="V30" s="7">
        <f t="shared" si="17"/>
        <v>0.74085581110921916</v>
      </c>
      <c r="W30" s="2"/>
      <c r="X30" s="6">
        <f t="shared" si="18"/>
        <v>-43420.270000000004</v>
      </c>
      <c r="Y30" s="2"/>
      <c r="Z30" s="7">
        <f t="shared" si="19"/>
        <v>-1</v>
      </c>
    </row>
    <row r="31" spans="1:26" s="24" customFormat="1" hidden="1" outlineLevel="2" x14ac:dyDescent="0.25">
      <c r="A31" s="25"/>
      <c r="B31" s="11" t="str">
        <f>CONCATENATE("          ", "6005", " - ", "TEMPORARY WAGES-HOURLY")</f>
        <v xml:space="preserve">          6005 - TEMPORARY WAGES-HOURLY</v>
      </c>
      <c r="C31" s="11"/>
      <c r="D31" s="6"/>
      <c r="E31" s="2"/>
      <c r="F31" s="7">
        <f t="shared" si="12"/>
        <v>0</v>
      </c>
      <c r="G31" s="2"/>
      <c r="H31" s="6">
        <v>3164.2</v>
      </c>
      <c r="I31" s="2"/>
      <c r="J31" s="7">
        <f t="shared" si="13"/>
        <v>6.5190455764561131E-2</v>
      </c>
      <c r="K31" s="2"/>
      <c r="L31" s="6">
        <f t="shared" si="14"/>
        <v>-3164.2</v>
      </c>
      <c r="M31" s="2"/>
      <c r="N31" s="7">
        <f t="shared" si="15"/>
        <v>-1</v>
      </c>
      <c r="O31" s="11"/>
      <c r="P31" s="6"/>
      <c r="Q31" s="2"/>
      <c r="R31" s="7">
        <f t="shared" si="16"/>
        <v>0</v>
      </c>
      <c r="S31" s="2"/>
      <c r="T31" s="6">
        <v>6565.79</v>
      </c>
      <c r="U31" s="2"/>
      <c r="V31" s="7">
        <f t="shared" si="17"/>
        <v>0.11202840691738673</v>
      </c>
      <c r="W31" s="2"/>
      <c r="X31" s="6">
        <f t="shared" si="18"/>
        <v>-6565.79</v>
      </c>
      <c r="Y31" s="2"/>
      <c r="Z31" s="7">
        <f t="shared" si="19"/>
        <v>-1</v>
      </c>
    </row>
    <row r="32" spans="1:26" s="24" customFormat="1" hidden="1" outlineLevel="2" x14ac:dyDescent="0.25">
      <c r="A32" s="25"/>
      <c r="B32" s="11" t="str">
        <f>CONCATENATE("          ", "6007", " - ", "STUDENT HOURLY")</f>
        <v xml:space="preserve">          6007 - STUDENT HOURLY</v>
      </c>
      <c r="C32" s="11"/>
      <c r="D32" s="6"/>
      <c r="E32" s="2"/>
      <c r="F32" s="7">
        <f t="shared" si="12"/>
        <v>0</v>
      </c>
      <c r="G32" s="2"/>
      <c r="H32" s="6">
        <v>3200.95</v>
      </c>
      <c r="I32" s="2"/>
      <c r="J32" s="7">
        <f t="shared" si="13"/>
        <v>6.5947597932991583E-2</v>
      </c>
      <c r="K32" s="2"/>
      <c r="L32" s="6">
        <f t="shared" si="14"/>
        <v>-3200.95</v>
      </c>
      <c r="M32" s="2"/>
      <c r="N32" s="7">
        <f t="shared" si="15"/>
        <v>-1</v>
      </c>
      <c r="O32" s="11"/>
      <c r="P32" s="6"/>
      <c r="Q32" s="2"/>
      <c r="R32" s="7">
        <f t="shared" si="16"/>
        <v>0</v>
      </c>
      <c r="S32" s="2"/>
      <c r="T32" s="6">
        <v>10764.54</v>
      </c>
      <c r="U32" s="2"/>
      <c r="V32" s="7">
        <f t="shared" si="17"/>
        <v>0.18366933261625581</v>
      </c>
      <c r="W32" s="2"/>
      <c r="X32" s="6">
        <f t="shared" si="18"/>
        <v>-10764.54</v>
      </c>
      <c r="Y32" s="2"/>
      <c r="Z32" s="7">
        <f t="shared" si="19"/>
        <v>-1</v>
      </c>
    </row>
    <row r="33" spans="1:26" s="24" customFormat="1" hidden="1" outlineLevel="2" x14ac:dyDescent="0.25">
      <c r="A33" s="25"/>
      <c r="B33" s="11" t="str">
        <f>CONCATENATE("          ", "6008", " - ", "STUDENT HOURLY-FICA EXEMPT")</f>
        <v xml:space="preserve">          6008 - STUDENT HOURLY-FICA EXEMPT</v>
      </c>
      <c r="C33" s="11"/>
      <c r="D33" s="6"/>
      <c r="E33" s="2"/>
      <c r="F33" s="7">
        <f t="shared" si="12"/>
        <v>0</v>
      </c>
      <c r="G33" s="2"/>
      <c r="H33" s="6">
        <v>723.29</v>
      </c>
      <c r="I33" s="2"/>
      <c r="J33" s="7">
        <f t="shared" si="13"/>
        <v>1.4901588000110429E-2</v>
      </c>
      <c r="K33" s="2"/>
      <c r="L33" s="6">
        <f t="shared" si="14"/>
        <v>-723.29</v>
      </c>
      <c r="M33" s="2"/>
      <c r="N33" s="7">
        <f t="shared" si="15"/>
        <v>-1</v>
      </c>
      <c r="O33" s="11"/>
      <c r="P33" s="6"/>
      <c r="Q33" s="2"/>
      <c r="R33" s="7">
        <f t="shared" si="16"/>
        <v>0</v>
      </c>
      <c r="S33" s="2"/>
      <c r="T33" s="6">
        <v>2527.04</v>
      </c>
      <c r="U33" s="2"/>
      <c r="V33" s="7">
        <f t="shared" si="17"/>
        <v>4.31174718375874E-2</v>
      </c>
      <c r="W33" s="2"/>
      <c r="X33" s="6">
        <f t="shared" si="18"/>
        <v>-2527.04</v>
      </c>
      <c r="Y33" s="2"/>
      <c r="Z33" s="7">
        <f t="shared" si="19"/>
        <v>-1</v>
      </c>
    </row>
    <row r="34" spans="1:26" s="26" customFormat="1" outlineLevel="1" collapsed="1" x14ac:dyDescent="0.25">
      <c r="A34" s="27"/>
      <c r="B34" s="13" t="str">
        <f>CONCATENATE("     ","Bank/card Fees                                    ")</f>
        <v xml:space="preserve">     Bank/card Fees                                    </v>
      </c>
      <c r="C34" s="13"/>
      <c r="D34" s="1">
        <f>SUM(OSRRefD22_2x_0)</f>
        <v>0</v>
      </c>
      <c r="E34" s="1"/>
      <c r="F34" s="5">
        <f t="shared" ref="F34:F39" si="20">IF(D$12=0,0,D34/D$12)</f>
        <v>0</v>
      </c>
      <c r="G34" s="1"/>
      <c r="H34" s="1">
        <f>SUM(OSRRefH22_2x_0)</f>
        <v>202.59</v>
      </c>
      <c r="I34" s="1"/>
      <c r="J34" s="5">
        <f t="shared" ref="J34:J39" si="21">IF(H$12=0,0,H34/H$12)</f>
        <v>4.1738620925802538E-3</v>
      </c>
      <c r="K34" s="1"/>
      <c r="L34" s="1">
        <f t="shared" ref="L34:L39" si="22">+D34-H34</f>
        <v>-202.59</v>
      </c>
      <c r="M34" s="1"/>
      <c r="N34" s="5">
        <f t="shared" ref="N34:N39" si="23">IF(H34=0,0,L34/H34)</f>
        <v>-1</v>
      </c>
      <c r="O34" s="13"/>
      <c r="P34" s="1">
        <f>SUM(OSRRefP22_2x_0)</f>
        <v>0</v>
      </c>
      <c r="Q34" s="1"/>
      <c r="R34" s="5">
        <f t="shared" ref="R34:R39" si="24">IF(P$12=0,0,P34/P$12)</f>
        <v>0</v>
      </c>
      <c r="S34" s="1"/>
      <c r="T34" s="1">
        <f>SUM(OSRRefT22_2x_0)</f>
        <v>202.59</v>
      </c>
      <c r="U34" s="1"/>
      <c r="V34" s="5">
        <f t="shared" ref="V34:V39" si="25">IF(T$12=0,0,T34/T$12)</f>
        <v>3.4566799969833607E-3</v>
      </c>
      <c r="W34" s="1"/>
      <c r="X34" s="1">
        <f t="shared" ref="X34:X39" si="26">+P34-T34</f>
        <v>-202.59</v>
      </c>
      <c r="Y34" s="1"/>
      <c r="Z34" s="5">
        <f t="shared" ref="Z34:Z39" si="27">IF(T34=0,0,X34/T34)</f>
        <v>-1</v>
      </c>
    </row>
    <row r="35" spans="1:26" s="24" customFormat="1" hidden="1" outlineLevel="2" x14ac:dyDescent="0.25">
      <c r="A35" s="25"/>
      <c r="B35" s="11" t="str">
        <f>CONCATENATE("          ", "6381", " - ", "BANK/CREDIT CARD FEES")</f>
        <v xml:space="preserve">          6381 - BANK/CREDIT CARD FEES</v>
      </c>
      <c r="C35" s="11"/>
      <c r="D35" s="6"/>
      <c r="E35" s="2"/>
      <c r="F35" s="7">
        <f t="shared" si="20"/>
        <v>0</v>
      </c>
      <c r="G35" s="2"/>
      <c r="H35" s="6">
        <v>202.59</v>
      </c>
      <c r="I35" s="2"/>
      <c r="J35" s="7">
        <f t="shared" si="21"/>
        <v>4.1738620925802538E-3</v>
      </c>
      <c r="K35" s="2"/>
      <c r="L35" s="6">
        <f t="shared" si="22"/>
        <v>-202.59</v>
      </c>
      <c r="M35" s="2"/>
      <c r="N35" s="7">
        <f t="shared" si="23"/>
        <v>-1</v>
      </c>
      <c r="O35" s="11"/>
      <c r="P35" s="6"/>
      <c r="Q35" s="2"/>
      <c r="R35" s="7">
        <f t="shared" si="24"/>
        <v>0</v>
      </c>
      <c r="S35" s="2"/>
      <c r="T35" s="6">
        <v>202.59</v>
      </c>
      <c r="U35" s="2"/>
      <c r="V35" s="7">
        <f t="shared" si="25"/>
        <v>3.4566799969833607E-3</v>
      </c>
      <c r="W35" s="2"/>
      <c r="X35" s="6">
        <f t="shared" si="26"/>
        <v>-202.59</v>
      </c>
      <c r="Y35" s="2"/>
      <c r="Z35" s="7">
        <f t="shared" si="27"/>
        <v>-1</v>
      </c>
    </row>
    <row r="36" spans="1:26" s="26" customFormat="1" outlineLevel="1" collapsed="1" x14ac:dyDescent="0.25">
      <c r="A36" s="27"/>
      <c r="B36" s="13" t="str">
        <f>CONCATENATE("     ","Repair and Maintenance                            ")</f>
        <v xml:space="preserve">     Repair and Maintenance                            </v>
      </c>
      <c r="C36" s="13"/>
      <c r="D36" s="1">
        <f>SUM(OSRRefD22_3x_0)</f>
        <v>0</v>
      </c>
      <c r="E36" s="1"/>
      <c r="F36" s="5">
        <f t="shared" si="20"/>
        <v>0</v>
      </c>
      <c r="G36" s="1"/>
      <c r="H36" s="1">
        <f>SUM(OSRRefH22_3x_0)</f>
        <v>0</v>
      </c>
      <c r="I36" s="1"/>
      <c r="J36" s="5">
        <f t="shared" si="21"/>
        <v>0</v>
      </c>
      <c r="K36" s="1"/>
      <c r="L36" s="1">
        <f t="shared" si="22"/>
        <v>0</v>
      </c>
      <c r="M36" s="1"/>
      <c r="N36" s="5">
        <f t="shared" si="23"/>
        <v>0</v>
      </c>
      <c r="O36" s="13"/>
      <c r="P36" s="1">
        <f>SUM(OSRRefP22_3x_0)</f>
        <v>0</v>
      </c>
      <c r="Q36" s="1"/>
      <c r="R36" s="5">
        <f t="shared" si="24"/>
        <v>0</v>
      </c>
      <c r="S36" s="1"/>
      <c r="T36" s="1">
        <f>SUM(OSRRefT22_3x_0)</f>
        <v>1151.21</v>
      </c>
      <c r="U36" s="1"/>
      <c r="V36" s="5">
        <f t="shared" si="25"/>
        <v>1.9642453128620438E-2</v>
      </c>
      <c r="W36" s="1"/>
      <c r="X36" s="1">
        <f t="shared" si="26"/>
        <v>-1151.21</v>
      </c>
      <c r="Y36" s="1"/>
      <c r="Z36" s="5">
        <f t="shared" si="27"/>
        <v>-1</v>
      </c>
    </row>
    <row r="37" spans="1:26" s="24" customFormat="1" hidden="1" outlineLevel="2" x14ac:dyDescent="0.25">
      <c r="A37" s="25"/>
      <c r="B37" s="11" t="str">
        <f>CONCATENATE("          ", "6375", " - ", "OUTSIDE REPAIRS &amp; MAINTENANCE")</f>
        <v xml:space="preserve">          6375 - OUTSIDE REPAIRS &amp; MAINTENANCE</v>
      </c>
      <c r="C37" s="11"/>
      <c r="D37" s="6"/>
      <c r="E37" s="2"/>
      <c r="F37" s="7">
        <f t="shared" si="20"/>
        <v>0</v>
      </c>
      <c r="G37" s="2"/>
      <c r="H37" s="6"/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1151.21</v>
      </c>
      <c r="U37" s="2"/>
      <c r="V37" s="7">
        <f t="shared" si="25"/>
        <v>1.9642453128620438E-2</v>
      </c>
      <c r="W37" s="2"/>
      <c r="X37" s="6">
        <f t="shared" si="26"/>
        <v>-1151.21</v>
      </c>
      <c r="Y37" s="2"/>
      <c r="Z37" s="7">
        <f t="shared" si="27"/>
        <v>-1</v>
      </c>
    </row>
    <row r="38" spans="1:26" s="26" customFormat="1" outlineLevel="1" collapsed="1" x14ac:dyDescent="0.25">
      <c r="A38" s="27"/>
      <c r="B38" s="13" t="str">
        <f>CONCATENATE("     ","Supplies                                          ")</f>
        <v xml:space="preserve">     Supplies                                          </v>
      </c>
      <c r="C38" s="13"/>
      <c r="D38" s="1">
        <f>SUM(OSRRefD22_4x_0)</f>
        <v>0</v>
      </c>
      <c r="E38" s="1"/>
      <c r="F38" s="5">
        <f t="shared" si="20"/>
        <v>0</v>
      </c>
      <c r="G38" s="1"/>
      <c r="H38" s="1">
        <f>SUM(OSRRefH22_4x_0)</f>
        <v>0</v>
      </c>
      <c r="I38" s="1"/>
      <c r="J38" s="5">
        <f t="shared" si="21"/>
        <v>0</v>
      </c>
      <c r="K38" s="1"/>
      <c r="L38" s="1">
        <f t="shared" si="22"/>
        <v>0</v>
      </c>
      <c r="M38" s="1"/>
      <c r="N38" s="5">
        <f t="shared" si="23"/>
        <v>0</v>
      </c>
      <c r="O38" s="13"/>
      <c r="P38" s="1">
        <f>SUM(OSRRefP22_4x_0)</f>
        <v>0</v>
      </c>
      <c r="Q38" s="1"/>
      <c r="R38" s="5">
        <f t="shared" si="24"/>
        <v>0</v>
      </c>
      <c r="S38" s="1"/>
      <c r="T38" s="1">
        <f>SUM(OSRRefT22_4x_0)</f>
        <v>579.98</v>
      </c>
      <c r="U38" s="1"/>
      <c r="V38" s="5">
        <f t="shared" si="25"/>
        <v>9.8958747453004071E-3</v>
      </c>
      <c r="W38" s="1"/>
      <c r="X38" s="1">
        <f t="shared" si="26"/>
        <v>-579.98</v>
      </c>
      <c r="Y38" s="1"/>
      <c r="Z38" s="5">
        <f t="shared" si="27"/>
        <v>-1</v>
      </c>
    </row>
    <row r="39" spans="1:26" s="24" customFormat="1" hidden="1" outlineLevel="2" x14ac:dyDescent="0.25">
      <c r="A39" s="25"/>
      <c r="B39" s="11" t="str">
        <f>CONCATENATE("          ", "6241", " - ", "OFFICE EXPENSE")</f>
        <v xml:space="preserve">          6241 - OFFICE EXPENSE</v>
      </c>
      <c r="C39" s="11"/>
      <c r="D39" s="6"/>
      <c r="E39" s="2"/>
      <c r="F39" s="7">
        <f t="shared" si="20"/>
        <v>0</v>
      </c>
      <c r="G39" s="2"/>
      <c r="H39" s="6"/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579.98</v>
      </c>
      <c r="U39" s="2"/>
      <c r="V39" s="7">
        <f t="shared" si="25"/>
        <v>9.8958747453004071E-3</v>
      </c>
      <c r="W39" s="2"/>
      <c r="X39" s="6">
        <f t="shared" si="26"/>
        <v>-579.98</v>
      </c>
      <c r="Y39" s="2"/>
      <c r="Z39" s="7">
        <f t="shared" si="27"/>
        <v>-1</v>
      </c>
    </row>
    <row r="40" spans="1:26" s="53" customFormat="1" x14ac:dyDescent="0.25">
      <c r="A40" s="37"/>
      <c r="B40" s="37"/>
      <c r="C40" s="37"/>
      <c r="D40" s="1"/>
      <c r="E40" s="1"/>
      <c r="F40" s="5"/>
      <c r="G40" s="1"/>
      <c r="H40" s="1"/>
      <c r="I40" s="1"/>
      <c r="J40" s="5"/>
      <c r="K40" s="1"/>
      <c r="L40" s="1"/>
      <c r="M40" s="1"/>
      <c r="N40" s="5"/>
      <c r="O40" s="37"/>
      <c r="P40" s="1"/>
      <c r="Q40" s="1"/>
      <c r="R40" s="5"/>
      <c r="S40" s="1"/>
      <c r="T40" s="1"/>
      <c r="U40" s="1"/>
      <c r="V40" s="5"/>
      <c r="W40" s="1"/>
      <c r="X40" s="1"/>
      <c r="Y40" s="1"/>
      <c r="Z40" s="5"/>
    </row>
    <row r="41" spans="1:26" s="23" customFormat="1" x14ac:dyDescent="0.25">
      <c r="A41" s="10"/>
      <c r="B41" s="29" t="s">
        <v>0</v>
      </c>
      <c r="C41" s="10"/>
      <c r="D41" s="4">
        <f>SUM(0)</f>
        <v>0</v>
      </c>
      <c r="E41" s="4"/>
      <c r="F41" s="12">
        <f>IF(D$12=0,0,D41/D$12)</f>
        <v>0</v>
      </c>
      <c r="G41" s="4"/>
      <c r="H41" s="4">
        <f>SUM(0)</f>
        <v>0</v>
      </c>
      <c r="I41" s="4"/>
      <c r="J41" s="12">
        <f>IF(H$12=0,0,H41/H$12)</f>
        <v>0</v>
      </c>
      <c r="K41" s="4"/>
      <c r="L41" s="4">
        <f>+D41-H41</f>
        <v>0</v>
      </c>
      <c r="M41" s="4"/>
      <c r="N41" s="12">
        <f>IF(H41=0,0,L41/H41)</f>
        <v>0</v>
      </c>
      <c r="O41" s="10"/>
      <c r="P41" s="4">
        <f>SUM(0)</f>
        <v>0</v>
      </c>
      <c r="Q41" s="4"/>
      <c r="R41" s="12">
        <f>IF(P$12=0,0,P41/P$12)</f>
        <v>0</v>
      </c>
      <c r="S41" s="4"/>
      <c r="T41" s="4">
        <f>SUM(0)</f>
        <v>0</v>
      </c>
      <c r="U41" s="4"/>
      <c r="V41" s="12">
        <f>IF(T$12=0,0,T41/T$12)</f>
        <v>0</v>
      </c>
      <c r="W41" s="4"/>
      <c r="X41" s="4">
        <f>+P41-T41</f>
        <v>0</v>
      </c>
      <c r="Y41" s="4"/>
      <c r="Z41" s="12">
        <f>IF(T41=0,0,X41/T41)</f>
        <v>0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10"/>
      <c r="B43" s="28" t="s">
        <v>3</v>
      </c>
      <c r="C43" s="28"/>
      <c r="D43" s="20">
        <f>+D18-D20+D41</f>
        <v>55486.01</v>
      </c>
      <c r="E43" s="14"/>
      <c r="F43" s="22">
        <f>IF(D$12=0,0,D43/D$12)</f>
        <v>0.99985836273447859</v>
      </c>
      <c r="G43" s="14"/>
      <c r="H43" s="20">
        <f>+H18-H20+H41</f>
        <v>17871.559999999994</v>
      </c>
      <c r="I43" s="14"/>
      <c r="J43" s="22">
        <f>IF(H$12=0,0,H43/H$12)</f>
        <v>0.36819895759550592</v>
      </c>
      <c r="K43" s="15"/>
      <c r="L43" s="20">
        <f>+D43-H43</f>
        <v>37614.450000000012</v>
      </c>
      <c r="M43" s="15"/>
      <c r="N43" s="22">
        <f>IF(H43=0,0,L43/H43)</f>
        <v>2.1047099413817274</v>
      </c>
      <c r="O43" s="29"/>
      <c r="P43" s="20">
        <f>+P18-P20+P41</f>
        <v>85717.3</v>
      </c>
      <c r="Q43" s="14"/>
      <c r="R43" s="22">
        <f>IF(P$12=0,0,P43/P$12)</f>
        <v>0.99990831163219762</v>
      </c>
      <c r="S43" s="14"/>
      <c r="T43" s="20">
        <f>+T18-T20+T41</f>
        <v>-21660.680000000008</v>
      </c>
      <c r="U43" s="14"/>
      <c r="V43" s="22">
        <f>IF(T$12=0,0,T43/T$12)</f>
        <v>-0.36958408251669661</v>
      </c>
      <c r="W43" s="15"/>
      <c r="X43" s="20">
        <f>+P43-T43</f>
        <v>107377.98000000001</v>
      </c>
      <c r="Y43" s="15"/>
      <c r="Z43" s="22">
        <f>IF(T43=0,0,X43/T43)</f>
        <v>-4.9572765028614052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51"/>
      <c r="B45" s="10" t="s">
        <v>13</v>
      </c>
      <c r="C45" s="10"/>
      <c r="D45" s="4">
        <v>7072.98</v>
      </c>
      <c r="E45" s="4"/>
      <c r="F45" s="12">
        <f>IF(D$12=0,0,D45/D$12)</f>
        <v>0.12745515856075634</v>
      </c>
      <c r="G45" s="4"/>
      <c r="H45" s="4">
        <v>5192.5</v>
      </c>
      <c r="I45" s="4"/>
      <c r="J45" s="12">
        <f>IF(H$12=0,0,H45/H$12)</f>
        <v>0.10697852270952647</v>
      </c>
      <c r="K45" s="4"/>
      <c r="L45" s="4">
        <f>+D45-H45</f>
        <v>1880.4799999999996</v>
      </c>
      <c r="M45" s="4"/>
      <c r="N45" s="12">
        <f>IF(H45=0,0,L45/H45)</f>
        <v>0.36215310544053914</v>
      </c>
      <c r="O45" s="10"/>
      <c r="P45" s="4">
        <v>13621.73</v>
      </c>
      <c r="Q45" s="4"/>
      <c r="R45" s="12">
        <f>IF(P$12=0,0,P45/P$12)</f>
        <v>0.15890002421692767</v>
      </c>
      <c r="S45" s="4"/>
      <c r="T45" s="4">
        <v>6206.22</v>
      </c>
      <c r="U45" s="4"/>
      <c r="V45" s="12">
        <f>IF(T$12=0,0,T45/T$12)</f>
        <v>0.10589326487426859</v>
      </c>
      <c r="W45" s="4"/>
      <c r="X45" s="4">
        <f>+P45-T45</f>
        <v>7415.5099999999993</v>
      </c>
      <c r="Y45" s="4"/>
      <c r="Z45" s="12">
        <f>IF(T45=0,0,X45/T45)</f>
        <v>1.1948512943466392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ht="15.75" thickBot="1" x14ac:dyDescent="0.3">
      <c r="A47" s="10"/>
      <c r="B47" s="28" t="s">
        <v>4</v>
      </c>
      <c r="C47" s="28"/>
      <c r="D47" s="31">
        <f>+D43-D45</f>
        <v>48413.03</v>
      </c>
      <c r="E47" s="14"/>
      <c r="F47" s="34">
        <f>IF(D$12=0,0,D47/D$12)</f>
        <v>0.87240320417372219</v>
      </c>
      <c r="G47" s="14"/>
      <c r="H47" s="31">
        <f>+H43-H45</f>
        <v>12679.059999999994</v>
      </c>
      <c r="I47" s="14"/>
      <c r="J47" s="34">
        <f>IF(H$12=0,0,H47/H$12)</f>
        <v>0.2612204348859794</v>
      </c>
      <c r="K47" s="15"/>
      <c r="L47" s="31">
        <f>D47-H47</f>
        <v>35733.97</v>
      </c>
      <c r="M47" s="15"/>
      <c r="N47" s="34">
        <f>IF(H47=0,0,L47/H47)</f>
        <v>2.8183453662968718</v>
      </c>
      <c r="O47" s="29"/>
      <c r="P47" s="31">
        <f>+P43-P45</f>
        <v>72095.570000000007</v>
      </c>
      <c r="Q47" s="14"/>
      <c r="R47" s="34">
        <f>IF(P$12=0,0,P47/P$12)</f>
        <v>0.84100828741527001</v>
      </c>
      <c r="S47" s="14"/>
      <c r="T47" s="31">
        <f>+T43-T45</f>
        <v>-27866.900000000009</v>
      </c>
      <c r="U47" s="14"/>
      <c r="V47" s="34">
        <f>IF(T$12=0,0,T47/T$12)</f>
        <v>-0.4754773473909652</v>
      </c>
      <c r="W47" s="15"/>
      <c r="X47" s="31">
        <f>P47-T47</f>
        <v>99962.470000000016</v>
      </c>
      <c r="Y47" s="15"/>
      <c r="Z47" s="34">
        <f>IF(T47=0,0,X47/T47)</f>
        <v>-3.5871399402158111</v>
      </c>
    </row>
    <row r="48" spans="1:26" ht="15.75" thickTop="1" x14ac:dyDescent="0.25">
      <c r="A48" s="9"/>
      <c r="B48" s="9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8" t="s">
        <v>5</v>
      </c>
      <c r="C50" s="28"/>
      <c r="D50" s="32">
        <f>SUM(D47:D49)</f>
        <v>48413.03</v>
      </c>
      <c r="E50" s="14"/>
      <c r="F50" s="30">
        <f>IF(D$12=0,0,D50/D$12)</f>
        <v>0.87240320417372219</v>
      </c>
      <c r="G50" s="14"/>
      <c r="H50" s="32">
        <f>SUM(H47:H49)</f>
        <v>12679.059999999994</v>
      </c>
      <c r="I50" s="14"/>
      <c r="J50" s="30">
        <f>IF(H$12=0,0,H50/H$12)</f>
        <v>0.2612204348859794</v>
      </c>
      <c r="K50" s="15"/>
      <c r="L50" s="32">
        <f>+D50-H50</f>
        <v>35733.97</v>
      </c>
      <c r="M50" s="15"/>
      <c r="N50" s="30">
        <f>IF(H50=0,0,L50/H50)</f>
        <v>2.8183453662968718</v>
      </c>
      <c r="O50" s="29"/>
      <c r="P50" s="32">
        <f>SUM(P47:P49)</f>
        <v>72095.570000000007</v>
      </c>
      <c r="Q50" s="14"/>
      <c r="R50" s="30">
        <f>IF(P$12=0,0,P50/P$12)</f>
        <v>0.84100828741527001</v>
      </c>
      <c r="S50" s="14"/>
      <c r="T50" s="32">
        <f>SUM(T47:T49)</f>
        <v>-27866.900000000009</v>
      </c>
      <c r="U50" s="14"/>
      <c r="V50" s="30">
        <f>IF(T$12=0,0,T50/T$12)</f>
        <v>-0.4754773473909652</v>
      </c>
      <c r="W50" s="15"/>
      <c r="X50" s="32">
        <f>+P50-T50</f>
        <v>99962.470000000016</v>
      </c>
      <c r="Y50" s="15"/>
      <c r="Z50" s="30">
        <f>IF(T50=0,0,X50/T50)</f>
        <v>-3.5871399402158111</v>
      </c>
    </row>
    <row r="51" spans="1:26" ht="15.75" thickTop="1" x14ac:dyDescent="0.25">
      <c r="A51" s="9"/>
      <c r="C51" s="9"/>
      <c r="D51" s="17"/>
      <c r="E51" s="17"/>
      <c r="G51" s="17"/>
      <c r="H51" s="17"/>
      <c r="I51" s="17"/>
      <c r="J51" s="43"/>
      <c r="K51" s="17"/>
      <c r="L51" s="17"/>
      <c r="M51" s="17"/>
      <c r="P51" s="17"/>
      <c r="Q51" s="17"/>
      <c r="R51" s="43"/>
      <c r="S51" s="17"/>
      <c r="T51" s="17"/>
      <c r="U51" s="17"/>
      <c r="V51" s="43"/>
      <c r="W51" s="17"/>
      <c r="X51" s="17"/>
    </row>
    <row r="52" spans="1:26" x14ac:dyDescent="0.25">
      <c r="A52" s="9"/>
      <c r="B52" s="54">
        <v>44174.686095173609</v>
      </c>
      <c r="D52" s="17"/>
      <c r="E52" s="17"/>
      <c r="G52" s="17"/>
      <c r="H52" s="17"/>
      <c r="I52" s="17"/>
      <c r="J52" s="43"/>
      <c r="K52" s="17"/>
      <c r="L52" s="17"/>
      <c r="M52" s="17"/>
      <c r="P52" s="17"/>
      <c r="Q52" s="17"/>
      <c r="R52" s="43"/>
      <c r="S52" s="17"/>
      <c r="T52" s="17"/>
      <c r="U52" s="17"/>
      <c r="V52" s="43"/>
      <c r="W52" s="17"/>
      <c r="X52" s="17"/>
    </row>
    <row r="53" spans="1:26" x14ac:dyDescent="0.25">
      <c r="A53" s="9"/>
      <c r="B53" s="56" t="s">
        <v>313</v>
      </c>
      <c r="D53" s="17"/>
      <c r="E53" s="17"/>
      <c r="G53" s="17"/>
      <c r="H53" s="17"/>
      <c r="I53" s="17"/>
      <c r="J53" s="43"/>
      <c r="K53" s="17"/>
      <c r="L53" s="17"/>
      <c r="M53" s="17"/>
      <c r="P53" s="17"/>
      <c r="Q53" s="17"/>
      <c r="R53" s="43"/>
      <c r="S53" s="17"/>
      <c r="T53" s="17"/>
      <c r="U53" s="17"/>
      <c r="V53" s="43"/>
      <c r="W53" s="17"/>
      <c r="X53" s="17"/>
    </row>
    <row r="54" spans="1:26" x14ac:dyDescent="0.25">
      <c r="A54" s="9"/>
      <c r="B54" s="61"/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25"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","423", " - ", "Contract Revenue")</f>
        <v>Department 423 - Contract Revenue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9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-805.48</v>
      </c>
      <c r="U14" s="4"/>
      <c r="V14" s="12">
        <f t="shared" ref="V14:V15" si="5">IF(T$12=0,0,T14/T$12)</f>
        <v>0</v>
      </c>
      <c r="W14" s="4"/>
      <c r="X14" s="4">
        <f t="shared" ref="X14:X15" si="6">+P14-T14</f>
        <v>805.48</v>
      </c>
      <c r="Y14" s="4"/>
      <c r="Z14" s="12">
        <f t="shared" ref="Z14:Z15" si="7">IF(T14=0,0,X14/T14)</f>
        <v>-1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/>
      <c r="Q15" s="2"/>
      <c r="R15" s="19">
        <f t="shared" si="4"/>
        <v>0</v>
      </c>
      <c r="S15" s="2"/>
      <c r="T15" s="2">
        <v>-805.48</v>
      </c>
      <c r="U15" s="2"/>
      <c r="V15" s="19">
        <f t="shared" si="5"/>
        <v>0</v>
      </c>
      <c r="W15" s="2"/>
      <c r="X15" s="2">
        <f t="shared" si="6"/>
        <v>805.48</v>
      </c>
      <c r="Y15" s="2"/>
      <c r="Z15" s="19">
        <f t="shared" si="7"/>
        <v>-1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0">
        <f>D12-D14</f>
        <v>0</v>
      </c>
      <c r="E17" s="14"/>
      <c r="F17" s="22">
        <f>IF(D$12=0,0,D17/D$12)</f>
        <v>0</v>
      </c>
      <c r="G17" s="14"/>
      <c r="H17" s="20">
        <f>H12-H14</f>
        <v>0</v>
      </c>
      <c r="I17" s="14"/>
      <c r="J17" s="22">
        <f>IF(H$12=0,0,H17/H$12)</f>
        <v>0</v>
      </c>
      <c r="K17" s="15"/>
      <c r="L17" s="20">
        <f>+D17-H17</f>
        <v>0</v>
      </c>
      <c r="M17" s="15"/>
      <c r="N17" s="22">
        <f>IF(H17=0,0,L17/H17)</f>
        <v>0</v>
      </c>
      <c r="O17" s="29"/>
      <c r="P17" s="20">
        <f>P12-P14</f>
        <v>0</v>
      </c>
      <c r="Q17" s="14"/>
      <c r="R17" s="22">
        <f>IF(P$12=0,0,P17/P$12)</f>
        <v>0</v>
      </c>
      <c r="S17" s="14"/>
      <c r="T17" s="20">
        <f>T12-T14</f>
        <v>805.48</v>
      </c>
      <c r="U17" s="14"/>
      <c r="V17" s="22">
        <f>IF(T$12=0,0,T17/T$12)</f>
        <v>0</v>
      </c>
      <c r="W17" s="15"/>
      <c r="X17" s="20">
        <f>+P17-T17</f>
        <v>-805.48</v>
      </c>
      <c r="Y17" s="15"/>
      <c r="Z17" s="22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1">
        <f>SUM(OSRRefD22x_0)</f>
        <v>361</v>
      </c>
      <c r="E19" s="21"/>
      <c r="F19" s="35">
        <f t="shared" ref="F19:F28" si="8">IF(D$12=0,0,D19/D$12)</f>
        <v>0</v>
      </c>
      <c r="G19" s="21"/>
      <c r="H19" s="21">
        <f>SUM(OSRRefH22x_0)</f>
        <v>6983.75</v>
      </c>
      <c r="I19" s="21"/>
      <c r="J19" s="35">
        <f t="shared" ref="J19:J28" si="9">IF(H$12=0,0,H19/H$12)</f>
        <v>0</v>
      </c>
      <c r="K19" s="4"/>
      <c r="L19" s="21">
        <f t="shared" ref="L19:L28" si="10">+D19-H19</f>
        <v>-6622.75</v>
      </c>
      <c r="M19" s="4"/>
      <c r="N19" s="35">
        <f t="shared" ref="N19:N28" si="11">IF(H19=0,0,L19/H19)</f>
        <v>-0.94830857347413644</v>
      </c>
      <c r="O19" s="10"/>
      <c r="P19" s="21">
        <f>SUM(OSRRefP22x_0)</f>
        <v>2941.43</v>
      </c>
      <c r="Q19" s="21"/>
      <c r="R19" s="35">
        <f t="shared" ref="R19:R28" si="12">IF(P$12=0,0,P19/P$12)</f>
        <v>0</v>
      </c>
      <c r="S19" s="21"/>
      <c r="T19" s="21">
        <f>SUM(OSRRefT22x_0)</f>
        <v>61431.380000000005</v>
      </c>
      <c r="U19" s="21"/>
      <c r="V19" s="35">
        <f t="shared" ref="V19:V28" si="13">IF(T$12=0,0,T19/T$12)</f>
        <v>0</v>
      </c>
      <c r="W19" s="4"/>
      <c r="X19" s="21">
        <f t="shared" ref="X19:X28" si="14">+P19-T19</f>
        <v>-58489.950000000004</v>
      </c>
      <c r="Y19" s="4"/>
      <c r="Z19" s="35">
        <f t="shared" ref="Z19:Z28" si="15">IF(T19=0,0,X19/T19)</f>
        <v>-0.95211844500318887</v>
      </c>
    </row>
    <row r="20" spans="1:26" s="26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2763.7400000000002</v>
      </c>
      <c r="I20" s="1"/>
      <c r="J20" s="5">
        <f t="shared" si="9"/>
        <v>0</v>
      </c>
      <c r="K20" s="1"/>
      <c r="L20" s="1">
        <f t="shared" si="10"/>
        <v>-2763.7400000000002</v>
      </c>
      <c r="M20" s="1"/>
      <c r="N20" s="5">
        <f t="shared" si="11"/>
        <v>-1</v>
      </c>
      <c r="O20" s="13"/>
      <c r="P20" s="1">
        <f>SUM(OSRRefP22_0x_0)</f>
        <v>2478.73</v>
      </c>
      <c r="Q20" s="1"/>
      <c r="R20" s="5">
        <f t="shared" si="12"/>
        <v>0</v>
      </c>
      <c r="S20" s="1"/>
      <c r="T20" s="1">
        <f>SUM(OSRRefT22_0x_0)</f>
        <v>24810.31</v>
      </c>
      <c r="U20" s="1"/>
      <c r="V20" s="5">
        <f t="shared" si="13"/>
        <v>0</v>
      </c>
      <c r="W20" s="1"/>
      <c r="X20" s="1">
        <f t="shared" si="14"/>
        <v>-22331.58</v>
      </c>
      <c r="Y20" s="1"/>
      <c r="Z20" s="5">
        <f t="shared" si="15"/>
        <v>-0.90009274370211423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6"/>
      <c r="E21" s="2"/>
      <c r="F21" s="7">
        <f t="shared" si="8"/>
        <v>0</v>
      </c>
      <c r="G21" s="2"/>
      <c r="H21" s="6">
        <v>384.92</v>
      </c>
      <c r="I21" s="2"/>
      <c r="J21" s="7">
        <f t="shared" si="9"/>
        <v>0</v>
      </c>
      <c r="K21" s="2"/>
      <c r="L21" s="6">
        <f t="shared" si="10"/>
        <v>-384.92</v>
      </c>
      <c r="M21" s="2"/>
      <c r="N21" s="7">
        <f t="shared" si="11"/>
        <v>-1</v>
      </c>
      <c r="O21" s="11"/>
      <c r="P21" s="6"/>
      <c r="Q21" s="2"/>
      <c r="R21" s="7">
        <f t="shared" si="12"/>
        <v>0</v>
      </c>
      <c r="S21" s="2"/>
      <c r="T21" s="6">
        <v>3548.2</v>
      </c>
      <c r="U21" s="2"/>
      <c r="V21" s="7">
        <f t="shared" si="13"/>
        <v>0</v>
      </c>
      <c r="W21" s="2"/>
      <c r="X21" s="6">
        <f t="shared" si="14"/>
        <v>-3548.2</v>
      </c>
      <c r="Y21" s="2"/>
      <c r="Z21" s="7">
        <f t="shared" si="15"/>
        <v>-1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6"/>
      <c r="E22" s="2"/>
      <c r="F22" s="7">
        <f t="shared" si="8"/>
        <v>0</v>
      </c>
      <c r="G22" s="2"/>
      <c r="H22" s="6">
        <v>17.11</v>
      </c>
      <c r="I22" s="2"/>
      <c r="J22" s="7">
        <f t="shared" si="9"/>
        <v>0</v>
      </c>
      <c r="K22" s="2"/>
      <c r="L22" s="6">
        <f t="shared" si="10"/>
        <v>-17.11</v>
      </c>
      <c r="M22" s="2"/>
      <c r="N22" s="7">
        <f t="shared" si="11"/>
        <v>-1</v>
      </c>
      <c r="O22" s="11"/>
      <c r="P22" s="6"/>
      <c r="Q22" s="2"/>
      <c r="R22" s="7">
        <f t="shared" si="12"/>
        <v>0</v>
      </c>
      <c r="S22" s="2"/>
      <c r="T22" s="6">
        <v>99.44</v>
      </c>
      <c r="U22" s="2"/>
      <c r="V22" s="7">
        <f t="shared" si="13"/>
        <v>0</v>
      </c>
      <c r="W22" s="2"/>
      <c r="X22" s="6">
        <f t="shared" si="14"/>
        <v>-99.44</v>
      </c>
      <c r="Y22" s="2"/>
      <c r="Z22" s="7">
        <f t="shared" si="15"/>
        <v>-1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6"/>
      <c r="E23" s="2"/>
      <c r="F23" s="7">
        <f t="shared" si="8"/>
        <v>0</v>
      </c>
      <c r="G23" s="2"/>
      <c r="H23" s="6">
        <v>1011.43</v>
      </c>
      <c r="I23" s="2"/>
      <c r="J23" s="7">
        <f t="shared" si="9"/>
        <v>0</v>
      </c>
      <c r="K23" s="2"/>
      <c r="L23" s="6">
        <f t="shared" si="10"/>
        <v>-1011.43</v>
      </c>
      <c r="M23" s="2"/>
      <c r="N23" s="7">
        <f t="shared" si="11"/>
        <v>-1</v>
      </c>
      <c r="O23" s="11"/>
      <c r="P23" s="6">
        <v>1868.2</v>
      </c>
      <c r="Q23" s="2"/>
      <c r="R23" s="7">
        <f t="shared" si="12"/>
        <v>0</v>
      </c>
      <c r="S23" s="2"/>
      <c r="T23" s="6">
        <v>5057.1499999999996</v>
      </c>
      <c r="U23" s="2"/>
      <c r="V23" s="7">
        <f t="shared" si="13"/>
        <v>0</v>
      </c>
      <c r="W23" s="2"/>
      <c r="X23" s="6">
        <f t="shared" si="14"/>
        <v>-3188.95</v>
      </c>
      <c r="Y23" s="2"/>
      <c r="Z23" s="7">
        <f t="shared" si="15"/>
        <v>-0.63058244268016572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6"/>
      <c r="E24" s="2"/>
      <c r="F24" s="7">
        <f t="shared" si="8"/>
        <v>0</v>
      </c>
      <c r="G24" s="2"/>
      <c r="H24" s="6">
        <v>13.08</v>
      </c>
      <c r="I24" s="2"/>
      <c r="J24" s="7">
        <f t="shared" si="9"/>
        <v>0</v>
      </c>
      <c r="K24" s="2"/>
      <c r="L24" s="6">
        <f t="shared" si="10"/>
        <v>-13.08</v>
      </c>
      <c r="M24" s="2"/>
      <c r="N24" s="7">
        <f t="shared" si="11"/>
        <v>-1</v>
      </c>
      <c r="O24" s="11"/>
      <c r="P24" s="6"/>
      <c r="Q24" s="2"/>
      <c r="R24" s="7">
        <f t="shared" si="12"/>
        <v>0</v>
      </c>
      <c r="S24" s="2"/>
      <c r="T24" s="6">
        <v>88.53</v>
      </c>
      <c r="U24" s="2"/>
      <c r="V24" s="7">
        <f t="shared" si="13"/>
        <v>0</v>
      </c>
      <c r="W24" s="2"/>
      <c r="X24" s="6">
        <f t="shared" si="14"/>
        <v>-88.53</v>
      </c>
      <c r="Y24" s="2"/>
      <c r="Z24" s="7">
        <f t="shared" si="15"/>
        <v>-1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6"/>
      <c r="E25" s="2"/>
      <c r="F25" s="7">
        <f t="shared" si="8"/>
        <v>0</v>
      </c>
      <c r="G25" s="2"/>
      <c r="H25" s="6">
        <v>514.27</v>
      </c>
      <c r="I25" s="2"/>
      <c r="J25" s="7">
        <f t="shared" si="9"/>
        <v>0</v>
      </c>
      <c r="K25" s="2"/>
      <c r="L25" s="6">
        <f t="shared" si="10"/>
        <v>-514.27</v>
      </c>
      <c r="M25" s="2"/>
      <c r="N25" s="7">
        <f t="shared" si="11"/>
        <v>-1</v>
      </c>
      <c r="O25" s="11"/>
      <c r="P25" s="6">
        <v>610.53</v>
      </c>
      <c r="Q25" s="2"/>
      <c r="R25" s="7">
        <f t="shared" si="12"/>
        <v>0</v>
      </c>
      <c r="S25" s="2"/>
      <c r="T25" s="6">
        <v>3480.67</v>
      </c>
      <c r="U25" s="2"/>
      <c r="V25" s="7">
        <f t="shared" si="13"/>
        <v>0</v>
      </c>
      <c r="W25" s="2"/>
      <c r="X25" s="6">
        <f t="shared" si="14"/>
        <v>-2870.1400000000003</v>
      </c>
      <c r="Y25" s="2"/>
      <c r="Z25" s="7">
        <f t="shared" si="15"/>
        <v>-0.82459411550075135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/>
      <c r="E26" s="2"/>
      <c r="F26" s="7">
        <f t="shared" si="8"/>
        <v>0</v>
      </c>
      <c r="G26" s="2"/>
      <c r="H26" s="6">
        <v>464.78</v>
      </c>
      <c r="I26" s="2"/>
      <c r="J26" s="7">
        <f t="shared" si="9"/>
        <v>0</v>
      </c>
      <c r="K26" s="2"/>
      <c r="L26" s="6">
        <f t="shared" si="10"/>
        <v>-464.78</v>
      </c>
      <c r="M26" s="2"/>
      <c r="N26" s="7">
        <f t="shared" si="11"/>
        <v>-1</v>
      </c>
      <c r="O26" s="11"/>
      <c r="P26" s="6"/>
      <c r="Q26" s="2"/>
      <c r="R26" s="7">
        <f t="shared" si="12"/>
        <v>0</v>
      </c>
      <c r="S26" s="2"/>
      <c r="T26" s="6">
        <v>3919.03</v>
      </c>
      <c r="U26" s="2"/>
      <c r="V26" s="7">
        <f t="shared" si="13"/>
        <v>0</v>
      </c>
      <c r="W26" s="2"/>
      <c r="X26" s="6">
        <f t="shared" si="14"/>
        <v>-3919.03</v>
      </c>
      <c r="Y26" s="2"/>
      <c r="Z26" s="7">
        <f t="shared" si="15"/>
        <v>-1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/>
      <c r="E27" s="2"/>
      <c r="F27" s="7">
        <f t="shared" si="8"/>
        <v>0</v>
      </c>
      <c r="G27" s="2"/>
      <c r="H27" s="6">
        <v>232.08</v>
      </c>
      <c r="I27" s="2"/>
      <c r="J27" s="7">
        <f t="shared" si="9"/>
        <v>0</v>
      </c>
      <c r="K27" s="2"/>
      <c r="L27" s="6">
        <f t="shared" si="10"/>
        <v>-232.08</v>
      </c>
      <c r="M27" s="2"/>
      <c r="N27" s="7">
        <f t="shared" si="11"/>
        <v>-1</v>
      </c>
      <c r="O27" s="11"/>
      <c r="P27" s="6"/>
      <c r="Q27" s="2"/>
      <c r="R27" s="7">
        <f t="shared" si="12"/>
        <v>0</v>
      </c>
      <c r="S27" s="2"/>
      <c r="T27" s="6">
        <v>7887.88</v>
      </c>
      <c r="U27" s="2"/>
      <c r="V27" s="7">
        <f t="shared" si="13"/>
        <v>0</v>
      </c>
      <c r="W27" s="2"/>
      <c r="X27" s="6">
        <f t="shared" si="14"/>
        <v>-7887.88</v>
      </c>
      <c r="Y27" s="2"/>
      <c r="Z27" s="7">
        <f t="shared" si="15"/>
        <v>-1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8"/>
        <v>0</v>
      </c>
      <c r="G28" s="2"/>
      <c r="H28" s="6">
        <v>126.07</v>
      </c>
      <c r="I28" s="2"/>
      <c r="J28" s="7">
        <f t="shared" si="9"/>
        <v>0</v>
      </c>
      <c r="K28" s="2"/>
      <c r="L28" s="6">
        <f t="shared" si="10"/>
        <v>-126.07</v>
      </c>
      <c r="M28" s="2"/>
      <c r="N28" s="7">
        <f t="shared" si="11"/>
        <v>-1</v>
      </c>
      <c r="O28" s="11"/>
      <c r="P28" s="6"/>
      <c r="Q28" s="2"/>
      <c r="R28" s="7">
        <f t="shared" si="12"/>
        <v>0</v>
      </c>
      <c r="S28" s="2"/>
      <c r="T28" s="6">
        <v>729.41</v>
      </c>
      <c r="U28" s="2"/>
      <c r="V28" s="7">
        <f t="shared" si="13"/>
        <v>0</v>
      </c>
      <c r="W28" s="2"/>
      <c r="X28" s="6">
        <f t="shared" si="14"/>
        <v>-729.41</v>
      </c>
      <c r="Y28" s="2"/>
      <c r="Z28" s="7">
        <f t="shared" si="15"/>
        <v>-1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0</v>
      </c>
      <c r="E29" s="1"/>
      <c r="F29" s="5">
        <f t="shared" ref="F29:F38" si="16">IF(D$12=0,0,D29/D$12)</f>
        <v>0</v>
      </c>
      <c r="G29" s="1"/>
      <c r="H29" s="1">
        <f>SUM(OSRRefH22_1x_0)</f>
        <v>4276.78</v>
      </c>
      <c r="I29" s="1"/>
      <c r="J29" s="5">
        <f t="shared" ref="J29:J38" si="17">IF(H$12=0,0,H29/H$12)</f>
        <v>0</v>
      </c>
      <c r="K29" s="1"/>
      <c r="L29" s="1">
        <f t="shared" ref="L29:L38" si="18">+D29-H29</f>
        <v>-4276.78</v>
      </c>
      <c r="M29" s="1"/>
      <c r="N29" s="5">
        <f t="shared" ref="N29:N38" si="19">IF(H29=0,0,L29/H29)</f>
        <v>-1</v>
      </c>
      <c r="O29" s="13"/>
      <c r="P29" s="1">
        <f>SUM(OSRRefP22_1x_0)</f>
        <v>0</v>
      </c>
      <c r="Q29" s="1"/>
      <c r="R29" s="5">
        <f t="shared" ref="R29:R38" si="20">IF(P$12=0,0,P29/P$12)</f>
        <v>0</v>
      </c>
      <c r="S29" s="1"/>
      <c r="T29" s="1">
        <f>SUM(OSRRefT22_1x_0)</f>
        <v>23099.18</v>
      </c>
      <c r="U29" s="1"/>
      <c r="V29" s="5">
        <f t="shared" ref="V29:V38" si="21">IF(T$12=0,0,T29/T$12)</f>
        <v>0</v>
      </c>
      <c r="W29" s="1"/>
      <c r="X29" s="1">
        <f t="shared" ref="X29:X38" si="22">+P29-T29</f>
        <v>-23099.18</v>
      </c>
      <c r="Y29" s="1"/>
      <c r="Z29" s="5">
        <f t="shared" ref="Z29:Z38" si="23">IF(T29=0,0,X29/T29)</f>
        <v>-1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16"/>
        <v>0</v>
      </c>
      <c r="G30" s="2"/>
      <c r="H30" s="6">
        <v>4276.78</v>
      </c>
      <c r="I30" s="2"/>
      <c r="J30" s="7">
        <f t="shared" si="17"/>
        <v>0</v>
      </c>
      <c r="K30" s="2"/>
      <c r="L30" s="6">
        <f t="shared" si="18"/>
        <v>-4276.78</v>
      </c>
      <c r="M30" s="2"/>
      <c r="N30" s="7">
        <f t="shared" si="19"/>
        <v>-1</v>
      </c>
      <c r="O30" s="11"/>
      <c r="P30" s="6"/>
      <c r="Q30" s="2"/>
      <c r="R30" s="7">
        <f t="shared" si="20"/>
        <v>0</v>
      </c>
      <c r="S30" s="2"/>
      <c r="T30" s="6">
        <v>23099.18</v>
      </c>
      <c r="U30" s="2"/>
      <c r="V30" s="7">
        <f t="shared" si="21"/>
        <v>0</v>
      </c>
      <c r="W30" s="2"/>
      <c r="X30" s="6">
        <f t="shared" si="22"/>
        <v>-23099.18</v>
      </c>
      <c r="Y30" s="2"/>
      <c r="Z30" s="7">
        <f t="shared" si="23"/>
        <v>-1</v>
      </c>
    </row>
    <row r="31" spans="1:26" s="26" customFormat="1" outlineLevel="1" collapsed="1" x14ac:dyDescent="0.25">
      <c r="A31" s="27"/>
      <c r="B31" s="13" t="str">
        <f>CONCATENATE("     ","General                                           ")</f>
        <v xml:space="preserve">     General                                           </v>
      </c>
      <c r="C31" s="13"/>
      <c r="D31" s="1">
        <f>SUM(OSRRefD22_2x_0)</f>
        <v>0</v>
      </c>
      <c r="E31" s="1"/>
      <c r="F31" s="5">
        <f t="shared" si="16"/>
        <v>0</v>
      </c>
      <c r="G31" s="1"/>
      <c r="H31" s="1">
        <f>SUM(OSRRefH22_2x_0)</f>
        <v>0</v>
      </c>
      <c r="I31" s="1"/>
      <c r="J31" s="5">
        <f t="shared" si="17"/>
        <v>0</v>
      </c>
      <c r="K31" s="1"/>
      <c r="L31" s="1">
        <f t="shared" si="18"/>
        <v>0</v>
      </c>
      <c r="M31" s="1"/>
      <c r="N31" s="5">
        <f t="shared" si="19"/>
        <v>0</v>
      </c>
      <c r="O31" s="13"/>
      <c r="P31" s="1">
        <f>SUM(OSRRefP22_2x_0)</f>
        <v>0</v>
      </c>
      <c r="Q31" s="1"/>
      <c r="R31" s="5">
        <f t="shared" si="20"/>
        <v>0</v>
      </c>
      <c r="S31" s="1"/>
      <c r="T31" s="1">
        <f>SUM(OSRRefT22_2x_0)</f>
        <v>2443.65</v>
      </c>
      <c r="U31" s="1"/>
      <c r="V31" s="5">
        <f t="shared" si="21"/>
        <v>0</v>
      </c>
      <c r="W31" s="1"/>
      <c r="X31" s="1">
        <f t="shared" si="22"/>
        <v>-2443.65</v>
      </c>
      <c r="Y31" s="1"/>
      <c r="Z31" s="5">
        <f t="shared" si="23"/>
        <v>-1</v>
      </c>
    </row>
    <row r="32" spans="1:26" s="24" customFormat="1" hidden="1" outlineLevel="2" x14ac:dyDescent="0.25">
      <c r="A32" s="25"/>
      <c r="B32" s="11" t="str">
        <f>CONCATENATE("          ", "6279", " - ", "GENERAL EXPENSE")</f>
        <v xml:space="preserve">          6279 - GENERAL EXPENSE</v>
      </c>
      <c r="C32" s="11"/>
      <c r="D32" s="6"/>
      <c r="E32" s="2"/>
      <c r="F32" s="7">
        <f t="shared" si="16"/>
        <v>0</v>
      </c>
      <c r="G32" s="2"/>
      <c r="H32" s="6"/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/>
      <c r="Q32" s="2"/>
      <c r="R32" s="7">
        <f t="shared" si="20"/>
        <v>0</v>
      </c>
      <c r="S32" s="2"/>
      <c r="T32" s="6">
        <v>2443.65</v>
      </c>
      <c r="U32" s="2"/>
      <c r="V32" s="7">
        <f t="shared" si="21"/>
        <v>0</v>
      </c>
      <c r="W32" s="2"/>
      <c r="X32" s="6">
        <f t="shared" si="22"/>
        <v>-2443.65</v>
      </c>
      <c r="Y32" s="2"/>
      <c r="Z32" s="7">
        <f t="shared" si="23"/>
        <v>-1</v>
      </c>
    </row>
    <row r="33" spans="1:26" s="26" customFormat="1" outlineLevel="1" collapsed="1" x14ac:dyDescent="0.25">
      <c r="A33" s="27"/>
      <c r="B33" s="13" t="str">
        <f>CONCATENATE("     ","Royalty &amp; Commissions                             ")</f>
        <v xml:space="preserve">     Royalty &amp; Commissions                             </v>
      </c>
      <c r="C33" s="13"/>
      <c r="D33" s="1">
        <f>SUM(OSRRefD22_3x_0)</f>
        <v>0</v>
      </c>
      <c r="E33" s="1"/>
      <c r="F33" s="5">
        <f t="shared" si="16"/>
        <v>0</v>
      </c>
      <c r="G33" s="1"/>
      <c r="H33" s="1">
        <f>SUM(OSRRefH22_3x_0)</f>
        <v>0</v>
      </c>
      <c r="I33" s="1"/>
      <c r="J33" s="5">
        <f t="shared" si="17"/>
        <v>0</v>
      </c>
      <c r="K33" s="1"/>
      <c r="L33" s="1">
        <f t="shared" si="18"/>
        <v>0</v>
      </c>
      <c r="M33" s="1"/>
      <c r="N33" s="5">
        <f t="shared" si="19"/>
        <v>0</v>
      </c>
      <c r="O33" s="13"/>
      <c r="P33" s="1">
        <f>SUM(OSRRefP22_3x_0)</f>
        <v>0</v>
      </c>
      <c r="Q33" s="1"/>
      <c r="R33" s="5">
        <f t="shared" si="20"/>
        <v>0</v>
      </c>
      <c r="S33" s="1"/>
      <c r="T33" s="1">
        <f>SUM(OSRRefT22_3x_0)</f>
        <v>10393.31</v>
      </c>
      <c r="U33" s="1"/>
      <c r="V33" s="5">
        <f t="shared" si="21"/>
        <v>0</v>
      </c>
      <c r="W33" s="1"/>
      <c r="X33" s="1">
        <f t="shared" si="22"/>
        <v>-10393.31</v>
      </c>
      <c r="Y33" s="1"/>
      <c r="Z33" s="5">
        <f t="shared" si="23"/>
        <v>-1</v>
      </c>
    </row>
    <row r="34" spans="1:26" s="24" customFormat="1" hidden="1" outlineLevel="2" x14ac:dyDescent="0.25">
      <c r="A34" s="25"/>
      <c r="B34" s="11" t="str">
        <f>CONCATENATE("          ", "6254", " - ", "ROYALTY &amp; COMMISSIONS")</f>
        <v xml:space="preserve">          6254 - ROYALTY &amp; COMMISSIONS</v>
      </c>
      <c r="C34" s="11"/>
      <c r="D34" s="6"/>
      <c r="E34" s="2"/>
      <c r="F34" s="7">
        <f t="shared" si="16"/>
        <v>0</v>
      </c>
      <c r="G34" s="2"/>
      <c r="H34" s="6"/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10393.31</v>
      </c>
      <c r="U34" s="2"/>
      <c r="V34" s="7">
        <f t="shared" si="21"/>
        <v>0</v>
      </c>
      <c r="W34" s="2"/>
      <c r="X34" s="6">
        <f t="shared" si="22"/>
        <v>-10393.31</v>
      </c>
      <c r="Y34" s="2"/>
      <c r="Z34" s="7">
        <f t="shared" si="23"/>
        <v>-1</v>
      </c>
    </row>
    <row r="35" spans="1:26" s="26" customFormat="1" outlineLevel="1" collapsed="1" x14ac:dyDescent="0.25">
      <c r="A35" s="27"/>
      <c r="B35" s="13" t="str">
        <f>CONCATENATE("     ","Supplies                                          ")</f>
        <v xml:space="preserve">     Supplies                                          </v>
      </c>
      <c r="C35" s="13"/>
      <c r="D35" s="1">
        <f>SUM(OSRRefD22_4x_0)</f>
        <v>0</v>
      </c>
      <c r="E35" s="1"/>
      <c r="F35" s="5">
        <f t="shared" si="16"/>
        <v>0</v>
      </c>
      <c r="G35" s="1"/>
      <c r="H35" s="1">
        <f>SUM(OSRRefH22_4x_0)</f>
        <v>5.78</v>
      </c>
      <c r="I35" s="1"/>
      <c r="J35" s="5">
        <f t="shared" si="17"/>
        <v>0</v>
      </c>
      <c r="K35" s="1"/>
      <c r="L35" s="1">
        <f t="shared" si="18"/>
        <v>-5.78</v>
      </c>
      <c r="M35" s="1"/>
      <c r="N35" s="5">
        <f t="shared" si="19"/>
        <v>-1</v>
      </c>
      <c r="O35" s="13"/>
      <c r="P35" s="1">
        <f>SUM(OSRRefP22_4x_0)</f>
        <v>-56.3</v>
      </c>
      <c r="Q35" s="1"/>
      <c r="R35" s="5">
        <f t="shared" si="20"/>
        <v>0</v>
      </c>
      <c r="S35" s="1"/>
      <c r="T35" s="1">
        <f>SUM(OSRRefT22_4x_0)</f>
        <v>37.53</v>
      </c>
      <c r="U35" s="1"/>
      <c r="V35" s="5">
        <f t="shared" si="21"/>
        <v>0</v>
      </c>
      <c r="W35" s="1"/>
      <c r="X35" s="1">
        <f t="shared" si="22"/>
        <v>-93.83</v>
      </c>
      <c r="Y35" s="1"/>
      <c r="Z35" s="5">
        <f t="shared" si="23"/>
        <v>-2.5001332267519318</v>
      </c>
    </row>
    <row r="36" spans="1:26" s="24" customFormat="1" hidden="1" outlineLevel="2" x14ac:dyDescent="0.25">
      <c r="A36" s="25"/>
      <c r="B36" s="11" t="str">
        <f>CONCATENATE("          ", "6241", " - ", "OFFICE EXPENSE")</f>
        <v xml:space="preserve">          6241 - OFFICE EXPENSE</v>
      </c>
      <c r="C36" s="11"/>
      <c r="D36" s="6"/>
      <c r="E36" s="2"/>
      <c r="F36" s="7">
        <f t="shared" si="16"/>
        <v>0</v>
      </c>
      <c r="G36" s="2"/>
      <c r="H36" s="6">
        <v>5.78</v>
      </c>
      <c r="I36" s="2"/>
      <c r="J36" s="7">
        <f t="shared" si="17"/>
        <v>0</v>
      </c>
      <c r="K36" s="2"/>
      <c r="L36" s="6">
        <f t="shared" si="18"/>
        <v>-5.78</v>
      </c>
      <c r="M36" s="2"/>
      <c r="N36" s="7">
        <f t="shared" si="19"/>
        <v>-1</v>
      </c>
      <c r="O36" s="11"/>
      <c r="P36" s="6">
        <v>-56.3</v>
      </c>
      <c r="Q36" s="2"/>
      <c r="R36" s="7">
        <f t="shared" si="20"/>
        <v>0</v>
      </c>
      <c r="S36" s="2"/>
      <c r="T36" s="6">
        <v>37.53</v>
      </c>
      <c r="U36" s="2"/>
      <c r="V36" s="7">
        <f t="shared" si="21"/>
        <v>0</v>
      </c>
      <c r="W36" s="2"/>
      <c r="X36" s="6">
        <f t="shared" si="22"/>
        <v>-93.83</v>
      </c>
      <c r="Y36" s="2"/>
      <c r="Z36" s="7">
        <f t="shared" si="23"/>
        <v>-2.5001332267519318</v>
      </c>
    </row>
    <row r="37" spans="1:26" s="26" customFormat="1" outlineLevel="1" collapsed="1" x14ac:dyDescent="0.25">
      <c r="A37" s="27"/>
      <c r="B37" s="13" t="str">
        <f>CONCATENATE("     ","Telephone/Data Lines                              ")</f>
        <v xml:space="preserve">     Telephone/Data Lines                              </v>
      </c>
      <c r="C37" s="13"/>
      <c r="D37" s="1">
        <f>SUM(OSRRefD22_5x_0)</f>
        <v>361</v>
      </c>
      <c r="E37" s="1"/>
      <c r="F37" s="5">
        <f t="shared" si="16"/>
        <v>0</v>
      </c>
      <c r="G37" s="1"/>
      <c r="H37" s="1">
        <f>SUM(OSRRefH22_5x_0)</f>
        <v>-62.55</v>
      </c>
      <c r="I37" s="1"/>
      <c r="J37" s="5">
        <f t="shared" si="17"/>
        <v>0</v>
      </c>
      <c r="K37" s="1"/>
      <c r="L37" s="1">
        <f t="shared" si="18"/>
        <v>423.55</v>
      </c>
      <c r="M37" s="1"/>
      <c r="N37" s="5">
        <f t="shared" si="19"/>
        <v>-6.7713828936850522</v>
      </c>
      <c r="O37" s="13"/>
      <c r="P37" s="1">
        <f>SUM(OSRRefP22_5x_0)</f>
        <v>519</v>
      </c>
      <c r="Q37" s="1"/>
      <c r="R37" s="5">
        <f t="shared" si="20"/>
        <v>0</v>
      </c>
      <c r="S37" s="1"/>
      <c r="T37" s="1">
        <f>SUM(OSRRefT22_5x_0)</f>
        <v>647.4</v>
      </c>
      <c r="U37" s="1"/>
      <c r="V37" s="5">
        <f t="shared" si="21"/>
        <v>0</v>
      </c>
      <c r="W37" s="1"/>
      <c r="X37" s="1">
        <f t="shared" si="22"/>
        <v>-128.39999999999998</v>
      </c>
      <c r="Y37" s="1"/>
      <c r="Z37" s="5">
        <f t="shared" si="23"/>
        <v>-0.19833178869323445</v>
      </c>
    </row>
    <row r="38" spans="1:26" s="24" customFormat="1" hidden="1" outlineLevel="2" x14ac:dyDescent="0.25">
      <c r="A38" s="25"/>
      <c r="B38" s="11" t="str">
        <f>CONCATENATE("          ", "6309", " - ", "TELEPHONE")</f>
        <v xml:space="preserve">          6309 - TELEPHONE</v>
      </c>
      <c r="C38" s="11"/>
      <c r="D38" s="6">
        <v>361</v>
      </c>
      <c r="E38" s="2"/>
      <c r="F38" s="7">
        <f t="shared" si="16"/>
        <v>0</v>
      </c>
      <c r="G38" s="2"/>
      <c r="H38" s="6">
        <v>-62.55</v>
      </c>
      <c r="I38" s="2"/>
      <c r="J38" s="7">
        <f t="shared" si="17"/>
        <v>0</v>
      </c>
      <c r="K38" s="2"/>
      <c r="L38" s="6">
        <f t="shared" si="18"/>
        <v>423.55</v>
      </c>
      <c r="M38" s="2"/>
      <c r="N38" s="7">
        <f t="shared" si="19"/>
        <v>-6.7713828936850522</v>
      </c>
      <c r="O38" s="11"/>
      <c r="P38" s="6">
        <v>519</v>
      </c>
      <c r="Q38" s="2"/>
      <c r="R38" s="7">
        <f t="shared" si="20"/>
        <v>0</v>
      </c>
      <c r="S38" s="2"/>
      <c r="T38" s="6">
        <v>647.4</v>
      </c>
      <c r="U38" s="2"/>
      <c r="V38" s="7">
        <f t="shared" si="21"/>
        <v>0</v>
      </c>
      <c r="W38" s="2"/>
      <c r="X38" s="6">
        <f t="shared" si="22"/>
        <v>-128.39999999999998</v>
      </c>
      <c r="Y38" s="2"/>
      <c r="Z38" s="7">
        <f t="shared" si="23"/>
        <v>-0.19833178869323445</v>
      </c>
    </row>
    <row r="39" spans="1:26" s="53" customFormat="1" x14ac:dyDescent="0.25">
      <c r="A39" s="37"/>
      <c r="B39" s="37"/>
      <c r="C39" s="37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9" t="s">
        <v>0</v>
      </c>
      <c r="C40" s="10"/>
      <c r="D40" s="4">
        <f>SUM(OSRRefD25x_0)</f>
        <v>0</v>
      </c>
      <c r="E40" s="4"/>
      <c r="F40" s="12">
        <f t="shared" ref="F40:F41" si="24">IF(D$12=0,0,D40/D$12)</f>
        <v>0</v>
      </c>
      <c r="G40" s="4"/>
      <c r="H40" s="4">
        <f>SUM(OSRRefH25x_0)</f>
        <v>13054.32</v>
      </c>
      <c r="I40" s="4"/>
      <c r="J40" s="12">
        <f t="shared" ref="J40:J41" si="25">IF(H$12=0,0,H40/H$12)</f>
        <v>0</v>
      </c>
      <c r="K40" s="4"/>
      <c r="L40" s="4">
        <f t="shared" ref="L40:L41" si="26">+D40-H40</f>
        <v>-13054.32</v>
      </c>
      <c r="M40" s="4"/>
      <c r="N40" s="12">
        <f t="shared" ref="N40:N41" si="27">IF(H40=0,0,L40/H40)</f>
        <v>-1</v>
      </c>
      <c r="O40" s="10"/>
      <c r="P40" s="4">
        <f>SUM(OSRRefP25x_0)</f>
        <v>0</v>
      </c>
      <c r="Q40" s="4"/>
      <c r="R40" s="12">
        <f t="shared" ref="R40:R41" si="28">IF(P$12=0,0,P40/P$12)</f>
        <v>0</v>
      </c>
      <c r="S40" s="4"/>
      <c r="T40" s="4">
        <f>SUM(OSRRefT25x_0)</f>
        <v>71483.75</v>
      </c>
      <c r="U40" s="4"/>
      <c r="V40" s="12">
        <f t="shared" ref="V40:V41" si="29">IF(T$12=0,0,T40/T$12)</f>
        <v>0</v>
      </c>
      <c r="W40" s="4"/>
      <c r="X40" s="4">
        <f t="shared" ref="X40:X41" si="30">+P40-T40</f>
        <v>-71483.75</v>
      </c>
      <c r="Y40" s="4"/>
      <c r="Z40" s="12">
        <f t="shared" ref="Z40:Z41" si="31">IF(T40=0,0,X40/T40)</f>
        <v>-1</v>
      </c>
    </row>
    <row r="41" spans="1:26" s="24" customFormat="1" hidden="1" outlineLevel="1" x14ac:dyDescent="0.25">
      <c r="A41" s="44"/>
      <c r="B41" s="11" t="str">
        <f>CONCATENATE("          ", "9150", " - ", "MISC. INCOME")</f>
        <v xml:space="preserve">          9150 - MISC. INCOME</v>
      </c>
      <c r="C41" s="11"/>
      <c r="D41" s="2">
        <f>0</f>
        <v>0</v>
      </c>
      <c r="E41" s="2"/>
      <c r="F41" s="19">
        <f t="shared" si="24"/>
        <v>0</v>
      </c>
      <c r="G41" s="2"/>
      <c r="H41" s="2">
        <f>--13054.32</f>
        <v>13054.32</v>
      </c>
      <c r="I41" s="2"/>
      <c r="J41" s="19">
        <f t="shared" si="25"/>
        <v>0</v>
      </c>
      <c r="K41" s="2"/>
      <c r="L41" s="2">
        <f t="shared" si="26"/>
        <v>-13054.32</v>
      </c>
      <c r="M41" s="2"/>
      <c r="N41" s="19">
        <f t="shared" si="27"/>
        <v>-1</v>
      </c>
      <c r="O41" s="11"/>
      <c r="P41" s="2">
        <f>0</f>
        <v>0</v>
      </c>
      <c r="Q41" s="2"/>
      <c r="R41" s="19">
        <f t="shared" si="28"/>
        <v>0</v>
      </c>
      <c r="S41" s="2"/>
      <c r="T41" s="2">
        <f>--71483.75</f>
        <v>71483.75</v>
      </c>
      <c r="U41" s="2"/>
      <c r="V41" s="19">
        <f t="shared" si="29"/>
        <v>0</v>
      </c>
      <c r="W41" s="2"/>
      <c r="X41" s="2">
        <f t="shared" si="30"/>
        <v>-71483.75</v>
      </c>
      <c r="Y41" s="2"/>
      <c r="Z41" s="19">
        <f t="shared" si="31"/>
        <v>-1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10"/>
      <c r="B43" s="28" t="s">
        <v>3</v>
      </c>
      <c r="C43" s="28"/>
      <c r="D43" s="20">
        <f>+D17-D19+D40</f>
        <v>-361</v>
      </c>
      <c r="E43" s="14"/>
      <c r="F43" s="22">
        <f>IF(D$12=0,0,D43/D$12)</f>
        <v>0</v>
      </c>
      <c r="G43" s="14"/>
      <c r="H43" s="20">
        <f>+H17-H19+H40</f>
        <v>6070.57</v>
      </c>
      <c r="I43" s="14"/>
      <c r="J43" s="22">
        <f>IF(H$12=0,0,H43/H$12)</f>
        <v>0</v>
      </c>
      <c r="K43" s="15"/>
      <c r="L43" s="20">
        <f>+D43-H43</f>
        <v>-6431.57</v>
      </c>
      <c r="M43" s="15"/>
      <c r="N43" s="22">
        <f>IF(H43=0,0,L43/H43)</f>
        <v>-1.0594672328957577</v>
      </c>
      <c r="O43" s="29"/>
      <c r="P43" s="20">
        <f>+P17-P19+P40</f>
        <v>-2941.43</v>
      </c>
      <c r="Q43" s="14"/>
      <c r="R43" s="22">
        <f>IF(P$12=0,0,P43/P$12)</f>
        <v>0</v>
      </c>
      <c r="S43" s="14"/>
      <c r="T43" s="20">
        <f>+T17-T19+T40</f>
        <v>10857.849999999999</v>
      </c>
      <c r="U43" s="14"/>
      <c r="V43" s="22">
        <f>IF(T$12=0,0,T43/T$12)</f>
        <v>0</v>
      </c>
      <c r="W43" s="15"/>
      <c r="X43" s="20">
        <f>+P43-T43</f>
        <v>-13799.279999999999</v>
      </c>
      <c r="Y43" s="15"/>
      <c r="Z43" s="22">
        <f>IF(T43=0,0,X43/T43)</f>
        <v>-1.2709035398352344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51"/>
      <c r="B45" s="10" t="s">
        <v>13</v>
      </c>
      <c r="C45" s="10"/>
      <c r="D45" s="4"/>
      <c r="E45" s="4"/>
      <c r="F45" s="12">
        <f>IF(D$12=0,0,D45/D$12)</f>
        <v>0</v>
      </c>
      <c r="G45" s="4"/>
      <c r="H45" s="4"/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/>
      <c r="Q45" s="4"/>
      <c r="R45" s="12">
        <f>IF(P$12=0,0,P45/P$12)</f>
        <v>0</v>
      </c>
      <c r="S45" s="4"/>
      <c r="T45" s="4"/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ht="15.75" thickBot="1" x14ac:dyDescent="0.3">
      <c r="A47" s="10"/>
      <c r="B47" s="28" t="s">
        <v>4</v>
      </c>
      <c r="C47" s="28"/>
      <c r="D47" s="31">
        <f>+D43-D45</f>
        <v>-361</v>
      </c>
      <c r="E47" s="14"/>
      <c r="F47" s="34">
        <f>IF(D$12=0,0,D47/D$12)</f>
        <v>0</v>
      </c>
      <c r="G47" s="14"/>
      <c r="H47" s="31">
        <f>+H43-H45</f>
        <v>6070.57</v>
      </c>
      <c r="I47" s="14"/>
      <c r="J47" s="34">
        <f>IF(H$12=0,0,H47/H$12)</f>
        <v>0</v>
      </c>
      <c r="K47" s="15"/>
      <c r="L47" s="31">
        <f>D47-H47</f>
        <v>-6431.57</v>
      </c>
      <c r="M47" s="15"/>
      <c r="N47" s="34">
        <f>IF(H47=0,0,L47/H47)</f>
        <v>-1.0594672328957577</v>
      </c>
      <c r="O47" s="29"/>
      <c r="P47" s="31">
        <f>+P43-P45</f>
        <v>-2941.43</v>
      </c>
      <c r="Q47" s="14"/>
      <c r="R47" s="34">
        <f>IF(P$12=0,0,P47/P$12)</f>
        <v>0</v>
      </c>
      <c r="S47" s="14"/>
      <c r="T47" s="31">
        <f>+T43-T45</f>
        <v>10857.849999999999</v>
      </c>
      <c r="U47" s="14"/>
      <c r="V47" s="34">
        <f>IF(T$12=0,0,T47/T$12)</f>
        <v>0</v>
      </c>
      <c r="W47" s="15"/>
      <c r="X47" s="31">
        <f>P47-T47</f>
        <v>-13799.279999999999</v>
      </c>
      <c r="Y47" s="15"/>
      <c r="Z47" s="34">
        <f>IF(T47=0,0,X47/T47)</f>
        <v>-1.2709035398352344</v>
      </c>
    </row>
    <row r="48" spans="1:26" ht="15.75" thickTop="1" x14ac:dyDescent="0.25">
      <c r="A48" s="9"/>
      <c r="B48" s="9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8" t="s">
        <v>5</v>
      </c>
      <c r="C50" s="28"/>
      <c r="D50" s="32">
        <f>SUM(D47:D49)</f>
        <v>-361</v>
      </c>
      <c r="E50" s="14"/>
      <c r="F50" s="30">
        <f>IF(D$12=0,0,D50/D$12)</f>
        <v>0</v>
      </c>
      <c r="G50" s="14"/>
      <c r="H50" s="32">
        <f>SUM(H47:H49)</f>
        <v>6070.57</v>
      </c>
      <c r="I50" s="14"/>
      <c r="J50" s="30">
        <f>IF(H$12=0,0,H50/H$12)</f>
        <v>0</v>
      </c>
      <c r="K50" s="15"/>
      <c r="L50" s="32">
        <f>+D50-H50</f>
        <v>-6431.57</v>
      </c>
      <c r="M50" s="15"/>
      <c r="N50" s="30">
        <f>IF(H50=0,0,L50/H50)</f>
        <v>-1.0594672328957577</v>
      </c>
      <c r="O50" s="29"/>
      <c r="P50" s="32">
        <f>SUM(P47:P49)</f>
        <v>-2941.43</v>
      </c>
      <c r="Q50" s="14"/>
      <c r="R50" s="30">
        <f>IF(P$12=0,0,P50/P$12)</f>
        <v>0</v>
      </c>
      <c r="S50" s="14"/>
      <c r="T50" s="32">
        <f>SUM(T47:T49)</f>
        <v>10857.849999999999</v>
      </c>
      <c r="U50" s="14"/>
      <c r="V50" s="30">
        <f>IF(T$12=0,0,T50/T$12)</f>
        <v>0</v>
      </c>
      <c r="W50" s="15"/>
      <c r="X50" s="32">
        <f>+P50-T50</f>
        <v>-13799.279999999999</v>
      </c>
      <c r="Y50" s="15"/>
      <c r="Z50" s="30">
        <f>IF(T50=0,0,X50/T50)</f>
        <v>-1.2709035398352344</v>
      </c>
    </row>
    <row r="51" spans="1:26" ht="15.75" thickTop="1" x14ac:dyDescent="0.25">
      <c r="A51" s="9"/>
      <c r="C51" s="9"/>
      <c r="D51" s="17"/>
      <c r="E51" s="17"/>
      <c r="G51" s="17"/>
      <c r="H51" s="17"/>
      <c r="I51" s="17"/>
      <c r="J51" s="43"/>
      <c r="K51" s="17"/>
      <c r="L51" s="17"/>
      <c r="M51" s="17"/>
      <c r="P51" s="17"/>
      <c r="Q51" s="17"/>
      <c r="R51" s="43"/>
      <c r="S51" s="17"/>
      <c r="T51" s="17"/>
      <c r="U51" s="17"/>
      <c r="V51" s="43"/>
      <c r="W51" s="17"/>
      <c r="X51" s="17"/>
    </row>
    <row r="52" spans="1:26" x14ac:dyDescent="0.25">
      <c r="A52" s="9"/>
      <c r="B52" s="54">
        <v>44174.686118055557</v>
      </c>
      <c r="D52" s="17"/>
      <c r="E52" s="17"/>
      <c r="G52" s="17"/>
      <c r="H52" s="17"/>
      <c r="I52" s="17"/>
      <c r="J52" s="43"/>
      <c r="K52" s="17"/>
      <c r="L52" s="17"/>
      <c r="M52" s="17"/>
      <c r="P52" s="17"/>
      <c r="Q52" s="17"/>
      <c r="R52" s="43"/>
      <c r="S52" s="17"/>
      <c r="T52" s="17"/>
      <c r="U52" s="17"/>
      <c r="V52" s="43"/>
      <c r="W52" s="17"/>
      <c r="X52" s="17"/>
    </row>
    <row r="53" spans="1:26" x14ac:dyDescent="0.25">
      <c r="A53" s="9"/>
      <c r="B53" s="56" t="s">
        <v>313</v>
      </c>
      <c r="D53" s="17"/>
      <c r="E53" s="17"/>
      <c r="G53" s="17"/>
      <c r="H53" s="17"/>
      <c r="I53" s="17"/>
      <c r="J53" s="43"/>
      <c r="K53" s="17"/>
      <c r="L53" s="17"/>
      <c r="M53" s="17"/>
      <c r="P53" s="17"/>
      <c r="Q53" s="17"/>
      <c r="R53" s="43"/>
      <c r="S53" s="17"/>
      <c r="T53" s="17"/>
      <c r="U53" s="17"/>
      <c r="V53" s="43"/>
      <c r="W53" s="17"/>
      <c r="X53" s="17"/>
    </row>
    <row r="54" spans="1:26" x14ac:dyDescent="0.25">
      <c r="A54" s="9"/>
      <c r="B54" s="61"/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25"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","424", " - ", "Blair Field")</f>
        <v>Department 424 - Blair Field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19851.87</v>
      </c>
      <c r="U12" s="4"/>
      <c r="V12" s="12"/>
      <c r="W12" s="4"/>
      <c r="X12" s="4">
        <f t="shared" ref="X12:X13" si="2">+P12-T12</f>
        <v>-19851.87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--19851.87</f>
        <v>19851.87</v>
      </c>
      <c r="U13" s="2"/>
      <c r="V13" s="19"/>
      <c r="W13" s="2"/>
      <c r="X13" s="2">
        <f t="shared" si="2"/>
        <v>-19851.87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>
        <f>SUM(OSRRefD16x_0)</f>
        <v>0</v>
      </c>
      <c r="E15" s="4"/>
      <c r="F15" s="12">
        <f t="shared" ref="F15:F17" si="4">IF(D$12=0,0,D15/D$12)</f>
        <v>0</v>
      </c>
      <c r="G15" s="4"/>
      <c r="H15" s="4">
        <f>SUM(OSRRefH16x_0)</f>
        <v>0</v>
      </c>
      <c r="I15" s="4"/>
      <c r="J15" s="12">
        <f t="shared" ref="J15:J17" si="5">IF(H$12=0,0,H15/H$12)</f>
        <v>0</v>
      </c>
      <c r="K15" s="4"/>
      <c r="L15" s="4">
        <f t="shared" ref="L15:L17" si="6">+D15-H15</f>
        <v>0</v>
      </c>
      <c r="M15" s="4"/>
      <c r="N15" s="12">
        <f t="shared" ref="N15:N17" si="7">IF(H15=0,0,L15/H15)</f>
        <v>0</v>
      </c>
      <c r="O15" s="10"/>
      <c r="P15" s="4">
        <f>SUM(OSRRefP16x_0)</f>
        <v>0</v>
      </c>
      <c r="Q15" s="4"/>
      <c r="R15" s="12">
        <f t="shared" ref="R15:R17" si="8">IF(P$12=0,0,P15/P$12)</f>
        <v>0</v>
      </c>
      <c r="S15" s="4"/>
      <c r="T15" s="4">
        <f>SUM(OSRRefT16x_0)</f>
        <v>4810.79</v>
      </c>
      <c r="U15" s="4"/>
      <c r="V15" s="12">
        <f t="shared" ref="V15:V17" si="9">IF(T$12=0,0,T15/T$12)</f>
        <v>0.24233434935852391</v>
      </c>
      <c r="W15" s="4"/>
      <c r="X15" s="4">
        <f t="shared" ref="X15:X17" si="10">+P15-T15</f>
        <v>-4810.79</v>
      </c>
      <c r="Y15" s="4"/>
      <c r="Z15" s="12">
        <f t="shared" ref="Z15:Z17" si="11">IF(T15=0,0,X15/T15)</f>
        <v>-1</v>
      </c>
    </row>
    <row r="16" spans="1:26" s="24" customFormat="1" hidden="1" outlineLevel="1" x14ac:dyDescent="0.25">
      <c r="A16" s="44"/>
      <c r="B16" s="11" t="str">
        <f>CONCATENATE("          ", "5053", " - ", "PURCHASES @ COST-FOOD")</f>
        <v xml:space="preserve">          5053 - PURCHASES @ COST-FOOD</v>
      </c>
      <c r="C16" s="11"/>
      <c r="D16" s="2"/>
      <c r="E16" s="2"/>
      <c r="F16" s="19">
        <f t="shared" si="4"/>
        <v>0</v>
      </c>
      <c r="G16" s="2"/>
      <c r="H16" s="2"/>
      <c r="I16" s="2"/>
      <c r="J16" s="19">
        <f t="shared" si="5"/>
        <v>0</v>
      </c>
      <c r="K16" s="2"/>
      <c r="L16" s="2">
        <f t="shared" si="6"/>
        <v>0</v>
      </c>
      <c r="M16" s="2"/>
      <c r="N16" s="19">
        <f t="shared" si="7"/>
        <v>0</v>
      </c>
      <c r="O16" s="11"/>
      <c r="P16" s="2"/>
      <c r="Q16" s="2"/>
      <c r="R16" s="19">
        <f t="shared" si="8"/>
        <v>0</v>
      </c>
      <c r="S16" s="2"/>
      <c r="T16" s="2">
        <v>6367.79</v>
      </c>
      <c r="U16" s="2"/>
      <c r="V16" s="19">
        <f t="shared" si="9"/>
        <v>0.32076524780788912</v>
      </c>
      <c r="W16" s="2"/>
      <c r="X16" s="2">
        <f t="shared" si="10"/>
        <v>-6367.79</v>
      </c>
      <c r="Y16" s="2"/>
      <c r="Z16" s="19">
        <f t="shared" si="11"/>
        <v>-1</v>
      </c>
    </row>
    <row r="17" spans="1:26" s="24" customFormat="1" hidden="1" outlineLevel="1" x14ac:dyDescent="0.25">
      <c r="A17" s="44"/>
      <c r="B17" s="11" t="str">
        <f>CONCATENATE("          ", "5059", " - ", "PURCHASES @ COST-FOOD")</f>
        <v xml:space="preserve">          5059 - PURCHASES @ COST-FOOD</v>
      </c>
      <c r="C17" s="11"/>
      <c r="D17" s="2"/>
      <c r="E17" s="2"/>
      <c r="F17" s="19">
        <f t="shared" si="4"/>
        <v>0</v>
      </c>
      <c r="G17" s="2"/>
      <c r="H17" s="2"/>
      <c r="I17" s="2"/>
      <c r="J17" s="19">
        <f t="shared" si="5"/>
        <v>0</v>
      </c>
      <c r="K17" s="2"/>
      <c r="L17" s="2">
        <f t="shared" si="6"/>
        <v>0</v>
      </c>
      <c r="M17" s="2"/>
      <c r="N17" s="19">
        <f t="shared" si="7"/>
        <v>0</v>
      </c>
      <c r="O17" s="11"/>
      <c r="P17" s="2"/>
      <c r="Q17" s="2"/>
      <c r="R17" s="19">
        <f t="shared" si="8"/>
        <v>0</v>
      </c>
      <c r="S17" s="2"/>
      <c r="T17" s="2">
        <v>-1557</v>
      </c>
      <c r="U17" s="2"/>
      <c r="V17" s="19">
        <f t="shared" si="9"/>
        <v>-7.8430898449365224E-2</v>
      </c>
      <c r="W17" s="2"/>
      <c r="X17" s="2">
        <f t="shared" si="10"/>
        <v>1557</v>
      </c>
      <c r="Y17" s="2"/>
      <c r="Z17" s="19">
        <f t="shared" si="11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8" t="s">
        <v>6</v>
      </c>
      <c r="C19" s="28"/>
      <c r="D19" s="20">
        <f>D12-D15</f>
        <v>0</v>
      </c>
      <c r="E19" s="14"/>
      <c r="F19" s="22">
        <f>IF(D$12=0,0,D19/D$12)</f>
        <v>0</v>
      </c>
      <c r="G19" s="14"/>
      <c r="H19" s="20">
        <f>H12-H15</f>
        <v>0</v>
      </c>
      <c r="I19" s="14"/>
      <c r="J19" s="22">
        <f>IF(H$12=0,0,H19/H$12)</f>
        <v>0</v>
      </c>
      <c r="K19" s="15"/>
      <c r="L19" s="20">
        <f>+D19-H19</f>
        <v>0</v>
      </c>
      <c r="M19" s="15"/>
      <c r="N19" s="22">
        <f>IF(H19=0,0,L19/H19)</f>
        <v>0</v>
      </c>
      <c r="O19" s="29"/>
      <c r="P19" s="20">
        <f>P12-P15</f>
        <v>0</v>
      </c>
      <c r="Q19" s="14"/>
      <c r="R19" s="22">
        <f>IF(P$12=0,0,P19/P$12)</f>
        <v>0</v>
      </c>
      <c r="S19" s="14"/>
      <c r="T19" s="20">
        <f>T12-T15</f>
        <v>15041.079999999998</v>
      </c>
      <c r="U19" s="14"/>
      <c r="V19" s="22">
        <f>IF(T$12=0,0,T19/T$12)</f>
        <v>0.75766565064147606</v>
      </c>
      <c r="W19" s="15"/>
      <c r="X19" s="20">
        <f>+P19-T19</f>
        <v>-15041.079999999998</v>
      </c>
      <c r="Y19" s="15"/>
      <c r="Z19" s="22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9" t="s">
        <v>9</v>
      </c>
      <c r="C21" s="10"/>
      <c r="D21" s="21">
        <f>SUM(OSRRefD22x_0)</f>
        <v>479.29</v>
      </c>
      <c r="E21" s="21"/>
      <c r="F21" s="35">
        <f t="shared" ref="F21:F24" si="12">IF(D$12=0,0,D21/D$12)</f>
        <v>0</v>
      </c>
      <c r="G21" s="21"/>
      <c r="H21" s="21">
        <f>SUM(OSRRefH22x_0)</f>
        <v>1658.03</v>
      </c>
      <c r="I21" s="21"/>
      <c r="J21" s="35">
        <f t="shared" ref="J21:J24" si="13">IF(H$12=0,0,H21/H$12)</f>
        <v>0</v>
      </c>
      <c r="K21" s="4"/>
      <c r="L21" s="21">
        <f t="shared" ref="L21:L24" si="14">+D21-H21</f>
        <v>-1178.74</v>
      </c>
      <c r="M21" s="4"/>
      <c r="N21" s="35">
        <f t="shared" ref="N21:N24" si="15">IF(H21=0,0,L21/H21)</f>
        <v>-0.71092802904651908</v>
      </c>
      <c r="O21" s="10"/>
      <c r="P21" s="21">
        <f>SUM(OSRRefP22x_0)</f>
        <v>3297.2999999999997</v>
      </c>
      <c r="Q21" s="21"/>
      <c r="R21" s="35">
        <f t="shared" ref="R21:R24" si="16">IF(P$12=0,0,P21/P$12)</f>
        <v>0</v>
      </c>
      <c r="S21" s="21"/>
      <c r="T21" s="21">
        <f>SUM(OSRRefT22x_0)</f>
        <v>19694.789999999997</v>
      </c>
      <c r="U21" s="21"/>
      <c r="V21" s="35">
        <f t="shared" ref="V21:V24" si="17">IF(T$12=0,0,T21/T$12)</f>
        <v>0.9920873952932393</v>
      </c>
      <c r="W21" s="4"/>
      <c r="X21" s="21">
        <f t="shared" ref="X21:X24" si="18">+P21-T21</f>
        <v>-16397.489999999998</v>
      </c>
      <c r="Y21" s="4"/>
      <c r="Z21" s="35">
        <f t="shared" ref="Z21:Z24" si="19">IF(T21=0,0,X21/T21)</f>
        <v>-0.83258008843963305</v>
      </c>
    </row>
    <row r="22" spans="1:26" s="26" customFormat="1" outlineLevel="1" collapsed="1" x14ac:dyDescent="0.25">
      <c r="A22" s="27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0</v>
      </c>
      <c r="I22" s="1"/>
      <c r="J22" s="5">
        <f t="shared" si="13"/>
        <v>0</v>
      </c>
      <c r="K22" s="1"/>
      <c r="L22" s="1">
        <f t="shared" si="14"/>
        <v>0</v>
      </c>
      <c r="M22" s="1"/>
      <c r="N22" s="5">
        <f t="shared" si="15"/>
        <v>0</v>
      </c>
      <c r="O22" s="13"/>
      <c r="P22" s="1">
        <f>SUM(OSRRefP22_0x_0)</f>
        <v>0</v>
      </c>
      <c r="Q22" s="1"/>
      <c r="R22" s="5">
        <f t="shared" si="16"/>
        <v>0</v>
      </c>
      <c r="S22" s="1"/>
      <c r="T22" s="1">
        <f>SUM(OSRRefT22_0x_0)</f>
        <v>355.92</v>
      </c>
      <c r="U22" s="1"/>
      <c r="V22" s="5">
        <f t="shared" si="17"/>
        <v>1.7928789580024453E-2</v>
      </c>
      <c r="W22" s="1"/>
      <c r="X22" s="1">
        <f t="shared" si="18"/>
        <v>-355.92</v>
      </c>
      <c r="Y22" s="1"/>
      <c r="Z22" s="5">
        <f t="shared" si="19"/>
        <v>-1</v>
      </c>
    </row>
    <row r="23" spans="1:26" s="24" customFormat="1" hidden="1" outlineLevel="2" x14ac:dyDescent="0.25">
      <c r="A23" s="25"/>
      <c r="B23" s="11" t="str">
        <f>CONCATENATE("          ", "6111", " - ", "F.I.C.A.")</f>
        <v xml:space="preserve">          6111 - F.I.C.A.</v>
      </c>
      <c r="C23" s="11"/>
      <c r="D23" s="6"/>
      <c r="E23" s="2"/>
      <c r="F23" s="7">
        <f t="shared" si="12"/>
        <v>0</v>
      </c>
      <c r="G23" s="2"/>
      <c r="H23" s="6"/>
      <c r="I23" s="2"/>
      <c r="J23" s="7">
        <f t="shared" si="13"/>
        <v>0</v>
      </c>
      <c r="K23" s="2"/>
      <c r="L23" s="6">
        <f t="shared" si="14"/>
        <v>0</v>
      </c>
      <c r="M23" s="2"/>
      <c r="N23" s="7">
        <f t="shared" si="15"/>
        <v>0</v>
      </c>
      <c r="O23" s="11"/>
      <c r="P23" s="6"/>
      <c r="Q23" s="2"/>
      <c r="R23" s="7">
        <f t="shared" si="16"/>
        <v>0</v>
      </c>
      <c r="S23" s="2"/>
      <c r="T23" s="6">
        <v>366.32</v>
      </c>
      <c r="U23" s="2"/>
      <c r="V23" s="7">
        <f t="shared" si="17"/>
        <v>1.8452669698119119E-2</v>
      </c>
      <c r="W23" s="2"/>
      <c r="X23" s="6">
        <f t="shared" si="18"/>
        <v>-366.32</v>
      </c>
      <c r="Y23" s="2"/>
      <c r="Z23" s="7">
        <f t="shared" si="19"/>
        <v>-1</v>
      </c>
    </row>
    <row r="24" spans="1:26" s="24" customFormat="1" hidden="1" outlineLevel="2" x14ac:dyDescent="0.25">
      <c r="A24" s="25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2"/>
        <v>0</v>
      </c>
      <c r="G24" s="2"/>
      <c r="H24" s="6"/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1"/>
      <c r="P24" s="6"/>
      <c r="Q24" s="2"/>
      <c r="R24" s="7">
        <f t="shared" si="16"/>
        <v>0</v>
      </c>
      <c r="S24" s="2"/>
      <c r="T24" s="6">
        <v>-10.4</v>
      </c>
      <c r="U24" s="2"/>
      <c r="V24" s="7">
        <f t="shared" si="17"/>
        <v>-5.2388011809466816E-4</v>
      </c>
      <c r="W24" s="2"/>
      <c r="X24" s="6">
        <f t="shared" si="18"/>
        <v>10.4</v>
      </c>
      <c r="Y24" s="2"/>
      <c r="Z24" s="7">
        <f t="shared" si="19"/>
        <v>-1</v>
      </c>
    </row>
    <row r="25" spans="1:26" s="26" customFormat="1" outlineLevel="1" collapsed="1" x14ac:dyDescent="0.25">
      <c r="A25" s="27"/>
      <c r="B25" s="13" t="str">
        <f>CONCATENATE("     ","*Payroll                                          ")</f>
        <v xml:space="preserve">     *Payroll                                          </v>
      </c>
      <c r="C25" s="13"/>
      <c r="D25" s="1">
        <f>SUM(OSRRefD22_1x_0)</f>
        <v>0</v>
      </c>
      <c r="E25" s="1"/>
      <c r="F25" s="5">
        <f t="shared" ref="F25:F29" si="20">IF(D$12=0,0,D25/D$12)</f>
        <v>0</v>
      </c>
      <c r="G25" s="1"/>
      <c r="H25" s="1">
        <f>SUM(OSRRefH22_1x_0)</f>
        <v>0</v>
      </c>
      <c r="I25" s="1"/>
      <c r="J25" s="5">
        <f t="shared" ref="J25:J29" si="21">IF(H$12=0,0,H25/H$12)</f>
        <v>0</v>
      </c>
      <c r="K25" s="1"/>
      <c r="L25" s="1">
        <f t="shared" ref="L25:L29" si="22">+D25-H25</f>
        <v>0</v>
      </c>
      <c r="M25" s="1"/>
      <c r="N25" s="5">
        <f t="shared" ref="N25:N29" si="23">IF(H25=0,0,L25/H25)</f>
        <v>0</v>
      </c>
      <c r="O25" s="13"/>
      <c r="P25" s="1">
        <f>SUM(OSRRefP22_1x_0)</f>
        <v>0</v>
      </c>
      <c r="Q25" s="1"/>
      <c r="R25" s="5">
        <f t="shared" ref="R25:R29" si="24">IF(P$12=0,0,P25/P$12)</f>
        <v>0</v>
      </c>
      <c r="S25" s="1"/>
      <c r="T25" s="1">
        <f>SUM(OSRRefT22_1x_0)</f>
        <v>5526.5300000000007</v>
      </c>
      <c r="U25" s="1"/>
      <c r="V25" s="5">
        <f t="shared" ref="V25:V29" si="25">IF(T$12=0,0,T25/T$12)</f>
        <v>0.27838838356285833</v>
      </c>
      <c r="W25" s="1"/>
      <c r="X25" s="1">
        <f t="shared" ref="X25:X29" si="26">+P25-T25</f>
        <v>-5526.5300000000007</v>
      </c>
      <c r="Y25" s="1"/>
      <c r="Z25" s="5">
        <f t="shared" ref="Z25:Z29" si="27">IF(T25=0,0,X25/T25)</f>
        <v>-1</v>
      </c>
    </row>
    <row r="26" spans="1:26" s="24" customFormat="1" hidden="1" outlineLevel="2" x14ac:dyDescent="0.25">
      <c r="A26" s="25"/>
      <c r="B26" s="11" t="str">
        <f>CONCATENATE("          ", "6005", " - ", "TEMPORARY WAGES-HOURLY")</f>
        <v xml:space="preserve">          6005 - TEMPORARY WAGES-HOURLY</v>
      </c>
      <c r="C26" s="11"/>
      <c r="D26" s="6"/>
      <c r="E26" s="2"/>
      <c r="F26" s="7">
        <f t="shared" si="20"/>
        <v>0</v>
      </c>
      <c r="G26" s="2"/>
      <c r="H26" s="6"/>
      <c r="I26" s="2"/>
      <c r="J26" s="7">
        <f t="shared" si="21"/>
        <v>0</v>
      </c>
      <c r="K26" s="2"/>
      <c r="L26" s="6">
        <f t="shared" si="22"/>
        <v>0</v>
      </c>
      <c r="M26" s="2"/>
      <c r="N26" s="7">
        <f t="shared" si="23"/>
        <v>0</v>
      </c>
      <c r="O26" s="11"/>
      <c r="P26" s="6"/>
      <c r="Q26" s="2"/>
      <c r="R26" s="7">
        <f t="shared" si="24"/>
        <v>0</v>
      </c>
      <c r="S26" s="2"/>
      <c r="T26" s="6">
        <v>2489.34</v>
      </c>
      <c r="U26" s="2"/>
      <c r="V26" s="7">
        <f t="shared" si="25"/>
        <v>0.12539574357478667</v>
      </c>
      <c r="W26" s="2"/>
      <c r="X26" s="6">
        <f t="shared" si="26"/>
        <v>-2489.34</v>
      </c>
      <c r="Y26" s="2"/>
      <c r="Z26" s="7">
        <f t="shared" si="27"/>
        <v>-1</v>
      </c>
    </row>
    <row r="27" spans="1:26" s="24" customFormat="1" hidden="1" outlineLevel="2" x14ac:dyDescent="0.25">
      <c r="A27" s="25"/>
      <c r="B27" s="11" t="str">
        <f>CONCATENATE("          ", "6006", " - ", "TEMPORARY PART TIME")</f>
        <v xml:space="preserve">          6006 - TEMPORARY PART TIME</v>
      </c>
      <c r="C27" s="11"/>
      <c r="D27" s="6"/>
      <c r="E27" s="2"/>
      <c r="F27" s="7">
        <f t="shared" si="20"/>
        <v>0</v>
      </c>
      <c r="G27" s="2"/>
      <c r="H27" s="6"/>
      <c r="I27" s="2"/>
      <c r="J27" s="7">
        <f t="shared" si="21"/>
        <v>0</v>
      </c>
      <c r="K27" s="2"/>
      <c r="L27" s="6">
        <f t="shared" si="22"/>
        <v>0</v>
      </c>
      <c r="M27" s="2"/>
      <c r="N27" s="7">
        <f t="shared" si="23"/>
        <v>0</v>
      </c>
      <c r="O27" s="11"/>
      <c r="P27" s="6"/>
      <c r="Q27" s="2"/>
      <c r="R27" s="7">
        <f t="shared" si="24"/>
        <v>0</v>
      </c>
      <c r="S27" s="2"/>
      <c r="T27" s="6">
        <v>247.5</v>
      </c>
      <c r="U27" s="2"/>
      <c r="V27" s="7">
        <f t="shared" si="25"/>
        <v>1.2467339348887536E-2</v>
      </c>
      <c r="W27" s="2"/>
      <c r="X27" s="6">
        <f t="shared" si="26"/>
        <v>-247.5</v>
      </c>
      <c r="Y27" s="2"/>
      <c r="Z27" s="7">
        <f t="shared" si="27"/>
        <v>-1</v>
      </c>
    </row>
    <row r="28" spans="1:26" s="24" customFormat="1" hidden="1" outlineLevel="2" x14ac:dyDescent="0.25">
      <c r="A28" s="25"/>
      <c r="B28" s="11" t="str">
        <f>CONCATENATE("          ", "6007", " - ", "STUDENT HOURLY")</f>
        <v xml:space="preserve">          6007 - STUDENT HOURLY</v>
      </c>
      <c r="C28" s="11"/>
      <c r="D28" s="6"/>
      <c r="E28" s="2"/>
      <c r="F28" s="7">
        <f t="shared" si="20"/>
        <v>0</v>
      </c>
      <c r="G28" s="2"/>
      <c r="H28" s="6"/>
      <c r="I28" s="2"/>
      <c r="J28" s="7">
        <f t="shared" si="21"/>
        <v>0</v>
      </c>
      <c r="K28" s="2"/>
      <c r="L28" s="6">
        <f t="shared" si="22"/>
        <v>0</v>
      </c>
      <c r="M28" s="2"/>
      <c r="N28" s="7">
        <f t="shared" si="23"/>
        <v>0</v>
      </c>
      <c r="O28" s="11"/>
      <c r="P28" s="6"/>
      <c r="Q28" s="2"/>
      <c r="R28" s="7">
        <f t="shared" si="24"/>
        <v>0</v>
      </c>
      <c r="S28" s="2"/>
      <c r="T28" s="6">
        <v>2156.69</v>
      </c>
      <c r="U28" s="2"/>
      <c r="V28" s="7">
        <f t="shared" si="25"/>
        <v>0.10863913575899903</v>
      </c>
      <c r="W28" s="2"/>
      <c r="X28" s="6">
        <f t="shared" si="26"/>
        <v>-2156.69</v>
      </c>
      <c r="Y28" s="2"/>
      <c r="Z28" s="7">
        <f t="shared" si="27"/>
        <v>-1</v>
      </c>
    </row>
    <row r="29" spans="1:26" s="24" customFormat="1" hidden="1" outlineLevel="2" x14ac:dyDescent="0.25">
      <c r="A29" s="25"/>
      <c r="B29" s="11" t="str">
        <f>CONCATENATE("          ", "6008", " - ", "STUDENT HOURLY-FICA EXEMPT")</f>
        <v xml:space="preserve">          6008 - STUDENT HOURLY-FICA EXEMPT</v>
      </c>
      <c r="C29" s="11"/>
      <c r="D29" s="6"/>
      <c r="E29" s="2"/>
      <c r="F29" s="7">
        <f t="shared" si="20"/>
        <v>0</v>
      </c>
      <c r="G29" s="2"/>
      <c r="H29" s="6"/>
      <c r="I29" s="2"/>
      <c r="J29" s="7">
        <f t="shared" si="21"/>
        <v>0</v>
      </c>
      <c r="K29" s="2"/>
      <c r="L29" s="6">
        <f t="shared" si="22"/>
        <v>0</v>
      </c>
      <c r="M29" s="2"/>
      <c r="N29" s="7">
        <f t="shared" si="23"/>
        <v>0</v>
      </c>
      <c r="O29" s="11"/>
      <c r="P29" s="6"/>
      <c r="Q29" s="2"/>
      <c r="R29" s="7">
        <f t="shared" si="24"/>
        <v>0</v>
      </c>
      <c r="S29" s="2"/>
      <c r="T29" s="6">
        <v>633</v>
      </c>
      <c r="U29" s="2"/>
      <c r="V29" s="7">
        <f t="shared" si="25"/>
        <v>3.1886164880185093E-2</v>
      </c>
      <c r="W29" s="2"/>
      <c r="X29" s="6">
        <f t="shared" si="26"/>
        <v>-633</v>
      </c>
      <c r="Y29" s="2"/>
      <c r="Z29" s="7">
        <f t="shared" si="27"/>
        <v>-1</v>
      </c>
    </row>
    <row r="30" spans="1:26" s="26" customFormat="1" outlineLevel="1" collapsed="1" x14ac:dyDescent="0.25">
      <c r="A30" s="27"/>
      <c r="B30" s="13" t="str">
        <f>CONCATENATE("     ","Advertising/Promo                                 ")</f>
        <v xml:space="preserve">     Advertising/Promo                                 </v>
      </c>
      <c r="C30" s="13"/>
      <c r="D30" s="1">
        <f>SUM(OSRRefD22_2x_0)</f>
        <v>0</v>
      </c>
      <c r="E30" s="1"/>
      <c r="F30" s="5">
        <f t="shared" ref="F30:F44" si="28">IF(D$12=0,0,D30/D$12)</f>
        <v>0</v>
      </c>
      <c r="G30" s="1"/>
      <c r="H30" s="1">
        <f>SUM(OSRRefH22_2x_0)</f>
        <v>424.65</v>
      </c>
      <c r="I30" s="1"/>
      <c r="J30" s="5">
        <f t="shared" ref="J30:J44" si="29">IF(H$12=0,0,H30/H$12)</f>
        <v>0</v>
      </c>
      <c r="K30" s="1"/>
      <c r="L30" s="1">
        <f t="shared" ref="L30:L44" si="30">+D30-H30</f>
        <v>-424.65</v>
      </c>
      <c r="M30" s="1"/>
      <c r="N30" s="5">
        <f t="shared" ref="N30:N44" si="31">IF(H30=0,0,L30/H30)</f>
        <v>-1</v>
      </c>
      <c r="O30" s="13"/>
      <c r="P30" s="1">
        <f>SUM(OSRRefP22_2x_0)</f>
        <v>0</v>
      </c>
      <c r="Q30" s="1"/>
      <c r="R30" s="5">
        <f t="shared" ref="R30:R44" si="32">IF(P$12=0,0,P30/P$12)</f>
        <v>0</v>
      </c>
      <c r="S30" s="1"/>
      <c r="T30" s="1">
        <f>SUM(OSRRefT22_2x_0)</f>
        <v>933.03</v>
      </c>
      <c r="U30" s="1"/>
      <c r="V30" s="5">
        <f t="shared" ref="V30:V44" si="33">IF(T$12=0,0,T30/T$12)</f>
        <v>4.6999602556333488E-2</v>
      </c>
      <c r="W30" s="1"/>
      <c r="X30" s="1">
        <f t="shared" ref="X30:X44" si="34">+P30-T30</f>
        <v>-933.03</v>
      </c>
      <c r="Y30" s="1"/>
      <c r="Z30" s="5">
        <f t="shared" ref="Z30:Z44" si="35">IF(T30=0,0,X30/T30)</f>
        <v>-1</v>
      </c>
    </row>
    <row r="31" spans="1:26" s="24" customFormat="1" hidden="1" outlineLevel="2" x14ac:dyDescent="0.25">
      <c r="A31" s="25"/>
      <c r="B31" s="11" t="str">
        <f>CONCATENATE("          ", "6362", " - ", "ADVERTISING EXPENSE")</f>
        <v xml:space="preserve">          6362 - ADVERTISING EXPENSE</v>
      </c>
      <c r="C31" s="11"/>
      <c r="D31" s="6"/>
      <c r="E31" s="2"/>
      <c r="F31" s="7">
        <f t="shared" si="28"/>
        <v>0</v>
      </c>
      <c r="G31" s="2"/>
      <c r="H31" s="6">
        <v>424.65</v>
      </c>
      <c r="I31" s="2"/>
      <c r="J31" s="7">
        <f t="shared" si="29"/>
        <v>0</v>
      </c>
      <c r="K31" s="2"/>
      <c r="L31" s="6">
        <f t="shared" si="30"/>
        <v>-424.65</v>
      </c>
      <c r="M31" s="2"/>
      <c r="N31" s="7">
        <f t="shared" si="31"/>
        <v>-1</v>
      </c>
      <c r="O31" s="11"/>
      <c r="P31" s="6"/>
      <c r="Q31" s="2"/>
      <c r="R31" s="7">
        <f t="shared" si="32"/>
        <v>0</v>
      </c>
      <c r="S31" s="2"/>
      <c r="T31" s="6">
        <v>933.03</v>
      </c>
      <c r="U31" s="2"/>
      <c r="V31" s="7">
        <f t="shared" si="33"/>
        <v>4.6999602556333488E-2</v>
      </c>
      <c r="W31" s="2"/>
      <c r="X31" s="6">
        <f t="shared" si="34"/>
        <v>-933.03</v>
      </c>
      <c r="Y31" s="2"/>
      <c r="Z31" s="7">
        <f t="shared" si="35"/>
        <v>-1</v>
      </c>
    </row>
    <row r="32" spans="1:26" s="26" customFormat="1" outlineLevel="1" collapsed="1" x14ac:dyDescent="0.25">
      <c r="A32" s="27"/>
      <c r="B32" s="13" t="str">
        <f>CONCATENATE("     ","Bad Debts/Over/Short                              ")</f>
        <v xml:space="preserve">     Bad Debts/Over/Short                              </v>
      </c>
      <c r="C32" s="13"/>
      <c r="D32" s="1">
        <f>SUM(OSRRefD22_3x_0)</f>
        <v>0</v>
      </c>
      <c r="E32" s="1"/>
      <c r="F32" s="5">
        <f t="shared" si="28"/>
        <v>0</v>
      </c>
      <c r="G32" s="1"/>
      <c r="H32" s="1">
        <f>SUM(OSRRefH22_3x_0)</f>
        <v>0</v>
      </c>
      <c r="I32" s="1"/>
      <c r="J32" s="5">
        <f t="shared" si="29"/>
        <v>0</v>
      </c>
      <c r="K32" s="1"/>
      <c r="L32" s="1">
        <f t="shared" si="30"/>
        <v>0</v>
      </c>
      <c r="M32" s="1"/>
      <c r="N32" s="5">
        <f t="shared" si="31"/>
        <v>0</v>
      </c>
      <c r="O32" s="13"/>
      <c r="P32" s="1">
        <f>SUM(OSRRefP22_3x_0)</f>
        <v>0</v>
      </c>
      <c r="Q32" s="1"/>
      <c r="R32" s="5">
        <f t="shared" si="32"/>
        <v>0</v>
      </c>
      <c r="S32" s="1"/>
      <c r="T32" s="1">
        <f>SUM(OSRRefT22_3x_0)</f>
        <v>1.85</v>
      </c>
      <c r="U32" s="1"/>
      <c r="V32" s="5">
        <f t="shared" si="33"/>
        <v>9.3190213314916939E-5</v>
      </c>
      <c r="W32" s="1"/>
      <c r="X32" s="1">
        <f t="shared" si="34"/>
        <v>-1.85</v>
      </c>
      <c r="Y32" s="1"/>
      <c r="Z32" s="5">
        <f t="shared" si="35"/>
        <v>-1</v>
      </c>
    </row>
    <row r="33" spans="1:26" s="24" customFormat="1" hidden="1" outlineLevel="2" x14ac:dyDescent="0.25">
      <c r="A33" s="25"/>
      <c r="B33" s="11" t="str">
        <f>CONCATENATE("          ", "6272", " - ", "CASH (OVER/SHORT)")</f>
        <v xml:space="preserve">          6272 - CASH (OVER/SHORT)</v>
      </c>
      <c r="C33" s="11"/>
      <c r="D33" s="6"/>
      <c r="E33" s="2"/>
      <c r="F33" s="7">
        <f t="shared" si="28"/>
        <v>0</v>
      </c>
      <c r="G33" s="2"/>
      <c r="H33" s="6"/>
      <c r="I33" s="2"/>
      <c r="J33" s="7">
        <f t="shared" si="29"/>
        <v>0</v>
      </c>
      <c r="K33" s="2"/>
      <c r="L33" s="6">
        <f t="shared" si="30"/>
        <v>0</v>
      </c>
      <c r="M33" s="2"/>
      <c r="N33" s="7">
        <f t="shared" si="31"/>
        <v>0</v>
      </c>
      <c r="O33" s="11"/>
      <c r="P33" s="6"/>
      <c r="Q33" s="2"/>
      <c r="R33" s="7">
        <f t="shared" si="32"/>
        <v>0</v>
      </c>
      <c r="S33" s="2"/>
      <c r="T33" s="6">
        <v>1.85</v>
      </c>
      <c r="U33" s="2"/>
      <c r="V33" s="7">
        <f t="shared" si="33"/>
        <v>9.3190213314916939E-5</v>
      </c>
      <c r="W33" s="2"/>
      <c r="X33" s="6">
        <f t="shared" si="34"/>
        <v>-1.85</v>
      </c>
      <c r="Y33" s="2"/>
      <c r="Z33" s="7">
        <f t="shared" si="35"/>
        <v>-1</v>
      </c>
    </row>
    <row r="34" spans="1:26" s="26" customFormat="1" outlineLevel="1" collapsed="1" x14ac:dyDescent="0.25">
      <c r="A34" s="27"/>
      <c r="B34" s="13" t="str">
        <f>CONCATENATE("     ","Bank/card Fees                                    ")</f>
        <v xml:space="preserve">     Bank/card Fees                                    </v>
      </c>
      <c r="C34" s="13"/>
      <c r="D34" s="1">
        <f>SUM(OSRRefD22_4x_0)</f>
        <v>0</v>
      </c>
      <c r="E34" s="1"/>
      <c r="F34" s="5">
        <f t="shared" si="28"/>
        <v>0</v>
      </c>
      <c r="G34" s="1"/>
      <c r="H34" s="1">
        <f>SUM(OSRRefH22_4x_0)</f>
        <v>0</v>
      </c>
      <c r="I34" s="1"/>
      <c r="J34" s="5">
        <f t="shared" si="29"/>
        <v>0</v>
      </c>
      <c r="K34" s="1"/>
      <c r="L34" s="1">
        <f t="shared" si="30"/>
        <v>0</v>
      </c>
      <c r="M34" s="1"/>
      <c r="N34" s="5">
        <f t="shared" si="31"/>
        <v>0</v>
      </c>
      <c r="O34" s="13"/>
      <c r="P34" s="1">
        <f>SUM(OSRRefP22_4x_0)</f>
        <v>0</v>
      </c>
      <c r="Q34" s="1"/>
      <c r="R34" s="5">
        <f t="shared" si="32"/>
        <v>0</v>
      </c>
      <c r="S34" s="1"/>
      <c r="T34" s="1">
        <f>SUM(OSRRefT22_4x_0)</f>
        <v>348.55</v>
      </c>
      <c r="U34" s="1"/>
      <c r="V34" s="5">
        <f t="shared" si="33"/>
        <v>1.7557539919413136E-2</v>
      </c>
      <c r="W34" s="1"/>
      <c r="X34" s="1">
        <f t="shared" si="34"/>
        <v>-348.55</v>
      </c>
      <c r="Y34" s="1"/>
      <c r="Z34" s="5">
        <f t="shared" si="35"/>
        <v>-1</v>
      </c>
    </row>
    <row r="35" spans="1:26" s="24" customFormat="1" hidden="1" outlineLevel="2" x14ac:dyDescent="0.25">
      <c r="A35" s="25"/>
      <c r="B35" s="11" t="str">
        <f>CONCATENATE("          ", "6381", " - ", "BANK/CREDIT CARD FEES")</f>
        <v xml:space="preserve">          6381 - BANK/CREDIT CARD FEES</v>
      </c>
      <c r="C35" s="11"/>
      <c r="D35" s="6"/>
      <c r="E35" s="2"/>
      <c r="F35" s="7">
        <f t="shared" si="28"/>
        <v>0</v>
      </c>
      <c r="G35" s="2"/>
      <c r="H35" s="6"/>
      <c r="I35" s="2"/>
      <c r="J35" s="7">
        <f t="shared" si="29"/>
        <v>0</v>
      </c>
      <c r="K35" s="2"/>
      <c r="L35" s="6">
        <f t="shared" si="30"/>
        <v>0</v>
      </c>
      <c r="M35" s="2"/>
      <c r="N35" s="7">
        <f t="shared" si="31"/>
        <v>0</v>
      </c>
      <c r="O35" s="11"/>
      <c r="P35" s="6"/>
      <c r="Q35" s="2"/>
      <c r="R35" s="7">
        <f t="shared" si="32"/>
        <v>0</v>
      </c>
      <c r="S35" s="2"/>
      <c r="T35" s="6">
        <v>348.55</v>
      </c>
      <c r="U35" s="2"/>
      <c r="V35" s="7">
        <f t="shared" si="33"/>
        <v>1.7557539919413136E-2</v>
      </c>
      <c r="W35" s="2"/>
      <c r="X35" s="6">
        <f t="shared" si="34"/>
        <v>-348.55</v>
      </c>
      <c r="Y35" s="2"/>
      <c r="Z35" s="7">
        <f t="shared" si="35"/>
        <v>-1</v>
      </c>
    </row>
    <row r="36" spans="1:26" s="26" customFormat="1" outlineLevel="1" collapsed="1" x14ac:dyDescent="0.25">
      <c r="A36" s="27"/>
      <c r="B36" s="13" t="str">
        <f>CONCATENATE("     ","Depreciation                                      ")</f>
        <v xml:space="preserve">     Depreciation                                      </v>
      </c>
      <c r="C36" s="13"/>
      <c r="D36" s="1">
        <f>SUM(OSRRefD22_5x_0)</f>
        <v>479.29</v>
      </c>
      <c r="E36" s="1"/>
      <c r="F36" s="5">
        <f t="shared" si="28"/>
        <v>0</v>
      </c>
      <c r="G36" s="1"/>
      <c r="H36" s="1">
        <f>SUM(OSRRefH22_5x_0)</f>
        <v>0</v>
      </c>
      <c r="I36" s="1"/>
      <c r="J36" s="5">
        <f t="shared" si="29"/>
        <v>0</v>
      </c>
      <c r="K36" s="1"/>
      <c r="L36" s="1">
        <f t="shared" si="30"/>
        <v>479.29</v>
      </c>
      <c r="M36" s="1"/>
      <c r="N36" s="5">
        <f t="shared" si="31"/>
        <v>0</v>
      </c>
      <c r="O36" s="13"/>
      <c r="P36" s="1">
        <f>SUM(OSRRefP22_5x_0)</f>
        <v>2396.4499999999998</v>
      </c>
      <c r="Q36" s="1"/>
      <c r="R36" s="5">
        <f t="shared" si="32"/>
        <v>0</v>
      </c>
      <c r="S36" s="1"/>
      <c r="T36" s="1">
        <f>SUM(OSRRefT22_5x_0)</f>
        <v>0</v>
      </c>
      <c r="U36" s="1"/>
      <c r="V36" s="5">
        <f t="shared" si="33"/>
        <v>0</v>
      </c>
      <c r="W36" s="1"/>
      <c r="X36" s="1">
        <f t="shared" si="34"/>
        <v>2396.4499999999998</v>
      </c>
      <c r="Y36" s="1"/>
      <c r="Z36" s="5">
        <f t="shared" si="35"/>
        <v>0</v>
      </c>
    </row>
    <row r="37" spans="1:26" s="24" customFormat="1" hidden="1" outlineLevel="2" x14ac:dyDescent="0.25">
      <c r="A37" s="25"/>
      <c r="B37" s="11" t="str">
        <f>CONCATENATE("          ", "6322", " - ", "EQUIPMENT DEPRECIATION EXPENSE")</f>
        <v xml:space="preserve">          6322 - EQUIPMENT DEPRECIATION EXPENSE</v>
      </c>
      <c r="C37" s="11"/>
      <c r="D37" s="6">
        <v>479.29</v>
      </c>
      <c r="E37" s="2"/>
      <c r="F37" s="7">
        <f t="shared" si="28"/>
        <v>0</v>
      </c>
      <c r="G37" s="2"/>
      <c r="H37" s="6"/>
      <c r="I37" s="2"/>
      <c r="J37" s="7">
        <f t="shared" si="29"/>
        <v>0</v>
      </c>
      <c r="K37" s="2"/>
      <c r="L37" s="6">
        <f t="shared" si="30"/>
        <v>479.29</v>
      </c>
      <c r="M37" s="2"/>
      <c r="N37" s="7">
        <f t="shared" si="31"/>
        <v>0</v>
      </c>
      <c r="O37" s="11"/>
      <c r="P37" s="6">
        <v>2396.4499999999998</v>
      </c>
      <c r="Q37" s="2"/>
      <c r="R37" s="7">
        <f t="shared" si="32"/>
        <v>0</v>
      </c>
      <c r="S37" s="2"/>
      <c r="T37" s="6"/>
      <c r="U37" s="2"/>
      <c r="V37" s="7">
        <f t="shared" si="33"/>
        <v>0</v>
      </c>
      <c r="W37" s="2"/>
      <c r="X37" s="6">
        <f t="shared" si="34"/>
        <v>2396.4499999999998</v>
      </c>
      <c r="Y37" s="2"/>
      <c r="Z37" s="7">
        <f t="shared" si="35"/>
        <v>0</v>
      </c>
    </row>
    <row r="38" spans="1:26" s="26" customFormat="1" outlineLevel="1" collapsed="1" x14ac:dyDescent="0.25">
      <c r="A38" s="27"/>
      <c r="B38" s="13" t="str">
        <f>CONCATENATE("     ","Employees' Appreciation                           ")</f>
        <v xml:space="preserve">     Employees' Appreciation                           </v>
      </c>
      <c r="C38" s="13"/>
      <c r="D38" s="1">
        <f>SUM(OSRRefD22_6x_0)</f>
        <v>0</v>
      </c>
      <c r="E38" s="1"/>
      <c r="F38" s="5">
        <f t="shared" si="28"/>
        <v>0</v>
      </c>
      <c r="G38" s="1"/>
      <c r="H38" s="1">
        <f>SUM(OSRRefH22_6x_0)</f>
        <v>0</v>
      </c>
      <c r="I38" s="1"/>
      <c r="J38" s="5">
        <f t="shared" si="29"/>
        <v>0</v>
      </c>
      <c r="K38" s="1"/>
      <c r="L38" s="1">
        <f t="shared" si="30"/>
        <v>0</v>
      </c>
      <c r="M38" s="1"/>
      <c r="N38" s="5">
        <f t="shared" si="31"/>
        <v>0</v>
      </c>
      <c r="O38" s="13"/>
      <c r="P38" s="1">
        <f>SUM(OSRRefP22_6x_0)</f>
        <v>0</v>
      </c>
      <c r="Q38" s="1"/>
      <c r="R38" s="5">
        <f t="shared" si="32"/>
        <v>0</v>
      </c>
      <c r="S38" s="1"/>
      <c r="T38" s="1">
        <f>SUM(OSRRefT22_6x_0)</f>
        <v>114.64</v>
      </c>
      <c r="U38" s="1"/>
      <c r="V38" s="5">
        <f t="shared" si="33"/>
        <v>5.7747708402281503E-3</v>
      </c>
      <c r="W38" s="1"/>
      <c r="X38" s="1">
        <f t="shared" si="34"/>
        <v>-114.64</v>
      </c>
      <c r="Y38" s="1"/>
      <c r="Z38" s="5">
        <f t="shared" si="35"/>
        <v>-1</v>
      </c>
    </row>
    <row r="39" spans="1:26" s="24" customFormat="1" hidden="1" outlineLevel="2" x14ac:dyDescent="0.25">
      <c r="A39" s="25"/>
      <c r="B39" s="11" t="str">
        <f>CONCATENATE("          ", "6277", " - ", "EMPLOYEE APPRECIATION")</f>
        <v xml:space="preserve">          6277 - EMPLOYEE APPRECIATION</v>
      </c>
      <c r="C39" s="11"/>
      <c r="D39" s="6"/>
      <c r="E39" s="2"/>
      <c r="F39" s="7">
        <f t="shared" si="28"/>
        <v>0</v>
      </c>
      <c r="G39" s="2"/>
      <c r="H39" s="6"/>
      <c r="I39" s="2"/>
      <c r="J39" s="7">
        <f t="shared" si="29"/>
        <v>0</v>
      </c>
      <c r="K39" s="2"/>
      <c r="L39" s="6">
        <f t="shared" si="30"/>
        <v>0</v>
      </c>
      <c r="M39" s="2"/>
      <c r="N39" s="7">
        <f t="shared" si="31"/>
        <v>0</v>
      </c>
      <c r="O39" s="11"/>
      <c r="P39" s="6"/>
      <c r="Q39" s="2"/>
      <c r="R39" s="7">
        <f t="shared" si="32"/>
        <v>0</v>
      </c>
      <c r="S39" s="2"/>
      <c r="T39" s="6">
        <v>114.64</v>
      </c>
      <c r="U39" s="2"/>
      <c r="V39" s="7">
        <f t="shared" si="33"/>
        <v>5.7747708402281503E-3</v>
      </c>
      <c r="W39" s="2"/>
      <c r="X39" s="6">
        <f t="shared" si="34"/>
        <v>-114.64</v>
      </c>
      <c r="Y39" s="2"/>
      <c r="Z39" s="7">
        <f t="shared" si="35"/>
        <v>-1</v>
      </c>
    </row>
    <row r="40" spans="1:26" s="26" customFormat="1" outlineLevel="1" collapsed="1" x14ac:dyDescent="0.25">
      <c r="A40" s="27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SUM(OSRRefD22_7x_0)</f>
        <v>0</v>
      </c>
      <c r="E40" s="1"/>
      <c r="F40" s="5">
        <f t="shared" si="28"/>
        <v>0</v>
      </c>
      <c r="G40" s="1"/>
      <c r="H40" s="1">
        <f>SUM(OSRRefH22_7x_0)</f>
        <v>0</v>
      </c>
      <c r="I40" s="1"/>
      <c r="J40" s="5">
        <f t="shared" si="29"/>
        <v>0</v>
      </c>
      <c r="K40" s="1"/>
      <c r="L40" s="1">
        <f t="shared" si="30"/>
        <v>0</v>
      </c>
      <c r="M40" s="1"/>
      <c r="N40" s="5">
        <f t="shared" si="31"/>
        <v>0</v>
      </c>
      <c r="O40" s="13"/>
      <c r="P40" s="1">
        <f>SUM(OSRRefP22_7x_0)</f>
        <v>519.54999999999995</v>
      </c>
      <c r="Q40" s="1"/>
      <c r="R40" s="5">
        <f t="shared" si="32"/>
        <v>0</v>
      </c>
      <c r="S40" s="1"/>
      <c r="T40" s="1">
        <f>SUM(OSRRefT22_7x_0)</f>
        <v>3267.75</v>
      </c>
      <c r="U40" s="1"/>
      <c r="V40" s="5">
        <f t="shared" si="33"/>
        <v>0.16460665922152423</v>
      </c>
      <c r="W40" s="1"/>
      <c r="X40" s="1">
        <f t="shared" si="34"/>
        <v>-2748.2</v>
      </c>
      <c r="Y40" s="1"/>
      <c r="Z40" s="5">
        <f t="shared" si="35"/>
        <v>-0.84100680896641411</v>
      </c>
    </row>
    <row r="41" spans="1:26" s="24" customFormat="1" hidden="1" outlineLevel="2" x14ac:dyDescent="0.25">
      <c r="A41" s="25"/>
      <c r="B41" s="11" t="str">
        <f>CONCATENATE("          ", "6279", " - ", "GENERAL EXPENSE")</f>
        <v xml:space="preserve">          6279 - GENERAL EXPENSE</v>
      </c>
      <c r="C41" s="11"/>
      <c r="D41" s="6"/>
      <c r="E41" s="2"/>
      <c r="F41" s="7">
        <f t="shared" si="28"/>
        <v>0</v>
      </c>
      <c r="G41" s="2"/>
      <c r="H41" s="6"/>
      <c r="I41" s="2"/>
      <c r="J41" s="7">
        <f t="shared" si="29"/>
        <v>0</v>
      </c>
      <c r="K41" s="2"/>
      <c r="L41" s="6">
        <f t="shared" si="30"/>
        <v>0</v>
      </c>
      <c r="M41" s="2"/>
      <c r="N41" s="7">
        <f t="shared" si="31"/>
        <v>0</v>
      </c>
      <c r="O41" s="11"/>
      <c r="P41" s="6">
        <v>519.54999999999995</v>
      </c>
      <c r="Q41" s="2"/>
      <c r="R41" s="7">
        <f t="shared" si="32"/>
        <v>0</v>
      </c>
      <c r="S41" s="2"/>
      <c r="T41" s="6">
        <v>3267.75</v>
      </c>
      <c r="U41" s="2"/>
      <c r="V41" s="7">
        <f t="shared" si="33"/>
        <v>0.16460665922152423</v>
      </c>
      <c r="W41" s="2"/>
      <c r="X41" s="6">
        <f t="shared" si="34"/>
        <v>-2748.2</v>
      </c>
      <c r="Y41" s="2"/>
      <c r="Z41" s="7">
        <f t="shared" si="35"/>
        <v>-0.84100680896641411</v>
      </c>
    </row>
    <row r="42" spans="1:26" s="26" customFormat="1" outlineLevel="1" collapsed="1" x14ac:dyDescent="0.25">
      <c r="A42" s="27"/>
      <c r="B42" s="13" t="str">
        <f>CONCATENATE("     ","Repair and Maintenance                            ")</f>
        <v xml:space="preserve">     Repair and Maintenance                            </v>
      </c>
      <c r="C42" s="13"/>
      <c r="D42" s="1">
        <f>SUM(OSRRefD22_8x_0)</f>
        <v>0</v>
      </c>
      <c r="E42" s="1"/>
      <c r="F42" s="5">
        <f t="shared" si="28"/>
        <v>0</v>
      </c>
      <c r="G42" s="1"/>
      <c r="H42" s="1">
        <f>SUM(OSRRefH22_8x_0)</f>
        <v>0</v>
      </c>
      <c r="I42" s="1"/>
      <c r="J42" s="5">
        <f t="shared" si="29"/>
        <v>0</v>
      </c>
      <c r="K42" s="1"/>
      <c r="L42" s="1">
        <f t="shared" si="30"/>
        <v>0</v>
      </c>
      <c r="M42" s="1"/>
      <c r="N42" s="5">
        <f t="shared" si="31"/>
        <v>0</v>
      </c>
      <c r="O42" s="13"/>
      <c r="P42" s="1">
        <f>SUM(OSRRefP22_8x_0)</f>
        <v>154.33000000000001</v>
      </c>
      <c r="Q42" s="1"/>
      <c r="R42" s="5">
        <f t="shared" si="32"/>
        <v>0</v>
      </c>
      <c r="S42" s="1"/>
      <c r="T42" s="1">
        <f>SUM(OSRRefT22_8x_0)</f>
        <v>434.72</v>
      </c>
      <c r="U42" s="1"/>
      <c r="V42" s="5">
        <f t="shared" si="33"/>
        <v>2.1898188936357133E-2</v>
      </c>
      <c r="W42" s="1"/>
      <c r="X42" s="1">
        <f t="shared" si="34"/>
        <v>-280.39</v>
      </c>
      <c r="Y42" s="1"/>
      <c r="Z42" s="5">
        <f t="shared" si="35"/>
        <v>-0.64498987854251</v>
      </c>
    </row>
    <row r="43" spans="1:26" s="24" customFormat="1" hidden="1" outlineLevel="2" x14ac:dyDescent="0.25">
      <c r="A43" s="25"/>
      <c r="B43" s="11" t="str">
        <f>CONCATENATE("          ", "6373", " - ", "MAINTENANCE CONTRACTS")</f>
        <v xml:space="preserve">          6373 - MAINTENANCE CONTRACTS</v>
      </c>
      <c r="C43" s="11"/>
      <c r="D43" s="6"/>
      <c r="E43" s="2"/>
      <c r="F43" s="7">
        <f t="shared" si="28"/>
        <v>0</v>
      </c>
      <c r="G43" s="2"/>
      <c r="H43" s="6"/>
      <c r="I43" s="2"/>
      <c r="J43" s="7">
        <f t="shared" si="29"/>
        <v>0</v>
      </c>
      <c r="K43" s="2"/>
      <c r="L43" s="6">
        <f t="shared" si="30"/>
        <v>0</v>
      </c>
      <c r="M43" s="2"/>
      <c r="N43" s="7">
        <f t="shared" si="31"/>
        <v>0</v>
      </c>
      <c r="O43" s="11"/>
      <c r="P43" s="6">
        <v>154.33000000000001</v>
      </c>
      <c r="Q43" s="2"/>
      <c r="R43" s="7">
        <f t="shared" si="32"/>
        <v>0</v>
      </c>
      <c r="S43" s="2"/>
      <c r="T43" s="6">
        <v>296.64</v>
      </c>
      <c r="U43" s="2"/>
      <c r="V43" s="7">
        <f t="shared" si="33"/>
        <v>1.4942672906884842E-2</v>
      </c>
      <c r="W43" s="2"/>
      <c r="X43" s="6">
        <f t="shared" si="34"/>
        <v>-142.30999999999997</v>
      </c>
      <c r="Y43" s="2"/>
      <c r="Z43" s="7">
        <f t="shared" si="35"/>
        <v>-0.4797397518878101</v>
      </c>
    </row>
    <row r="44" spans="1:26" s="24" customFormat="1" hidden="1" outlineLevel="2" x14ac:dyDescent="0.25">
      <c r="A44" s="25"/>
      <c r="B44" s="11" t="str">
        <f>CONCATENATE("          ", "6375", " - ", "OUTSIDE REPAIRS &amp; MAINTENANCE")</f>
        <v xml:space="preserve">          6375 - OUTSIDE REPAIRS &amp; MAINTENANCE</v>
      </c>
      <c r="C44" s="11"/>
      <c r="D44" s="6"/>
      <c r="E44" s="2"/>
      <c r="F44" s="7">
        <f t="shared" si="28"/>
        <v>0</v>
      </c>
      <c r="G44" s="2"/>
      <c r="H44" s="6"/>
      <c r="I44" s="2"/>
      <c r="J44" s="7">
        <f t="shared" si="29"/>
        <v>0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/>
      <c r="Q44" s="2"/>
      <c r="R44" s="7">
        <f t="shared" si="32"/>
        <v>0</v>
      </c>
      <c r="S44" s="2"/>
      <c r="T44" s="6">
        <v>138.08000000000001</v>
      </c>
      <c r="U44" s="2"/>
      <c r="V44" s="7">
        <f t="shared" si="33"/>
        <v>6.9555160294722876E-3</v>
      </c>
      <c r="W44" s="2"/>
      <c r="X44" s="6">
        <f t="shared" si="34"/>
        <v>-138.08000000000001</v>
      </c>
      <c r="Y44" s="2"/>
      <c r="Z44" s="7">
        <f t="shared" si="35"/>
        <v>-1</v>
      </c>
    </row>
    <row r="45" spans="1:26" s="26" customFormat="1" outlineLevel="1" collapsed="1" x14ac:dyDescent="0.25">
      <c r="A45" s="27"/>
      <c r="B45" s="13" t="str">
        <f>CONCATENATE("     ","Royalty &amp; Commissions                             ")</f>
        <v xml:space="preserve">     Royalty &amp; Commissions                             </v>
      </c>
      <c r="C45" s="13"/>
      <c r="D45" s="1">
        <f>SUM(OSRRefD22_9x_0)</f>
        <v>0</v>
      </c>
      <c r="E45" s="1"/>
      <c r="F45" s="5">
        <f t="shared" ref="F45:F52" si="36">IF(D$12=0,0,D45/D$12)</f>
        <v>0</v>
      </c>
      <c r="G45" s="1"/>
      <c r="H45" s="1">
        <f>SUM(OSRRefH22_9x_0)</f>
        <v>1019.37</v>
      </c>
      <c r="I45" s="1"/>
      <c r="J45" s="5">
        <f t="shared" ref="J45:J52" si="37">IF(H$12=0,0,H45/H$12)</f>
        <v>0</v>
      </c>
      <c r="K45" s="1"/>
      <c r="L45" s="1">
        <f t="shared" ref="L45:L52" si="38">+D45-H45</f>
        <v>-1019.37</v>
      </c>
      <c r="M45" s="1"/>
      <c r="N45" s="5">
        <f t="shared" ref="N45:N52" si="39">IF(H45=0,0,L45/H45)</f>
        <v>-1</v>
      </c>
      <c r="O45" s="13"/>
      <c r="P45" s="1">
        <f>SUM(OSRRefP22_9x_0)</f>
        <v>0</v>
      </c>
      <c r="Q45" s="1"/>
      <c r="R45" s="5">
        <f t="shared" ref="R45:R52" si="40">IF(P$12=0,0,P45/P$12)</f>
        <v>0</v>
      </c>
      <c r="S45" s="1"/>
      <c r="T45" s="1">
        <f>SUM(OSRRefT22_9x_0)</f>
        <v>6595.88</v>
      </c>
      <c r="U45" s="1"/>
      <c r="V45" s="5">
        <f t="shared" ref="V45:V52" si="41">IF(T$12=0,0,T45/T$12)</f>
        <v>0.33225484551329426</v>
      </c>
      <c r="W45" s="1"/>
      <c r="X45" s="1">
        <f t="shared" ref="X45:X52" si="42">+P45-T45</f>
        <v>-6595.88</v>
      </c>
      <c r="Y45" s="1"/>
      <c r="Z45" s="5">
        <f t="shared" ref="Z45:Z52" si="43">IF(T45=0,0,X45/T45)</f>
        <v>-1</v>
      </c>
    </row>
    <row r="46" spans="1:26" s="24" customFormat="1" hidden="1" outlineLevel="2" x14ac:dyDescent="0.25">
      <c r="A46" s="25"/>
      <c r="B46" s="11" t="str">
        <f>CONCATENATE("          ", "6254", " - ", "ROYALTY &amp; COMMISSIONS")</f>
        <v xml:space="preserve">          6254 - ROYALTY &amp; COMMISSIONS</v>
      </c>
      <c r="C46" s="11"/>
      <c r="D46" s="6"/>
      <c r="E46" s="2"/>
      <c r="F46" s="7">
        <f t="shared" si="36"/>
        <v>0</v>
      </c>
      <c r="G46" s="2"/>
      <c r="H46" s="6">
        <v>1019.37</v>
      </c>
      <c r="I46" s="2"/>
      <c r="J46" s="7">
        <f t="shared" si="37"/>
        <v>0</v>
      </c>
      <c r="K46" s="2"/>
      <c r="L46" s="6">
        <f t="shared" si="38"/>
        <v>-1019.37</v>
      </c>
      <c r="M46" s="2"/>
      <c r="N46" s="7">
        <f t="shared" si="39"/>
        <v>-1</v>
      </c>
      <c r="O46" s="11"/>
      <c r="P46" s="6"/>
      <c r="Q46" s="2"/>
      <c r="R46" s="7">
        <f t="shared" si="40"/>
        <v>0</v>
      </c>
      <c r="S46" s="2"/>
      <c r="T46" s="6">
        <v>6595.88</v>
      </c>
      <c r="U46" s="2"/>
      <c r="V46" s="7">
        <f t="shared" si="41"/>
        <v>0.33225484551329426</v>
      </c>
      <c r="W46" s="2"/>
      <c r="X46" s="6">
        <f t="shared" si="42"/>
        <v>-6595.88</v>
      </c>
      <c r="Y46" s="2"/>
      <c r="Z46" s="7">
        <f t="shared" si="43"/>
        <v>-1</v>
      </c>
    </row>
    <row r="47" spans="1:26" s="26" customFormat="1" outlineLevel="1" collapsed="1" x14ac:dyDescent="0.25">
      <c r="A47" s="27"/>
      <c r="B47" s="13" t="str">
        <f>CONCATENATE("     ","Services                                          ")</f>
        <v xml:space="preserve">     Services                                          </v>
      </c>
      <c r="C47" s="13"/>
      <c r="D47" s="1">
        <f>SUM(OSRRefD22_10x_0)</f>
        <v>0</v>
      </c>
      <c r="E47" s="1"/>
      <c r="F47" s="5">
        <f t="shared" si="36"/>
        <v>0</v>
      </c>
      <c r="G47" s="1"/>
      <c r="H47" s="1">
        <f>SUM(OSRRefH22_10x_0)</f>
        <v>0</v>
      </c>
      <c r="I47" s="1"/>
      <c r="J47" s="5">
        <f t="shared" si="37"/>
        <v>0</v>
      </c>
      <c r="K47" s="1"/>
      <c r="L47" s="1">
        <f t="shared" si="38"/>
        <v>0</v>
      </c>
      <c r="M47" s="1"/>
      <c r="N47" s="5">
        <f t="shared" si="39"/>
        <v>0</v>
      </c>
      <c r="O47" s="13"/>
      <c r="P47" s="1">
        <f>SUM(OSRRefP22_10x_0)</f>
        <v>0</v>
      </c>
      <c r="Q47" s="1"/>
      <c r="R47" s="5">
        <f t="shared" si="40"/>
        <v>0</v>
      </c>
      <c r="S47" s="1"/>
      <c r="T47" s="1">
        <f>SUM(OSRRefT22_10x_0)</f>
        <v>32.5</v>
      </c>
      <c r="U47" s="1"/>
      <c r="V47" s="5">
        <f t="shared" si="41"/>
        <v>1.6371253690458381E-3</v>
      </c>
      <c r="W47" s="1"/>
      <c r="X47" s="1">
        <f t="shared" si="42"/>
        <v>-32.5</v>
      </c>
      <c r="Y47" s="1"/>
      <c r="Z47" s="5">
        <f t="shared" si="43"/>
        <v>-1</v>
      </c>
    </row>
    <row r="48" spans="1:26" s="24" customFormat="1" hidden="1" outlineLevel="2" x14ac:dyDescent="0.25">
      <c r="A48" s="25"/>
      <c r="B48" s="11" t="str">
        <f>CONCATENATE("          ", "6286", " - ", "LAUNDRY EXPENSE")</f>
        <v xml:space="preserve">          6286 - LAUNDRY EXPENSE</v>
      </c>
      <c r="C48" s="11"/>
      <c r="D48" s="6"/>
      <c r="E48" s="2"/>
      <c r="F48" s="7">
        <f t="shared" si="36"/>
        <v>0</v>
      </c>
      <c r="G48" s="2"/>
      <c r="H48" s="6"/>
      <c r="I48" s="2"/>
      <c r="J48" s="7">
        <f t="shared" si="37"/>
        <v>0</v>
      </c>
      <c r="K48" s="2"/>
      <c r="L48" s="6">
        <f t="shared" si="38"/>
        <v>0</v>
      </c>
      <c r="M48" s="2"/>
      <c r="N48" s="7">
        <f t="shared" si="39"/>
        <v>0</v>
      </c>
      <c r="O48" s="11"/>
      <c r="P48" s="6"/>
      <c r="Q48" s="2"/>
      <c r="R48" s="7">
        <f t="shared" si="40"/>
        <v>0</v>
      </c>
      <c r="S48" s="2"/>
      <c r="T48" s="6">
        <v>32.5</v>
      </c>
      <c r="U48" s="2"/>
      <c r="V48" s="7">
        <f t="shared" si="41"/>
        <v>1.6371253690458381E-3</v>
      </c>
      <c r="W48" s="2"/>
      <c r="X48" s="6">
        <f t="shared" si="42"/>
        <v>-32.5</v>
      </c>
      <c r="Y48" s="2"/>
      <c r="Z48" s="7">
        <f t="shared" si="43"/>
        <v>-1</v>
      </c>
    </row>
    <row r="49" spans="1:26" s="26" customFormat="1" outlineLevel="1" collapsed="1" x14ac:dyDescent="0.25">
      <c r="A49" s="27"/>
      <c r="B49" s="13" t="str">
        <f>CONCATENATE("     ","Supplies                                          ")</f>
        <v xml:space="preserve">     Supplies                                          </v>
      </c>
      <c r="C49" s="13"/>
      <c r="D49" s="1">
        <f>SUM(OSRRefD22_11x_0)</f>
        <v>0</v>
      </c>
      <c r="E49" s="1"/>
      <c r="F49" s="5">
        <f t="shared" si="36"/>
        <v>0</v>
      </c>
      <c r="G49" s="1"/>
      <c r="H49" s="1">
        <f>SUM(OSRRefH22_11x_0)</f>
        <v>0</v>
      </c>
      <c r="I49" s="1"/>
      <c r="J49" s="5">
        <f t="shared" si="37"/>
        <v>0</v>
      </c>
      <c r="K49" s="1"/>
      <c r="L49" s="1">
        <f t="shared" si="38"/>
        <v>0</v>
      </c>
      <c r="M49" s="1"/>
      <c r="N49" s="5">
        <f t="shared" si="39"/>
        <v>0</v>
      </c>
      <c r="O49" s="13"/>
      <c r="P49" s="1">
        <f>SUM(OSRRefP22_11x_0)</f>
        <v>0</v>
      </c>
      <c r="Q49" s="1"/>
      <c r="R49" s="5">
        <f t="shared" si="40"/>
        <v>0</v>
      </c>
      <c r="S49" s="1"/>
      <c r="T49" s="1">
        <f>SUM(OSRRefT22_11x_0)</f>
        <v>1013.37</v>
      </c>
      <c r="U49" s="1"/>
      <c r="V49" s="5">
        <f t="shared" si="41"/>
        <v>5.1046576468614796E-2</v>
      </c>
      <c r="W49" s="1"/>
      <c r="X49" s="1">
        <f t="shared" si="42"/>
        <v>-1013.37</v>
      </c>
      <c r="Y49" s="1"/>
      <c r="Z49" s="5">
        <f t="shared" si="43"/>
        <v>-1</v>
      </c>
    </row>
    <row r="50" spans="1:26" s="24" customFormat="1" hidden="1" outlineLevel="2" x14ac:dyDescent="0.25">
      <c r="A50" s="25"/>
      <c r="B50" s="11" t="str">
        <f>CONCATENATE("          ", "6239", " - ", "KITCHEN SUPPLIES")</f>
        <v xml:space="preserve">          6239 - KITCHEN SUPPLIES</v>
      </c>
      <c r="C50" s="11"/>
      <c r="D50" s="6"/>
      <c r="E50" s="2"/>
      <c r="F50" s="7">
        <f t="shared" si="36"/>
        <v>0</v>
      </c>
      <c r="G50" s="2"/>
      <c r="H50" s="6"/>
      <c r="I50" s="2"/>
      <c r="J50" s="7">
        <f t="shared" si="37"/>
        <v>0</v>
      </c>
      <c r="K50" s="2"/>
      <c r="L50" s="6">
        <f t="shared" si="38"/>
        <v>0</v>
      </c>
      <c r="M50" s="2"/>
      <c r="N50" s="7">
        <f t="shared" si="39"/>
        <v>0</v>
      </c>
      <c r="O50" s="11"/>
      <c r="P50" s="6"/>
      <c r="Q50" s="2"/>
      <c r="R50" s="7">
        <f t="shared" si="40"/>
        <v>0</v>
      </c>
      <c r="S50" s="2"/>
      <c r="T50" s="6">
        <v>875.42</v>
      </c>
      <c r="U50" s="2"/>
      <c r="V50" s="7">
        <f t="shared" si="41"/>
        <v>4.4097608940618691E-2</v>
      </c>
      <c r="W50" s="2"/>
      <c r="X50" s="6">
        <f t="shared" si="42"/>
        <v>-875.42</v>
      </c>
      <c r="Y50" s="2"/>
      <c r="Z50" s="7">
        <f t="shared" si="43"/>
        <v>-1</v>
      </c>
    </row>
    <row r="51" spans="1:26" s="24" customFormat="1" hidden="1" outlineLevel="2" x14ac:dyDescent="0.25">
      <c r="A51" s="25"/>
      <c r="B51" s="11" t="str">
        <f>CONCATENATE("          ", "6241", " - ", "OFFICE EXPENSE")</f>
        <v xml:space="preserve">          6241 - OFFICE EXPENSE</v>
      </c>
      <c r="C51" s="11"/>
      <c r="D51" s="6"/>
      <c r="E51" s="2"/>
      <c r="F51" s="7">
        <f t="shared" si="36"/>
        <v>0</v>
      </c>
      <c r="G51" s="2"/>
      <c r="H51" s="6"/>
      <c r="I51" s="2"/>
      <c r="J51" s="7">
        <f t="shared" si="37"/>
        <v>0</v>
      </c>
      <c r="K51" s="2"/>
      <c r="L51" s="6">
        <f t="shared" si="38"/>
        <v>0</v>
      </c>
      <c r="M51" s="2"/>
      <c r="N51" s="7">
        <f t="shared" si="39"/>
        <v>0</v>
      </c>
      <c r="O51" s="11"/>
      <c r="P51" s="6"/>
      <c r="Q51" s="2"/>
      <c r="R51" s="7">
        <f t="shared" si="40"/>
        <v>0</v>
      </c>
      <c r="S51" s="2"/>
      <c r="T51" s="6">
        <v>33.06</v>
      </c>
      <c r="U51" s="2"/>
      <c r="V51" s="7">
        <f t="shared" si="41"/>
        <v>1.6653342984817049E-3</v>
      </c>
      <c r="W51" s="2"/>
      <c r="X51" s="6">
        <f t="shared" si="42"/>
        <v>-33.06</v>
      </c>
      <c r="Y51" s="2"/>
      <c r="Z51" s="7">
        <f t="shared" si="43"/>
        <v>-1</v>
      </c>
    </row>
    <row r="52" spans="1:26" s="24" customFormat="1" hidden="1" outlineLevel="2" x14ac:dyDescent="0.25">
      <c r="A52" s="25"/>
      <c r="B52" s="11" t="str">
        <f>CONCATENATE("          ", "6247", " - ", "STORE SUPPLIES")</f>
        <v xml:space="preserve">          6247 - STORE SUPPLIES</v>
      </c>
      <c r="C52" s="11"/>
      <c r="D52" s="6"/>
      <c r="E52" s="2"/>
      <c r="F52" s="7">
        <f t="shared" si="36"/>
        <v>0</v>
      </c>
      <c r="G52" s="2"/>
      <c r="H52" s="6"/>
      <c r="I52" s="2"/>
      <c r="J52" s="7">
        <f t="shared" si="37"/>
        <v>0</v>
      </c>
      <c r="K52" s="2"/>
      <c r="L52" s="6">
        <f t="shared" si="38"/>
        <v>0</v>
      </c>
      <c r="M52" s="2"/>
      <c r="N52" s="7">
        <f t="shared" si="39"/>
        <v>0</v>
      </c>
      <c r="O52" s="11"/>
      <c r="P52" s="6"/>
      <c r="Q52" s="2"/>
      <c r="R52" s="7">
        <f t="shared" si="40"/>
        <v>0</v>
      </c>
      <c r="S52" s="2"/>
      <c r="T52" s="6">
        <v>104.89</v>
      </c>
      <c r="U52" s="2"/>
      <c r="V52" s="7">
        <f t="shared" si="41"/>
        <v>5.2836332295143991E-3</v>
      </c>
      <c r="W52" s="2"/>
      <c r="X52" s="6">
        <f t="shared" si="42"/>
        <v>-104.89</v>
      </c>
      <c r="Y52" s="2"/>
      <c r="Z52" s="7">
        <f t="shared" si="43"/>
        <v>-1</v>
      </c>
    </row>
    <row r="53" spans="1:26" s="26" customFormat="1" outlineLevel="1" collapsed="1" x14ac:dyDescent="0.25">
      <c r="A53" s="27"/>
      <c r="B53" s="13" t="str">
        <f>CONCATENATE("     ","Telephone/Data Lines                              ")</f>
        <v xml:space="preserve">     Telephone/Data Lines                              </v>
      </c>
      <c r="C53" s="13"/>
      <c r="D53" s="1">
        <f>SUM(OSRRefD22_12x_0)</f>
        <v>0</v>
      </c>
      <c r="E53" s="1"/>
      <c r="F53" s="5">
        <f t="shared" ref="F53:F54" si="44">IF(D$12=0,0,D53/D$12)</f>
        <v>0</v>
      </c>
      <c r="G53" s="1"/>
      <c r="H53" s="1">
        <f>SUM(OSRRefH22_12x_0)</f>
        <v>214.01</v>
      </c>
      <c r="I53" s="1"/>
      <c r="J53" s="5">
        <f t="shared" ref="J53:J54" si="45">IF(H$12=0,0,H53/H$12)</f>
        <v>0</v>
      </c>
      <c r="K53" s="1"/>
      <c r="L53" s="1">
        <f t="shared" ref="L53:L54" si="46">+D53-H53</f>
        <v>-214.01</v>
      </c>
      <c r="M53" s="1"/>
      <c r="N53" s="5">
        <f t="shared" ref="N53:N54" si="47">IF(H53=0,0,L53/H53)</f>
        <v>-1</v>
      </c>
      <c r="O53" s="13"/>
      <c r="P53" s="1">
        <f>SUM(OSRRefP22_12x_0)</f>
        <v>226.97</v>
      </c>
      <c r="Q53" s="1"/>
      <c r="R53" s="5">
        <f t="shared" ref="R53:R54" si="48">IF(P$12=0,0,P53/P$12)</f>
        <v>0</v>
      </c>
      <c r="S53" s="1"/>
      <c r="T53" s="1">
        <f>SUM(OSRRefT22_12x_0)</f>
        <v>1070.05</v>
      </c>
      <c r="U53" s="1"/>
      <c r="V53" s="5">
        <f t="shared" ref="V53:V54" si="49">IF(T$12=0,0,T53/T$12)</f>
        <v>5.3901723112230737E-2</v>
      </c>
      <c r="W53" s="1"/>
      <c r="X53" s="1">
        <f t="shared" ref="X53:X54" si="50">+P53-T53</f>
        <v>-843.07999999999993</v>
      </c>
      <c r="Y53" s="1"/>
      <c r="Z53" s="5">
        <f t="shared" ref="Z53:Z54" si="51">IF(T53=0,0,X53/T53)</f>
        <v>-0.78788841642913876</v>
      </c>
    </row>
    <row r="54" spans="1:26" s="24" customFormat="1" hidden="1" outlineLevel="2" x14ac:dyDescent="0.25">
      <c r="A54" s="25"/>
      <c r="B54" s="11" t="str">
        <f>CONCATENATE("          ", "6309", " - ", "TELEPHONE")</f>
        <v xml:space="preserve">          6309 - TELEPHONE</v>
      </c>
      <c r="C54" s="11"/>
      <c r="D54" s="6"/>
      <c r="E54" s="2"/>
      <c r="F54" s="7">
        <f t="shared" si="44"/>
        <v>0</v>
      </c>
      <c r="G54" s="2"/>
      <c r="H54" s="6">
        <v>214.01</v>
      </c>
      <c r="I54" s="2"/>
      <c r="J54" s="7">
        <f t="shared" si="45"/>
        <v>0</v>
      </c>
      <c r="K54" s="2"/>
      <c r="L54" s="6">
        <f t="shared" si="46"/>
        <v>-214.01</v>
      </c>
      <c r="M54" s="2"/>
      <c r="N54" s="7">
        <f t="shared" si="47"/>
        <v>-1</v>
      </c>
      <c r="O54" s="11"/>
      <c r="P54" s="6">
        <v>226.97</v>
      </c>
      <c r="Q54" s="2"/>
      <c r="R54" s="7">
        <f t="shared" si="48"/>
        <v>0</v>
      </c>
      <c r="S54" s="2"/>
      <c r="T54" s="6">
        <v>1070.05</v>
      </c>
      <c r="U54" s="2"/>
      <c r="V54" s="7">
        <f t="shared" si="49"/>
        <v>5.3901723112230737E-2</v>
      </c>
      <c r="W54" s="2"/>
      <c r="X54" s="6">
        <f t="shared" si="50"/>
        <v>-843.07999999999993</v>
      </c>
      <c r="Y54" s="2"/>
      <c r="Z54" s="7">
        <f t="shared" si="51"/>
        <v>-0.78788841642913876</v>
      </c>
    </row>
    <row r="55" spans="1:26" s="53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collapsed="1" x14ac:dyDescent="0.25">
      <c r="A56" s="10"/>
      <c r="B56" s="29" t="s">
        <v>0</v>
      </c>
      <c r="C56" s="10"/>
      <c r="D56" s="4">
        <f>SUM(OSRRefD25x_0)</f>
        <v>0</v>
      </c>
      <c r="E56" s="4"/>
      <c r="F56" s="12">
        <f t="shared" ref="F56:F57" si="52">IF(D$12=0,0,D56/D$12)</f>
        <v>0</v>
      </c>
      <c r="G56" s="4"/>
      <c r="H56" s="4">
        <f>SUM(OSRRefH25x_0)</f>
        <v>2038.74</v>
      </c>
      <c r="I56" s="4"/>
      <c r="J56" s="12">
        <f t="shared" ref="J56:J57" si="53">IF(H$12=0,0,H56/H$12)</f>
        <v>0</v>
      </c>
      <c r="K56" s="4"/>
      <c r="L56" s="4">
        <f t="shared" ref="L56:L57" si="54">+D56-H56</f>
        <v>-2038.74</v>
      </c>
      <c r="M56" s="4"/>
      <c r="N56" s="12">
        <f t="shared" ref="N56:N57" si="55">IF(H56=0,0,L56/H56)</f>
        <v>-1</v>
      </c>
      <c r="O56" s="10"/>
      <c r="P56" s="4">
        <f>SUM(OSRRefP25x_0)</f>
        <v>0</v>
      </c>
      <c r="Q56" s="4"/>
      <c r="R56" s="12">
        <f t="shared" ref="R56:R57" si="56">IF(P$12=0,0,P56/P$12)</f>
        <v>0</v>
      </c>
      <c r="S56" s="4"/>
      <c r="T56" s="4">
        <f>SUM(OSRRefT25x_0)</f>
        <v>5494.64</v>
      </c>
      <c r="U56" s="4"/>
      <c r="V56" s="12">
        <f t="shared" ref="V56:V57" si="57">IF(T$12=0,0,T56/T$12)</f>
        <v>0.27678198577766228</v>
      </c>
      <c r="W56" s="4"/>
      <c r="X56" s="4">
        <f t="shared" ref="X56:X57" si="58">+P56-T56</f>
        <v>-5494.64</v>
      </c>
      <c r="Y56" s="4"/>
      <c r="Z56" s="12">
        <f t="shared" ref="Z56:Z57" si="59">IF(T56=0,0,X56/T56)</f>
        <v>-1</v>
      </c>
    </row>
    <row r="57" spans="1:26" s="24" customFormat="1" hidden="1" outlineLevel="1" x14ac:dyDescent="0.25">
      <c r="A57" s="44"/>
      <c r="B57" s="11" t="str">
        <f>CONCATENATE("          ", "9150", " - ", "MISC. INCOME")</f>
        <v xml:space="preserve">          9150 - MISC. INCOME</v>
      </c>
      <c r="C57" s="11"/>
      <c r="D57" s="2">
        <f>0</f>
        <v>0</v>
      </c>
      <c r="E57" s="2"/>
      <c r="F57" s="19">
        <f t="shared" si="52"/>
        <v>0</v>
      </c>
      <c r="G57" s="2"/>
      <c r="H57" s="2">
        <f>--2038.74</f>
        <v>2038.74</v>
      </c>
      <c r="I57" s="2"/>
      <c r="J57" s="19">
        <f t="shared" si="53"/>
        <v>0</v>
      </c>
      <c r="K57" s="2"/>
      <c r="L57" s="2">
        <f t="shared" si="54"/>
        <v>-2038.74</v>
      </c>
      <c r="M57" s="2"/>
      <c r="N57" s="19">
        <f t="shared" si="55"/>
        <v>-1</v>
      </c>
      <c r="O57" s="11"/>
      <c r="P57" s="2">
        <f>0</f>
        <v>0</v>
      </c>
      <c r="Q57" s="2"/>
      <c r="R57" s="19">
        <f t="shared" si="56"/>
        <v>0</v>
      </c>
      <c r="S57" s="2"/>
      <c r="T57" s="2">
        <f>--5494.64</f>
        <v>5494.64</v>
      </c>
      <c r="U57" s="2"/>
      <c r="V57" s="19">
        <f t="shared" si="57"/>
        <v>0.27678198577766228</v>
      </c>
      <c r="W57" s="2"/>
      <c r="X57" s="2">
        <f t="shared" si="58"/>
        <v>-5494.64</v>
      </c>
      <c r="Y57" s="2"/>
      <c r="Z57" s="19">
        <f t="shared" si="59"/>
        <v>-1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10"/>
      <c r="B59" s="28" t="s">
        <v>3</v>
      </c>
      <c r="C59" s="28"/>
      <c r="D59" s="20">
        <f>+D19-D21+D56</f>
        <v>-479.29</v>
      </c>
      <c r="E59" s="14"/>
      <c r="F59" s="22">
        <f>IF(D$12=0,0,D59/D$12)</f>
        <v>0</v>
      </c>
      <c r="G59" s="14"/>
      <c r="H59" s="20">
        <f>+H19-H21+H56</f>
        <v>380.71000000000004</v>
      </c>
      <c r="I59" s="14"/>
      <c r="J59" s="22">
        <f>IF(H$12=0,0,H59/H$12)</f>
        <v>0</v>
      </c>
      <c r="K59" s="15"/>
      <c r="L59" s="20">
        <f>+D59-H59</f>
        <v>-860</v>
      </c>
      <c r="M59" s="15"/>
      <c r="N59" s="22">
        <f>IF(H59=0,0,L59/H59)</f>
        <v>-2.2589372488245645</v>
      </c>
      <c r="O59" s="29"/>
      <c r="P59" s="20">
        <f>+P19-P21+P56</f>
        <v>-3297.2999999999997</v>
      </c>
      <c r="Q59" s="14"/>
      <c r="R59" s="22">
        <f>IF(P$12=0,0,P59/P$12)</f>
        <v>0</v>
      </c>
      <c r="S59" s="14"/>
      <c r="T59" s="20">
        <f>+T19-T21+T56</f>
        <v>840.9300000000012</v>
      </c>
      <c r="U59" s="14"/>
      <c r="V59" s="22">
        <f>IF(T$12=0,0,T59/T$12)</f>
        <v>4.2360241125899034E-2</v>
      </c>
      <c r="W59" s="15"/>
      <c r="X59" s="20">
        <f>+P59-T59</f>
        <v>-4138.2300000000014</v>
      </c>
      <c r="Y59" s="15"/>
      <c r="Z59" s="22">
        <f>IF(T59=0,0,X59/T59)</f>
        <v>-4.9210160179800884</v>
      </c>
    </row>
    <row r="60" spans="1:26" x14ac:dyDescent="0.25">
      <c r="A60" s="9"/>
      <c r="B60" s="10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51"/>
      <c r="B61" s="10" t="s">
        <v>13</v>
      </c>
      <c r="C61" s="10"/>
      <c r="D61" s="4"/>
      <c r="E61" s="4"/>
      <c r="F61" s="12">
        <f>IF(D$12=0,0,D61/D$12)</f>
        <v>0</v>
      </c>
      <c r="G61" s="4"/>
      <c r="H61" s="4">
        <v>103.84</v>
      </c>
      <c r="I61" s="4"/>
      <c r="J61" s="12">
        <f>IF(H$12=0,0,H61/H$12)</f>
        <v>0</v>
      </c>
      <c r="K61" s="4"/>
      <c r="L61" s="4">
        <f>+D61-H61</f>
        <v>-103.84</v>
      </c>
      <c r="M61" s="4"/>
      <c r="N61" s="12">
        <f>IF(H61=0,0,L61/H61)</f>
        <v>-1</v>
      </c>
      <c r="O61" s="10"/>
      <c r="P61" s="4"/>
      <c r="Q61" s="4"/>
      <c r="R61" s="12">
        <f>IF(P$12=0,0,P61/P$12)</f>
        <v>0</v>
      </c>
      <c r="S61" s="4"/>
      <c r="T61" s="4">
        <v>2102.1799999999998</v>
      </c>
      <c r="U61" s="4"/>
      <c r="V61" s="12">
        <f>IF(T$12=0,0,T61/T$12)</f>
        <v>0.10589329871694707</v>
      </c>
      <c r="W61" s="4"/>
      <c r="X61" s="4">
        <f>+P61-T61</f>
        <v>-2102.1799999999998</v>
      </c>
      <c r="Y61" s="4"/>
      <c r="Z61" s="12">
        <f>IF(T61=0,0,X61/T61)</f>
        <v>-1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8" t="s">
        <v>4</v>
      </c>
      <c r="C63" s="28"/>
      <c r="D63" s="31">
        <f>+D59-D61</f>
        <v>-479.29</v>
      </c>
      <c r="E63" s="14"/>
      <c r="F63" s="34">
        <f>IF(D$12=0,0,D63/D$12)</f>
        <v>0</v>
      </c>
      <c r="G63" s="14"/>
      <c r="H63" s="31">
        <f>+H59-H61</f>
        <v>276.87</v>
      </c>
      <c r="I63" s="14"/>
      <c r="J63" s="34">
        <f>IF(H$12=0,0,H63/H$12)</f>
        <v>0</v>
      </c>
      <c r="K63" s="15"/>
      <c r="L63" s="31">
        <f>D63-H63</f>
        <v>-756.16000000000008</v>
      </c>
      <c r="M63" s="15"/>
      <c r="N63" s="34">
        <f>IF(H63=0,0,L63/H63)</f>
        <v>-2.7311012388485572</v>
      </c>
      <c r="O63" s="29"/>
      <c r="P63" s="31">
        <f>+P59-P61</f>
        <v>-3297.2999999999997</v>
      </c>
      <c r="Q63" s="14"/>
      <c r="R63" s="34">
        <f>IF(P$12=0,0,P63/P$12)</f>
        <v>0</v>
      </c>
      <c r="S63" s="14"/>
      <c r="T63" s="31">
        <f>+T59-T61</f>
        <v>-1261.2499999999986</v>
      </c>
      <c r="U63" s="14"/>
      <c r="V63" s="34">
        <f>IF(T$12=0,0,T63/T$12)</f>
        <v>-6.3533057591048034E-2</v>
      </c>
      <c r="W63" s="15"/>
      <c r="X63" s="31">
        <f>P63-T63</f>
        <v>-2036.0500000000011</v>
      </c>
      <c r="Y63" s="15"/>
      <c r="Z63" s="34">
        <f>IF(T63=0,0,X63/T63)</f>
        <v>1.6143111992071384</v>
      </c>
    </row>
    <row r="64" spans="1:26" ht="15.75" thickTop="1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8" t="s">
        <v>5</v>
      </c>
      <c r="C66" s="28"/>
      <c r="D66" s="32">
        <f>SUM(D63:D65)</f>
        <v>-479.29</v>
      </c>
      <c r="E66" s="14"/>
      <c r="F66" s="30">
        <f>IF(D$12=0,0,D66/D$12)</f>
        <v>0</v>
      </c>
      <c r="G66" s="14"/>
      <c r="H66" s="32">
        <f>SUM(H63:H65)</f>
        <v>276.87</v>
      </c>
      <c r="I66" s="14"/>
      <c r="J66" s="30">
        <f>IF(H$12=0,0,H66/H$12)</f>
        <v>0</v>
      </c>
      <c r="K66" s="15"/>
      <c r="L66" s="32">
        <f>+D66-H66</f>
        <v>-756.16000000000008</v>
      </c>
      <c r="M66" s="15"/>
      <c r="N66" s="30">
        <f>IF(H66=0,0,L66/H66)</f>
        <v>-2.7311012388485572</v>
      </c>
      <c r="O66" s="29"/>
      <c r="P66" s="32">
        <f>SUM(P63:P65)</f>
        <v>-3297.2999999999997</v>
      </c>
      <c r="Q66" s="14"/>
      <c r="R66" s="30">
        <f>IF(P$12=0,0,P66/P$12)</f>
        <v>0</v>
      </c>
      <c r="S66" s="14"/>
      <c r="T66" s="32">
        <f>SUM(T63:T65)</f>
        <v>-1261.2499999999986</v>
      </c>
      <c r="U66" s="14"/>
      <c r="V66" s="30">
        <f>IF(T$12=0,0,T66/T$12)</f>
        <v>-6.3533057591048034E-2</v>
      </c>
      <c r="W66" s="15"/>
      <c r="X66" s="32">
        <f>+P66-T66</f>
        <v>-2036.0500000000011</v>
      </c>
      <c r="Y66" s="15"/>
      <c r="Z66" s="30">
        <f>IF(T66=0,0,X66/T66)</f>
        <v>1.6143111992071384</v>
      </c>
    </row>
    <row r="67" spans="1:26" ht="15.75" thickTop="1" x14ac:dyDescent="0.25">
      <c r="A67" s="9"/>
      <c r="C67" s="9"/>
      <c r="D67" s="17"/>
      <c r="E67" s="17"/>
      <c r="G67" s="17"/>
      <c r="H67" s="17"/>
      <c r="I67" s="17"/>
      <c r="J67" s="43"/>
      <c r="K67" s="17"/>
      <c r="L67" s="17"/>
      <c r="M67" s="17"/>
      <c r="P67" s="17"/>
      <c r="Q67" s="17"/>
      <c r="R67" s="43"/>
      <c r="S67" s="17"/>
      <c r="T67" s="17"/>
      <c r="U67" s="17"/>
      <c r="V67" s="43"/>
      <c r="W67" s="17"/>
      <c r="X67" s="17"/>
    </row>
    <row r="68" spans="1:26" x14ac:dyDescent="0.25">
      <c r="A68" s="9"/>
      <c r="B68" s="54">
        <v>44174.686137187498</v>
      </c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6" x14ac:dyDescent="0.25">
      <c r="A69" s="9"/>
      <c r="B69" s="56" t="s">
        <v>313</v>
      </c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25">
      <c r="A70" s="9"/>
      <c r="B70" s="61"/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","425", " - ", "Events Center")</f>
        <v>Department 425 - Events Center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32435.55</v>
      </c>
      <c r="I12" s="4"/>
      <c r="J12" s="12"/>
      <c r="K12" s="4"/>
      <c r="L12" s="4">
        <f t="shared" ref="L12:L14" si="0">+D12-H12</f>
        <v>-32435.55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166187.53999999998</v>
      </c>
      <c r="U12" s="4"/>
      <c r="V12" s="12"/>
      <c r="W12" s="4"/>
      <c r="X12" s="4">
        <f t="shared" ref="X12:X14" si="2">+P12-T12</f>
        <v>-166187.53999999998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4" si="4">0</f>
        <v>0</v>
      </c>
      <c r="E13" s="2"/>
      <c r="F13" s="19"/>
      <c r="G13" s="2"/>
      <c r="H13" s="2">
        <f>--22420.87</f>
        <v>22420.87</v>
      </c>
      <c r="I13" s="2"/>
      <c r="J13" s="19"/>
      <c r="K13" s="2"/>
      <c r="L13" s="2">
        <f t="shared" si="0"/>
        <v>-22420.87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--115524.12</f>
        <v>115524.12</v>
      </c>
      <c r="U13" s="2"/>
      <c r="V13" s="19"/>
      <c r="W13" s="2"/>
      <c r="X13" s="2">
        <f t="shared" si="2"/>
        <v>-115524.12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 t="shared" si="4"/>
        <v>0</v>
      </c>
      <c r="E14" s="2"/>
      <c r="F14" s="19"/>
      <c r="G14" s="2"/>
      <c r="H14" s="2">
        <f>--10014.68</f>
        <v>10014.68</v>
      </c>
      <c r="I14" s="2"/>
      <c r="J14" s="19"/>
      <c r="K14" s="2"/>
      <c r="L14" s="2">
        <f t="shared" si="0"/>
        <v>-10014.68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--50663.42</f>
        <v>50663.42</v>
      </c>
      <c r="U14" s="2"/>
      <c r="V14" s="19"/>
      <c r="W14" s="2"/>
      <c r="X14" s="2">
        <f t="shared" si="2"/>
        <v>-50663.42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7758.6299999999992</v>
      </c>
      <c r="I16" s="4"/>
      <c r="J16" s="12">
        <f t="shared" ref="J16:J18" si="7">IF(H$12=0,0,H16/H$12)</f>
        <v>0.23920143176237182</v>
      </c>
      <c r="K16" s="4"/>
      <c r="L16" s="4">
        <f t="shared" ref="L16:L18" si="8">+D16-H16</f>
        <v>-7758.6299999999992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38993.32</v>
      </c>
      <c r="U16" s="4"/>
      <c r="V16" s="12">
        <f t="shared" ref="V16:V18" si="11">IF(T$12=0,0,T16/T$12)</f>
        <v>0.23463443769611131</v>
      </c>
      <c r="W16" s="4"/>
      <c r="X16" s="4">
        <f t="shared" ref="X16:X18" si="12">+P16-T16</f>
        <v>-38993.32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10887.63</v>
      </c>
      <c r="I17" s="2"/>
      <c r="J17" s="19">
        <f t="shared" si="7"/>
        <v>0.33566965875405225</v>
      </c>
      <c r="K17" s="2"/>
      <c r="L17" s="2">
        <f t="shared" si="8"/>
        <v>-10887.63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51542.32</v>
      </c>
      <c r="U17" s="2"/>
      <c r="V17" s="19">
        <f t="shared" si="11"/>
        <v>0.31014551391758977</v>
      </c>
      <c r="W17" s="2"/>
      <c r="X17" s="2">
        <f t="shared" si="12"/>
        <v>-51542.32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-3129</v>
      </c>
      <c r="I18" s="2"/>
      <c r="J18" s="19">
        <f t="shared" si="7"/>
        <v>-9.6468226991680422E-2</v>
      </c>
      <c r="K18" s="2"/>
      <c r="L18" s="2">
        <f t="shared" si="8"/>
        <v>3129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-12549</v>
      </c>
      <c r="U18" s="2"/>
      <c r="V18" s="19">
        <f t="shared" si="11"/>
        <v>-7.5511076221478471E-2</v>
      </c>
      <c r="W18" s="2"/>
      <c r="X18" s="2">
        <f t="shared" si="12"/>
        <v>12549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24676.92</v>
      </c>
      <c r="I20" s="14"/>
      <c r="J20" s="22">
        <f>IF(H$12=0,0,H20/H$12)</f>
        <v>0.76079856823762815</v>
      </c>
      <c r="K20" s="15"/>
      <c r="L20" s="20">
        <f>+D20-H20</f>
        <v>-24676.92</v>
      </c>
      <c r="M20" s="15"/>
      <c r="N20" s="22">
        <f>IF(H20=0,0,L20/H20)</f>
        <v>-1</v>
      </c>
      <c r="O20" s="29"/>
      <c r="P20" s="20">
        <f>P12-P16</f>
        <v>0</v>
      </c>
      <c r="Q20" s="14"/>
      <c r="R20" s="22">
        <f>IF(P$12=0,0,P20/P$12)</f>
        <v>0</v>
      </c>
      <c r="S20" s="14"/>
      <c r="T20" s="20">
        <f>T12-T16</f>
        <v>127194.21999999997</v>
      </c>
      <c r="U20" s="14"/>
      <c r="V20" s="22">
        <f>IF(T$12=0,0,T20/T$12)</f>
        <v>0.76536556230388864</v>
      </c>
      <c r="W20" s="15"/>
      <c r="X20" s="20">
        <f>+P20-T20</f>
        <v>-127194.21999999997</v>
      </c>
      <c r="Y20" s="15"/>
      <c r="Z20" s="22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1462.8899999999999</v>
      </c>
      <c r="E22" s="21"/>
      <c r="F22" s="35">
        <f t="shared" ref="F22:F31" si="14">IF(D$12=0,0,D22/D$12)</f>
        <v>0</v>
      </c>
      <c r="G22" s="21"/>
      <c r="H22" s="21">
        <f>SUM(OSRRefH22x_0)</f>
        <v>26739.890000000007</v>
      </c>
      <c r="I22" s="21"/>
      <c r="J22" s="35">
        <f t="shared" ref="J22:J31" si="15">IF(H$12=0,0,H22/H$12)</f>
        <v>0.82440069614974953</v>
      </c>
      <c r="K22" s="4"/>
      <c r="L22" s="21">
        <f t="shared" ref="L22:L31" si="16">+D22-H22</f>
        <v>-25277.000000000007</v>
      </c>
      <c r="M22" s="4"/>
      <c r="N22" s="35">
        <f t="shared" ref="N22:N31" si="17">IF(H22=0,0,L22/H22)</f>
        <v>-0.94529184675030453</v>
      </c>
      <c r="O22" s="10"/>
      <c r="P22" s="21">
        <f>SUM(OSRRefP22x_0)</f>
        <v>8633.23</v>
      </c>
      <c r="Q22" s="21"/>
      <c r="R22" s="35">
        <f t="shared" ref="R22:R31" si="18">IF(P$12=0,0,P22/P$12)</f>
        <v>0</v>
      </c>
      <c r="S22" s="21"/>
      <c r="T22" s="21">
        <f>SUM(OSRRefT22x_0)</f>
        <v>146359.26</v>
      </c>
      <c r="U22" s="21"/>
      <c r="V22" s="35">
        <f t="shared" ref="V22:V31" si="19">IF(T$12=0,0,T22/T$12)</f>
        <v>0.88068732469353617</v>
      </c>
      <c r="W22" s="4"/>
      <c r="X22" s="21">
        <f t="shared" ref="X22:X31" si="20">+P22-T22</f>
        <v>-137726.03</v>
      </c>
      <c r="Y22" s="4"/>
      <c r="Z22" s="35">
        <f t="shared" ref="Z22:Z31" si="21">IF(T22=0,0,X22/T22)</f>
        <v>-0.94101343502283352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0.75</v>
      </c>
      <c r="E23" s="1"/>
      <c r="F23" s="5">
        <f t="shared" si="14"/>
        <v>0</v>
      </c>
      <c r="G23" s="1"/>
      <c r="H23" s="1">
        <f>SUM(OSRRefH22_0x_0)</f>
        <v>2793.89</v>
      </c>
      <c r="I23" s="1"/>
      <c r="J23" s="5">
        <f t="shared" si="15"/>
        <v>8.6136661780053053E-2</v>
      </c>
      <c r="K23" s="1"/>
      <c r="L23" s="1">
        <f t="shared" si="16"/>
        <v>-2793.14</v>
      </c>
      <c r="M23" s="1"/>
      <c r="N23" s="5">
        <f t="shared" si="17"/>
        <v>-0.99973155707633443</v>
      </c>
      <c r="O23" s="13"/>
      <c r="P23" s="1">
        <f>SUM(OSRRefP22_0x_0)</f>
        <v>1420.5</v>
      </c>
      <c r="Q23" s="1"/>
      <c r="R23" s="5">
        <f t="shared" si="18"/>
        <v>0</v>
      </c>
      <c r="S23" s="1"/>
      <c r="T23" s="1">
        <f>SUM(OSRRefT22_0x_0)</f>
        <v>13783.200000000003</v>
      </c>
      <c r="U23" s="1"/>
      <c r="V23" s="5">
        <f t="shared" si="19"/>
        <v>8.2937625769055875E-2</v>
      </c>
      <c r="W23" s="1"/>
      <c r="X23" s="1">
        <f t="shared" si="20"/>
        <v>-12362.700000000003</v>
      </c>
      <c r="Y23" s="1"/>
      <c r="Z23" s="5">
        <f t="shared" si="21"/>
        <v>-0.89693975274246907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>
        <v>0.75</v>
      </c>
      <c r="E24" s="2"/>
      <c r="F24" s="7">
        <f t="shared" si="14"/>
        <v>0</v>
      </c>
      <c r="G24" s="2"/>
      <c r="H24" s="6">
        <v>596.1</v>
      </c>
      <c r="I24" s="2"/>
      <c r="J24" s="7">
        <f t="shared" si="15"/>
        <v>1.8377983416344106E-2</v>
      </c>
      <c r="K24" s="2"/>
      <c r="L24" s="6">
        <f t="shared" si="16"/>
        <v>-595.35</v>
      </c>
      <c r="M24" s="2"/>
      <c r="N24" s="7">
        <f t="shared" si="17"/>
        <v>-0.9987418218419728</v>
      </c>
      <c r="O24" s="11"/>
      <c r="P24" s="6">
        <v>171.54</v>
      </c>
      <c r="Q24" s="2"/>
      <c r="R24" s="7">
        <f t="shared" si="18"/>
        <v>0</v>
      </c>
      <c r="S24" s="2"/>
      <c r="T24" s="6">
        <v>3633.51</v>
      </c>
      <c r="U24" s="2"/>
      <c r="V24" s="7">
        <f t="shared" si="19"/>
        <v>2.1863913503984721E-2</v>
      </c>
      <c r="W24" s="2"/>
      <c r="X24" s="6">
        <f t="shared" si="20"/>
        <v>-3461.9700000000003</v>
      </c>
      <c r="Y24" s="2"/>
      <c r="Z24" s="7">
        <f t="shared" si="21"/>
        <v>-0.95278945152208194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582.62</v>
      </c>
      <c r="I25" s="2"/>
      <c r="J25" s="7">
        <f t="shared" si="15"/>
        <v>1.796239003192485E-2</v>
      </c>
      <c r="K25" s="2"/>
      <c r="L25" s="6">
        <f t="shared" si="16"/>
        <v>-582.62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1791.56</v>
      </c>
      <c r="U25" s="2"/>
      <c r="V25" s="7">
        <f t="shared" si="19"/>
        <v>1.0780350921615424E-2</v>
      </c>
      <c r="W25" s="2"/>
      <c r="X25" s="6">
        <f t="shared" si="20"/>
        <v>-1791.56</v>
      </c>
      <c r="Y25" s="2"/>
      <c r="Z25" s="7">
        <f t="shared" si="21"/>
        <v>-1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698.2</v>
      </c>
      <c r="I26" s="2"/>
      <c r="J26" s="7">
        <f t="shared" si="15"/>
        <v>2.1525764169252566E-2</v>
      </c>
      <c r="K26" s="2"/>
      <c r="L26" s="6">
        <f t="shared" si="16"/>
        <v>-698.2</v>
      </c>
      <c r="M26" s="2"/>
      <c r="N26" s="7">
        <f t="shared" si="17"/>
        <v>-1</v>
      </c>
      <c r="O26" s="11"/>
      <c r="P26" s="6">
        <v>699.3</v>
      </c>
      <c r="Q26" s="2"/>
      <c r="R26" s="7">
        <f t="shared" si="18"/>
        <v>0</v>
      </c>
      <c r="S26" s="2"/>
      <c r="T26" s="6">
        <v>3491</v>
      </c>
      <c r="U26" s="2"/>
      <c r="V26" s="7">
        <f t="shared" si="19"/>
        <v>2.1006388324900895E-2</v>
      </c>
      <c r="W26" s="2"/>
      <c r="X26" s="6">
        <f t="shared" si="20"/>
        <v>-2791.7</v>
      </c>
      <c r="Y26" s="2"/>
      <c r="Z26" s="7">
        <f t="shared" si="21"/>
        <v>-0.79968490403895731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39.04</v>
      </c>
      <c r="I27" s="2"/>
      <c r="J27" s="7">
        <f t="shared" si="15"/>
        <v>1.2036176355881124E-3</v>
      </c>
      <c r="K27" s="2"/>
      <c r="L27" s="6">
        <f t="shared" si="16"/>
        <v>-39.04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193.51</v>
      </c>
      <c r="U27" s="2"/>
      <c r="V27" s="7">
        <f t="shared" si="19"/>
        <v>1.1644073917936328E-3</v>
      </c>
      <c r="W27" s="2"/>
      <c r="X27" s="6">
        <f t="shared" si="20"/>
        <v>-193.51</v>
      </c>
      <c r="Y27" s="2"/>
      <c r="Z27" s="7">
        <f t="shared" si="21"/>
        <v>-1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320.99</v>
      </c>
      <c r="I28" s="2"/>
      <c r="J28" s="7">
        <f t="shared" si="15"/>
        <v>9.8962403905591238E-3</v>
      </c>
      <c r="K28" s="2"/>
      <c r="L28" s="6">
        <f t="shared" si="16"/>
        <v>-320.99</v>
      </c>
      <c r="M28" s="2"/>
      <c r="N28" s="7">
        <f t="shared" si="17"/>
        <v>-1</v>
      </c>
      <c r="O28" s="11"/>
      <c r="P28" s="6">
        <v>355.22</v>
      </c>
      <c r="Q28" s="2"/>
      <c r="R28" s="7">
        <f t="shared" si="18"/>
        <v>0</v>
      </c>
      <c r="S28" s="2"/>
      <c r="T28" s="6">
        <v>1604.95</v>
      </c>
      <c r="U28" s="2"/>
      <c r="V28" s="7">
        <f t="shared" si="19"/>
        <v>9.6574628880119421E-3</v>
      </c>
      <c r="W28" s="2"/>
      <c r="X28" s="6">
        <f t="shared" si="20"/>
        <v>-1249.73</v>
      </c>
      <c r="Y28" s="2"/>
      <c r="Z28" s="7">
        <f t="shared" si="21"/>
        <v>-0.77867223277983733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176.92</v>
      </c>
      <c r="I29" s="2"/>
      <c r="J29" s="7">
        <f t="shared" si="15"/>
        <v>5.454509018653915E-3</v>
      </c>
      <c r="K29" s="2"/>
      <c r="L29" s="6">
        <f t="shared" si="16"/>
        <v>-176.92</v>
      </c>
      <c r="M29" s="2"/>
      <c r="N29" s="7">
        <f t="shared" si="17"/>
        <v>-1</v>
      </c>
      <c r="O29" s="11"/>
      <c r="P29" s="6">
        <v>88.46</v>
      </c>
      <c r="Q29" s="2"/>
      <c r="R29" s="7">
        <f t="shared" si="18"/>
        <v>0</v>
      </c>
      <c r="S29" s="2"/>
      <c r="T29" s="6">
        <v>999.36</v>
      </c>
      <c r="U29" s="2"/>
      <c r="V29" s="7">
        <f t="shared" si="19"/>
        <v>6.0134472175230472E-3</v>
      </c>
      <c r="W29" s="2"/>
      <c r="X29" s="6">
        <f t="shared" si="20"/>
        <v>-910.9</v>
      </c>
      <c r="Y29" s="2"/>
      <c r="Z29" s="7">
        <f t="shared" si="21"/>
        <v>-0.91148334934357989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211.96</v>
      </c>
      <c r="I30" s="2"/>
      <c r="J30" s="7">
        <f t="shared" si="15"/>
        <v>6.5348051751858687E-3</v>
      </c>
      <c r="K30" s="2"/>
      <c r="L30" s="6">
        <f t="shared" si="16"/>
        <v>-211.96</v>
      </c>
      <c r="M30" s="2"/>
      <c r="N30" s="7">
        <f t="shared" si="17"/>
        <v>-1</v>
      </c>
      <c r="O30" s="11"/>
      <c r="P30" s="6">
        <v>105.98</v>
      </c>
      <c r="Q30" s="2"/>
      <c r="R30" s="7">
        <f t="shared" si="18"/>
        <v>0</v>
      </c>
      <c r="S30" s="2"/>
      <c r="T30" s="6">
        <v>1259.6199999999999</v>
      </c>
      <c r="U30" s="2"/>
      <c r="V30" s="7">
        <f t="shared" si="19"/>
        <v>7.5795092700692247E-3</v>
      </c>
      <c r="W30" s="2"/>
      <c r="X30" s="6">
        <f t="shared" si="20"/>
        <v>-1153.6399999999999</v>
      </c>
      <c r="Y30" s="2"/>
      <c r="Z30" s="7">
        <f t="shared" si="21"/>
        <v>-0.91586351439322966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168.06</v>
      </c>
      <c r="I31" s="2"/>
      <c r="J31" s="7">
        <f t="shared" si="15"/>
        <v>5.1813519425445232E-3</v>
      </c>
      <c r="K31" s="2"/>
      <c r="L31" s="6">
        <f t="shared" si="16"/>
        <v>-168.06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809.69</v>
      </c>
      <c r="U31" s="2"/>
      <c r="V31" s="7">
        <f t="shared" si="19"/>
        <v>4.8721462511569771E-3</v>
      </c>
      <c r="W31" s="2"/>
      <c r="X31" s="6">
        <f t="shared" si="20"/>
        <v>-809.69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12691.39</v>
      </c>
      <c r="I32" s="1"/>
      <c r="J32" s="5">
        <f t="shared" ref="J32:J37" si="23">IF(H$12=0,0,H32/H$12)</f>
        <v>0.39128024651963661</v>
      </c>
      <c r="K32" s="1"/>
      <c r="L32" s="1">
        <f t="shared" ref="L32:L37" si="24">+D32-H32</f>
        <v>-12691.39</v>
      </c>
      <c r="M32" s="1"/>
      <c r="N32" s="5">
        <f t="shared" ref="N32:N37" si="25">IF(H32=0,0,L32/H32)</f>
        <v>-1</v>
      </c>
      <c r="O32" s="13"/>
      <c r="P32" s="1">
        <f>SUM(OSRRefP22_1x_0)</f>
        <v>1378.61</v>
      </c>
      <c r="Q32" s="1"/>
      <c r="R32" s="5">
        <f t="shared" ref="R32:R37" si="26">IF(P$12=0,0,P32/P$12)</f>
        <v>0</v>
      </c>
      <c r="S32" s="1"/>
      <c r="T32" s="1">
        <f>SUM(OSRRefT22_1x_0)</f>
        <v>58256.31</v>
      </c>
      <c r="U32" s="1"/>
      <c r="V32" s="5">
        <f t="shared" ref="V32:V37" si="27">IF(T$12=0,0,T32/T$12)</f>
        <v>0.35054559445311007</v>
      </c>
      <c r="W32" s="1"/>
      <c r="X32" s="1">
        <f t="shared" ref="X32:X37" si="28">+P32-T32</f>
        <v>-56877.7</v>
      </c>
      <c r="Y32" s="1"/>
      <c r="Z32" s="5">
        <f t="shared" ref="Z32:Z37" si="29">IF(T32=0,0,X32/T32)</f>
        <v>-0.97633543902797826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4595.38</v>
      </c>
      <c r="I33" s="2"/>
      <c r="J33" s="7">
        <f t="shared" si="23"/>
        <v>0.14167726460627306</v>
      </c>
      <c r="K33" s="2"/>
      <c r="L33" s="6">
        <f t="shared" si="24"/>
        <v>-4595.38</v>
      </c>
      <c r="M33" s="2"/>
      <c r="N33" s="7">
        <f t="shared" si="25"/>
        <v>-1</v>
      </c>
      <c r="O33" s="11"/>
      <c r="P33" s="6">
        <v>1378.61</v>
      </c>
      <c r="Q33" s="2"/>
      <c r="R33" s="7">
        <f t="shared" si="26"/>
        <v>0</v>
      </c>
      <c r="S33" s="2"/>
      <c r="T33" s="6">
        <v>24585.279999999999</v>
      </c>
      <c r="U33" s="2"/>
      <c r="V33" s="7">
        <f t="shared" si="27"/>
        <v>0.1479369632645143</v>
      </c>
      <c r="W33" s="2"/>
      <c r="X33" s="6">
        <f t="shared" si="28"/>
        <v>-23206.67</v>
      </c>
      <c r="Y33" s="2"/>
      <c r="Z33" s="7">
        <f t="shared" si="29"/>
        <v>-0.94392538950136018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>
        <v>3250.02</v>
      </c>
      <c r="I34" s="2"/>
      <c r="J34" s="7">
        <f t="shared" si="23"/>
        <v>0.10019931834052452</v>
      </c>
      <c r="K34" s="2"/>
      <c r="L34" s="6">
        <f t="shared" si="24"/>
        <v>-3250.02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13199.71</v>
      </c>
      <c r="U34" s="2"/>
      <c r="V34" s="7">
        <f t="shared" si="27"/>
        <v>7.9426592390741207E-2</v>
      </c>
      <c r="W34" s="2"/>
      <c r="X34" s="6">
        <f t="shared" si="28"/>
        <v>-13199.71</v>
      </c>
      <c r="Y34" s="2"/>
      <c r="Z34" s="7">
        <f t="shared" si="29"/>
        <v>-1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2"/>
        <v>0</v>
      </c>
      <c r="G35" s="2"/>
      <c r="H35" s="6"/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303.38</v>
      </c>
      <c r="U35" s="2"/>
      <c r="V35" s="7">
        <f t="shared" si="27"/>
        <v>1.8255279547431777E-3</v>
      </c>
      <c r="W35" s="2"/>
      <c r="X35" s="6">
        <f t="shared" si="28"/>
        <v>-303.38</v>
      </c>
      <c r="Y35" s="2"/>
      <c r="Z35" s="7">
        <f t="shared" si="29"/>
        <v>-1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2"/>
        <v>0</v>
      </c>
      <c r="G36" s="2"/>
      <c r="H36" s="6">
        <v>4185.99</v>
      </c>
      <c r="I36" s="2"/>
      <c r="J36" s="7">
        <f t="shared" si="23"/>
        <v>0.12905561952857281</v>
      </c>
      <c r="K36" s="2"/>
      <c r="L36" s="6">
        <f t="shared" si="24"/>
        <v>-4185.99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17602.939999999999</v>
      </c>
      <c r="U36" s="2"/>
      <c r="V36" s="7">
        <f t="shared" si="27"/>
        <v>0.10592214073329445</v>
      </c>
      <c r="W36" s="2"/>
      <c r="X36" s="6">
        <f t="shared" si="28"/>
        <v>-17602.939999999999</v>
      </c>
      <c r="Y36" s="2"/>
      <c r="Z36" s="7">
        <f t="shared" si="29"/>
        <v>-1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2"/>
        <v>0</v>
      </c>
      <c r="G37" s="2"/>
      <c r="H37" s="6">
        <v>660</v>
      </c>
      <c r="I37" s="2"/>
      <c r="J37" s="7">
        <f t="shared" si="23"/>
        <v>2.0348044044266246E-2</v>
      </c>
      <c r="K37" s="2"/>
      <c r="L37" s="6">
        <f t="shared" si="24"/>
        <v>-660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2565</v>
      </c>
      <c r="U37" s="2"/>
      <c r="V37" s="7">
        <f t="shared" si="27"/>
        <v>1.54343701098169E-2</v>
      </c>
      <c r="W37" s="2"/>
      <c r="X37" s="6">
        <f t="shared" si="28"/>
        <v>-2565</v>
      </c>
      <c r="Y37" s="2"/>
      <c r="Z37" s="7">
        <f t="shared" si="29"/>
        <v>-1</v>
      </c>
    </row>
    <row r="38" spans="1:26" s="26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5" si="30">IF(D$12=0,0,D38/D$12)</f>
        <v>0</v>
      </c>
      <c r="G38" s="1"/>
      <c r="H38" s="1">
        <f>SUM(OSRRefH22_2x_0)</f>
        <v>703.28</v>
      </c>
      <c r="I38" s="1"/>
      <c r="J38" s="5">
        <f t="shared" ref="J38:J55" si="31">IF(H$12=0,0,H38/H$12)</f>
        <v>2.1682382447653886E-2</v>
      </c>
      <c r="K38" s="1"/>
      <c r="L38" s="1">
        <f t="shared" ref="L38:L55" si="32">+D38-H38</f>
        <v>-703.28</v>
      </c>
      <c r="M38" s="1"/>
      <c r="N38" s="5">
        <f t="shared" ref="N38:N55" si="33">IF(H38=0,0,L38/H38)</f>
        <v>-1</v>
      </c>
      <c r="O38" s="13"/>
      <c r="P38" s="1">
        <f>SUM(OSRRefP22_2x_0)</f>
        <v>0</v>
      </c>
      <c r="Q38" s="1"/>
      <c r="R38" s="5">
        <f t="shared" ref="R38:R55" si="34">IF(P$12=0,0,P38/P$12)</f>
        <v>0</v>
      </c>
      <c r="S38" s="1"/>
      <c r="T38" s="1">
        <f>SUM(OSRRefT22_2x_0)</f>
        <v>1773.24</v>
      </c>
      <c r="U38" s="1"/>
      <c r="V38" s="5">
        <f t="shared" ref="V38:V55" si="35">IF(T$12=0,0,T38/T$12)</f>
        <v>1.0670114016971431E-2</v>
      </c>
      <c r="W38" s="1"/>
      <c r="X38" s="1">
        <f t="shared" ref="X38:X55" si="36">+P38-T38</f>
        <v>-1773.24</v>
      </c>
      <c r="Y38" s="1"/>
      <c r="Z38" s="5">
        <f t="shared" ref="Z38:Z55" si="37">IF(T38=0,0,X38/T38)</f>
        <v>-1</v>
      </c>
    </row>
    <row r="39" spans="1:26" s="24" customFormat="1" hidden="1" outlineLevel="2" x14ac:dyDescent="0.25">
      <c r="A39" s="25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30"/>
        <v>0</v>
      </c>
      <c r="G39" s="2"/>
      <c r="H39" s="6">
        <v>703.28</v>
      </c>
      <c r="I39" s="2"/>
      <c r="J39" s="7">
        <f t="shared" si="31"/>
        <v>2.1682382447653886E-2</v>
      </c>
      <c r="K39" s="2"/>
      <c r="L39" s="6">
        <f t="shared" si="32"/>
        <v>-703.28</v>
      </c>
      <c r="M39" s="2"/>
      <c r="N39" s="7">
        <f t="shared" si="33"/>
        <v>-1</v>
      </c>
      <c r="O39" s="11"/>
      <c r="P39" s="6"/>
      <c r="Q39" s="2"/>
      <c r="R39" s="7">
        <f t="shared" si="34"/>
        <v>0</v>
      </c>
      <c r="S39" s="2"/>
      <c r="T39" s="6">
        <v>1773.24</v>
      </c>
      <c r="U39" s="2"/>
      <c r="V39" s="7">
        <f t="shared" si="35"/>
        <v>1.0670114016971431E-2</v>
      </c>
      <c r="W39" s="2"/>
      <c r="X39" s="6">
        <f t="shared" si="36"/>
        <v>-1773.24</v>
      </c>
      <c r="Y39" s="2"/>
      <c r="Z39" s="7">
        <f t="shared" si="37"/>
        <v>-1</v>
      </c>
    </row>
    <row r="40" spans="1:26" s="26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-12.58</v>
      </c>
      <c r="I40" s="1"/>
      <c r="J40" s="5">
        <f t="shared" si="31"/>
        <v>-3.8784605163162027E-4</v>
      </c>
      <c r="K40" s="1"/>
      <c r="L40" s="1">
        <f t="shared" si="32"/>
        <v>12.58</v>
      </c>
      <c r="M40" s="1"/>
      <c r="N40" s="5">
        <f t="shared" si="33"/>
        <v>-1</v>
      </c>
      <c r="O40" s="13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2.06</v>
      </c>
      <c r="U40" s="1"/>
      <c r="V40" s="5">
        <f t="shared" si="35"/>
        <v>1.2395634474160941E-5</v>
      </c>
      <c r="W40" s="1"/>
      <c r="X40" s="1">
        <f t="shared" si="36"/>
        <v>-2.06</v>
      </c>
      <c r="Y40" s="1"/>
      <c r="Z40" s="5">
        <f t="shared" si="37"/>
        <v>-1</v>
      </c>
    </row>
    <row r="41" spans="1:26" s="24" customFormat="1" hidden="1" outlineLevel="2" x14ac:dyDescent="0.25">
      <c r="A41" s="25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30"/>
        <v>0</v>
      </c>
      <c r="G41" s="2"/>
      <c r="H41" s="6">
        <v>-12.58</v>
      </c>
      <c r="I41" s="2"/>
      <c r="J41" s="7">
        <f t="shared" si="31"/>
        <v>-3.8784605163162027E-4</v>
      </c>
      <c r="K41" s="2"/>
      <c r="L41" s="6">
        <f t="shared" si="32"/>
        <v>12.58</v>
      </c>
      <c r="M41" s="2"/>
      <c r="N41" s="7">
        <f t="shared" si="33"/>
        <v>-1</v>
      </c>
      <c r="O41" s="11"/>
      <c r="P41" s="6"/>
      <c r="Q41" s="2"/>
      <c r="R41" s="7">
        <f t="shared" si="34"/>
        <v>0</v>
      </c>
      <c r="S41" s="2"/>
      <c r="T41" s="6">
        <v>2.06</v>
      </c>
      <c r="U41" s="2"/>
      <c r="V41" s="7">
        <f t="shared" si="35"/>
        <v>1.2395634474160941E-5</v>
      </c>
      <c r="W41" s="2"/>
      <c r="X41" s="6">
        <f t="shared" si="36"/>
        <v>-2.06</v>
      </c>
      <c r="Y41" s="2"/>
      <c r="Z41" s="7">
        <f t="shared" si="37"/>
        <v>-1</v>
      </c>
    </row>
    <row r="42" spans="1:26" s="26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1073.4100000000001</v>
      </c>
      <c r="I42" s="1"/>
      <c r="J42" s="5">
        <f t="shared" si="31"/>
        <v>3.3093627208417929E-2</v>
      </c>
      <c r="K42" s="1"/>
      <c r="L42" s="1">
        <f t="shared" si="32"/>
        <v>-1073.4100000000001</v>
      </c>
      <c r="M42" s="1"/>
      <c r="N42" s="5">
        <f t="shared" si="33"/>
        <v>-1</v>
      </c>
      <c r="O42" s="13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4012.16</v>
      </c>
      <c r="U42" s="1"/>
      <c r="V42" s="5">
        <f t="shared" si="35"/>
        <v>2.4142363500897844E-2</v>
      </c>
      <c r="W42" s="1"/>
      <c r="X42" s="1">
        <f t="shared" si="36"/>
        <v>-4012.16</v>
      </c>
      <c r="Y42" s="1"/>
      <c r="Z42" s="5">
        <f t="shared" si="37"/>
        <v>-1</v>
      </c>
    </row>
    <row r="43" spans="1:26" s="24" customFormat="1" hidden="1" outlineLevel="2" x14ac:dyDescent="0.25">
      <c r="A43" s="25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30"/>
        <v>0</v>
      </c>
      <c r="G43" s="2"/>
      <c r="H43" s="6">
        <v>1073.4100000000001</v>
      </c>
      <c r="I43" s="2"/>
      <c r="J43" s="7">
        <f t="shared" si="31"/>
        <v>3.3093627208417929E-2</v>
      </c>
      <c r="K43" s="2"/>
      <c r="L43" s="6">
        <f t="shared" si="32"/>
        <v>-1073.4100000000001</v>
      </c>
      <c r="M43" s="2"/>
      <c r="N43" s="7">
        <f t="shared" si="33"/>
        <v>-1</v>
      </c>
      <c r="O43" s="11"/>
      <c r="P43" s="6"/>
      <c r="Q43" s="2"/>
      <c r="R43" s="7">
        <f t="shared" si="34"/>
        <v>0</v>
      </c>
      <c r="S43" s="2"/>
      <c r="T43" s="6">
        <v>4012.16</v>
      </c>
      <c r="U43" s="2"/>
      <c r="V43" s="7">
        <f t="shared" si="35"/>
        <v>2.4142363500897844E-2</v>
      </c>
      <c r="W43" s="2"/>
      <c r="X43" s="6">
        <f t="shared" si="36"/>
        <v>-4012.16</v>
      </c>
      <c r="Y43" s="2"/>
      <c r="Z43" s="7">
        <f t="shared" si="37"/>
        <v>-1</v>
      </c>
    </row>
    <row r="44" spans="1:26" s="26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1000.91</v>
      </c>
      <c r="E44" s="1"/>
      <c r="F44" s="5">
        <f t="shared" si="30"/>
        <v>0</v>
      </c>
      <c r="G44" s="1"/>
      <c r="H44" s="1">
        <f>SUM(OSRRefH22_5x_0)</f>
        <v>255.35</v>
      </c>
      <c r="I44" s="1"/>
      <c r="J44" s="5">
        <f t="shared" si="31"/>
        <v>7.8725349192475536E-3</v>
      </c>
      <c r="K44" s="1"/>
      <c r="L44" s="1">
        <f t="shared" si="32"/>
        <v>745.56</v>
      </c>
      <c r="M44" s="1"/>
      <c r="N44" s="5">
        <f t="shared" si="33"/>
        <v>2.9197571960054827</v>
      </c>
      <c r="O44" s="13"/>
      <c r="P44" s="1">
        <f>SUM(OSRRefP22_5x_0)</f>
        <v>5004.55</v>
      </c>
      <c r="Q44" s="1"/>
      <c r="R44" s="5">
        <f t="shared" si="34"/>
        <v>0</v>
      </c>
      <c r="S44" s="1"/>
      <c r="T44" s="1">
        <f>SUM(OSRRefT22_5x_0)</f>
        <v>1276.75</v>
      </c>
      <c r="U44" s="1"/>
      <c r="V44" s="5">
        <f t="shared" si="35"/>
        <v>7.6825855897499906E-3</v>
      </c>
      <c r="W44" s="1"/>
      <c r="X44" s="1">
        <f t="shared" si="36"/>
        <v>3727.8</v>
      </c>
      <c r="Y44" s="1"/>
      <c r="Z44" s="5">
        <f t="shared" si="37"/>
        <v>2.9197571960054827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1000.91</v>
      </c>
      <c r="E45" s="2"/>
      <c r="F45" s="7">
        <f t="shared" si="30"/>
        <v>0</v>
      </c>
      <c r="G45" s="2"/>
      <c r="H45" s="6">
        <v>255.35</v>
      </c>
      <c r="I45" s="2"/>
      <c r="J45" s="7">
        <f t="shared" si="31"/>
        <v>7.8725349192475536E-3</v>
      </c>
      <c r="K45" s="2"/>
      <c r="L45" s="6">
        <f t="shared" si="32"/>
        <v>745.56</v>
      </c>
      <c r="M45" s="2"/>
      <c r="N45" s="7">
        <f t="shared" si="33"/>
        <v>2.9197571960054827</v>
      </c>
      <c r="O45" s="11"/>
      <c r="P45" s="6">
        <v>5004.55</v>
      </c>
      <c r="Q45" s="2"/>
      <c r="R45" s="7">
        <f t="shared" si="34"/>
        <v>0</v>
      </c>
      <c r="S45" s="2"/>
      <c r="T45" s="6">
        <v>1276.75</v>
      </c>
      <c r="U45" s="2"/>
      <c r="V45" s="7">
        <f t="shared" si="35"/>
        <v>7.6825855897499906E-3</v>
      </c>
      <c r="W45" s="2"/>
      <c r="X45" s="6">
        <f t="shared" si="36"/>
        <v>3727.8</v>
      </c>
      <c r="Y45" s="2"/>
      <c r="Z45" s="7">
        <f t="shared" si="37"/>
        <v>2.9197571960054827</v>
      </c>
    </row>
    <row r="46" spans="1:26" s="26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0</v>
      </c>
      <c r="I46" s="1"/>
      <c r="J46" s="5">
        <f t="shared" si="31"/>
        <v>0</v>
      </c>
      <c r="K46" s="1"/>
      <c r="L46" s="1">
        <f t="shared" si="32"/>
        <v>0</v>
      </c>
      <c r="M46" s="1"/>
      <c r="N46" s="5">
        <f t="shared" si="33"/>
        <v>0</v>
      </c>
      <c r="O46" s="13"/>
      <c r="P46" s="1">
        <f>SUM(OSRRefP22_6x_0)</f>
        <v>0</v>
      </c>
      <c r="Q46" s="1"/>
      <c r="R46" s="5">
        <f t="shared" si="34"/>
        <v>0</v>
      </c>
      <c r="S46" s="1"/>
      <c r="T46" s="1">
        <f>SUM(OSRRefT22_6x_0)</f>
        <v>88.6</v>
      </c>
      <c r="U46" s="1"/>
      <c r="V46" s="5">
        <f t="shared" si="35"/>
        <v>5.3313262835468899E-4</v>
      </c>
      <c r="W46" s="1"/>
      <c r="X46" s="1">
        <f t="shared" si="36"/>
        <v>-88.6</v>
      </c>
      <c r="Y46" s="1"/>
      <c r="Z46" s="5">
        <f t="shared" si="37"/>
        <v>-1</v>
      </c>
    </row>
    <row r="47" spans="1:26" s="24" customFormat="1" hidden="1" outlineLevel="2" x14ac:dyDescent="0.25">
      <c r="A47" s="25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30"/>
        <v>0</v>
      </c>
      <c r="G47" s="2"/>
      <c r="H47" s="6"/>
      <c r="I47" s="2"/>
      <c r="J47" s="7">
        <f t="shared" si="31"/>
        <v>0</v>
      </c>
      <c r="K47" s="2"/>
      <c r="L47" s="6">
        <f t="shared" si="32"/>
        <v>0</v>
      </c>
      <c r="M47" s="2"/>
      <c r="N47" s="7">
        <f t="shared" si="33"/>
        <v>0</v>
      </c>
      <c r="O47" s="11"/>
      <c r="P47" s="6"/>
      <c r="Q47" s="2"/>
      <c r="R47" s="7">
        <f t="shared" si="34"/>
        <v>0</v>
      </c>
      <c r="S47" s="2"/>
      <c r="T47" s="6">
        <v>88.6</v>
      </c>
      <c r="U47" s="2"/>
      <c r="V47" s="7">
        <f t="shared" si="35"/>
        <v>5.3313262835468899E-4</v>
      </c>
      <c r="W47" s="2"/>
      <c r="X47" s="6">
        <f t="shared" si="36"/>
        <v>-88.6</v>
      </c>
      <c r="Y47" s="2"/>
      <c r="Z47" s="7">
        <f t="shared" si="37"/>
        <v>-1</v>
      </c>
    </row>
    <row r="48" spans="1:26" s="26" customFormat="1" outlineLevel="1" collapsed="1" x14ac:dyDescent="0.25">
      <c r="A48" s="27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0</v>
      </c>
      <c r="I48" s="1"/>
      <c r="J48" s="5">
        <f t="shared" si="31"/>
        <v>0</v>
      </c>
      <c r="K48" s="1"/>
      <c r="L48" s="1">
        <f t="shared" si="32"/>
        <v>0</v>
      </c>
      <c r="M48" s="1"/>
      <c r="N48" s="5">
        <f t="shared" si="33"/>
        <v>0</v>
      </c>
      <c r="O48" s="13"/>
      <c r="P48" s="1">
        <f>SUM(OSRRefP22_7x_0)</f>
        <v>0</v>
      </c>
      <c r="Q48" s="1"/>
      <c r="R48" s="5">
        <f t="shared" si="34"/>
        <v>0</v>
      </c>
      <c r="S48" s="1"/>
      <c r="T48" s="1">
        <f>SUM(OSRRefT22_7x_0)</f>
        <v>350</v>
      </c>
      <c r="U48" s="1"/>
      <c r="V48" s="5">
        <f t="shared" si="35"/>
        <v>2.1060544009496745E-3</v>
      </c>
      <c r="W48" s="1"/>
      <c r="X48" s="1">
        <f t="shared" si="36"/>
        <v>-350</v>
      </c>
      <c r="Y48" s="1"/>
      <c r="Z48" s="5">
        <f t="shared" si="37"/>
        <v>-1</v>
      </c>
    </row>
    <row r="49" spans="1:26" s="24" customFormat="1" hidden="1" outlineLevel="2" x14ac:dyDescent="0.25">
      <c r="A49" s="25"/>
      <c r="B49" s="11" t="str">
        <f>CONCATENATE("          ", "6351", " - ", "EQUIPMENT RENTAL")</f>
        <v xml:space="preserve">          6351 - EQUIPMENT RENTAL</v>
      </c>
      <c r="C49" s="11"/>
      <c r="D49" s="6"/>
      <c r="E49" s="2"/>
      <c r="F49" s="7">
        <f t="shared" si="30"/>
        <v>0</v>
      </c>
      <c r="G49" s="2"/>
      <c r="H49" s="6"/>
      <c r="I49" s="2"/>
      <c r="J49" s="7">
        <f t="shared" si="31"/>
        <v>0</v>
      </c>
      <c r="K49" s="2"/>
      <c r="L49" s="6">
        <f t="shared" si="32"/>
        <v>0</v>
      </c>
      <c r="M49" s="2"/>
      <c r="N49" s="7">
        <f t="shared" si="33"/>
        <v>0</v>
      </c>
      <c r="O49" s="11"/>
      <c r="P49" s="6"/>
      <c r="Q49" s="2"/>
      <c r="R49" s="7">
        <f t="shared" si="34"/>
        <v>0</v>
      </c>
      <c r="S49" s="2"/>
      <c r="T49" s="6">
        <v>350</v>
      </c>
      <c r="U49" s="2"/>
      <c r="V49" s="7">
        <f t="shared" si="35"/>
        <v>2.1060544009496745E-3</v>
      </c>
      <c r="W49" s="2"/>
      <c r="X49" s="6">
        <f t="shared" si="36"/>
        <v>-350</v>
      </c>
      <c r="Y49" s="2"/>
      <c r="Z49" s="7">
        <f t="shared" si="37"/>
        <v>-1</v>
      </c>
    </row>
    <row r="50" spans="1:26" s="26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455</v>
      </c>
      <c r="E50" s="1"/>
      <c r="F50" s="5">
        <f t="shared" si="30"/>
        <v>0</v>
      </c>
      <c r="G50" s="1"/>
      <c r="H50" s="1">
        <f>SUM(OSRRefH22_8x_0)</f>
        <v>322.36</v>
      </c>
      <c r="I50" s="1"/>
      <c r="J50" s="5">
        <f t="shared" si="31"/>
        <v>9.9384779971358594E-3</v>
      </c>
      <c r="K50" s="1"/>
      <c r="L50" s="1">
        <f t="shared" si="32"/>
        <v>132.63999999999999</v>
      </c>
      <c r="M50" s="1"/>
      <c r="N50" s="5">
        <f t="shared" si="33"/>
        <v>0.41146544236257593</v>
      </c>
      <c r="O50" s="13"/>
      <c r="P50" s="1">
        <f>SUM(OSRRefP22_8x_0)</f>
        <v>455</v>
      </c>
      <c r="Q50" s="1"/>
      <c r="R50" s="5">
        <f t="shared" si="34"/>
        <v>0</v>
      </c>
      <c r="S50" s="1"/>
      <c r="T50" s="1">
        <f>SUM(OSRRefT22_8x_0)</f>
        <v>11540.85</v>
      </c>
      <c r="U50" s="1"/>
      <c r="V50" s="5">
        <f t="shared" si="35"/>
        <v>6.9444736952000138E-2</v>
      </c>
      <c r="W50" s="1"/>
      <c r="X50" s="1">
        <f t="shared" si="36"/>
        <v>-11085.85</v>
      </c>
      <c r="Y50" s="1"/>
      <c r="Z50" s="5">
        <f t="shared" si="37"/>
        <v>-0.96057482767733748</v>
      </c>
    </row>
    <row r="51" spans="1:26" s="24" customFormat="1" hidden="1" outlineLevel="2" x14ac:dyDescent="0.25">
      <c r="A51" s="25"/>
      <c r="B51" s="11" t="str">
        <f>CONCATENATE("          ", "6279", " - ", "GENERAL EXPENSE")</f>
        <v xml:space="preserve">          6279 - GENERAL EXPENSE</v>
      </c>
      <c r="C51" s="11"/>
      <c r="D51" s="6">
        <v>455</v>
      </c>
      <c r="E51" s="2"/>
      <c r="F51" s="7">
        <f t="shared" si="30"/>
        <v>0</v>
      </c>
      <c r="G51" s="2"/>
      <c r="H51" s="6">
        <v>322.36</v>
      </c>
      <c r="I51" s="2"/>
      <c r="J51" s="7">
        <f t="shared" si="31"/>
        <v>9.9384779971358594E-3</v>
      </c>
      <c r="K51" s="2"/>
      <c r="L51" s="6">
        <f t="shared" si="32"/>
        <v>132.63999999999999</v>
      </c>
      <c r="M51" s="2"/>
      <c r="N51" s="7">
        <f t="shared" si="33"/>
        <v>0.41146544236257593</v>
      </c>
      <c r="O51" s="11"/>
      <c r="P51" s="6">
        <v>455</v>
      </c>
      <c r="Q51" s="2"/>
      <c r="R51" s="7">
        <f t="shared" si="34"/>
        <v>0</v>
      </c>
      <c r="S51" s="2"/>
      <c r="T51" s="6">
        <v>11540.85</v>
      </c>
      <c r="U51" s="2"/>
      <c r="V51" s="7">
        <f t="shared" si="35"/>
        <v>6.9444736952000138E-2</v>
      </c>
      <c r="W51" s="2"/>
      <c r="X51" s="6">
        <f t="shared" si="36"/>
        <v>-11085.85</v>
      </c>
      <c r="Y51" s="2"/>
      <c r="Z51" s="7">
        <f t="shared" si="37"/>
        <v>-0.96057482767733748</v>
      </c>
    </row>
    <row r="52" spans="1:26" s="26" customFormat="1" outlineLevel="1" collapsed="1" x14ac:dyDescent="0.25">
      <c r="A52" s="27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6.23</v>
      </c>
      <c r="E52" s="1"/>
      <c r="F52" s="5">
        <f t="shared" si="30"/>
        <v>0</v>
      </c>
      <c r="G52" s="1"/>
      <c r="H52" s="1">
        <f>SUM(OSRRefH22_9x_0)</f>
        <v>0</v>
      </c>
      <c r="I52" s="1"/>
      <c r="J52" s="5">
        <f t="shared" si="31"/>
        <v>0</v>
      </c>
      <c r="K52" s="1"/>
      <c r="L52" s="1">
        <f t="shared" si="32"/>
        <v>6.23</v>
      </c>
      <c r="M52" s="1"/>
      <c r="N52" s="5">
        <f t="shared" si="33"/>
        <v>0</v>
      </c>
      <c r="O52" s="13"/>
      <c r="P52" s="1">
        <f>SUM(OSRRefP22_9x_0)</f>
        <v>242.03</v>
      </c>
      <c r="Q52" s="1"/>
      <c r="R52" s="5">
        <f t="shared" si="34"/>
        <v>0</v>
      </c>
      <c r="S52" s="1"/>
      <c r="T52" s="1">
        <f>SUM(OSRRefT22_9x_0)</f>
        <v>4808.05</v>
      </c>
      <c r="U52" s="1"/>
      <c r="V52" s="5">
        <f t="shared" si="35"/>
        <v>2.8931471035674519E-2</v>
      </c>
      <c r="W52" s="1"/>
      <c r="X52" s="1">
        <f t="shared" si="36"/>
        <v>-4566.0200000000004</v>
      </c>
      <c r="Y52" s="1"/>
      <c r="Z52" s="5">
        <f t="shared" si="37"/>
        <v>-0.94966150518401438</v>
      </c>
    </row>
    <row r="53" spans="1:26" s="24" customFormat="1" hidden="1" outlineLevel="2" x14ac:dyDescent="0.25">
      <c r="A53" s="25"/>
      <c r="B53" s="11" t="str">
        <f>CONCATENATE("          ", "6371", " - ", "COMPUTER SOFTWARE MAINTENANCE")</f>
        <v xml:space="preserve">          6371 - COMPUTER SOFTWARE MAINTENANCE</v>
      </c>
      <c r="C53" s="11"/>
      <c r="D53" s="6"/>
      <c r="E53" s="2"/>
      <c r="F53" s="7">
        <f t="shared" si="30"/>
        <v>0</v>
      </c>
      <c r="G53" s="2"/>
      <c r="H53" s="6"/>
      <c r="I53" s="2"/>
      <c r="J53" s="7">
        <f t="shared" si="31"/>
        <v>0</v>
      </c>
      <c r="K53" s="2"/>
      <c r="L53" s="6">
        <f t="shared" si="32"/>
        <v>0</v>
      </c>
      <c r="M53" s="2"/>
      <c r="N53" s="7">
        <f t="shared" si="33"/>
        <v>0</v>
      </c>
      <c r="O53" s="11"/>
      <c r="P53" s="6"/>
      <c r="Q53" s="2"/>
      <c r="R53" s="7">
        <f t="shared" si="34"/>
        <v>0</v>
      </c>
      <c r="S53" s="2"/>
      <c r="T53" s="6">
        <v>2623.84</v>
      </c>
      <c r="U53" s="2"/>
      <c r="V53" s="7">
        <f t="shared" si="35"/>
        <v>1.5788427941107984E-2</v>
      </c>
      <c r="W53" s="2"/>
      <c r="X53" s="6">
        <f t="shared" si="36"/>
        <v>-2623.84</v>
      </c>
      <c r="Y53" s="2"/>
      <c r="Z53" s="7">
        <f t="shared" si="37"/>
        <v>-1</v>
      </c>
    </row>
    <row r="54" spans="1:26" s="24" customFormat="1" hidden="1" outlineLevel="2" x14ac:dyDescent="0.25">
      <c r="A54" s="25"/>
      <c r="B54" s="11" t="str">
        <f>CONCATENATE("          ", "6373", " - ", "MAINTENANCE CONTRACTS")</f>
        <v xml:space="preserve">          6373 - MAINTENANCE CONTRACTS</v>
      </c>
      <c r="C54" s="11"/>
      <c r="D54" s="6"/>
      <c r="E54" s="2"/>
      <c r="F54" s="7">
        <f t="shared" si="30"/>
        <v>0</v>
      </c>
      <c r="G54" s="2"/>
      <c r="H54" s="6"/>
      <c r="I54" s="2"/>
      <c r="J54" s="7">
        <f t="shared" si="31"/>
        <v>0</v>
      </c>
      <c r="K54" s="2"/>
      <c r="L54" s="6">
        <f t="shared" si="32"/>
        <v>0</v>
      </c>
      <c r="M54" s="2"/>
      <c r="N54" s="7">
        <f t="shared" si="33"/>
        <v>0</v>
      </c>
      <c r="O54" s="11"/>
      <c r="P54" s="6">
        <v>235.8</v>
      </c>
      <c r="Q54" s="2"/>
      <c r="R54" s="7">
        <f t="shared" si="34"/>
        <v>0</v>
      </c>
      <c r="S54" s="2"/>
      <c r="T54" s="6"/>
      <c r="U54" s="2"/>
      <c r="V54" s="7">
        <f t="shared" si="35"/>
        <v>0</v>
      </c>
      <c r="W54" s="2"/>
      <c r="X54" s="6">
        <f t="shared" si="36"/>
        <v>235.8</v>
      </c>
      <c r="Y54" s="2"/>
      <c r="Z54" s="7">
        <f t="shared" si="37"/>
        <v>0</v>
      </c>
    </row>
    <row r="55" spans="1:26" s="24" customFormat="1" hidden="1" outlineLevel="2" x14ac:dyDescent="0.25">
      <c r="A55" s="25"/>
      <c r="B55" s="11" t="str">
        <f>CONCATENATE("          ", "6375", " - ", "OUTSIDE REPAIRS &amp; MAINTENANCE")</f>
        <v xml:space="preserve">          6375 - OUTSIDE REPAIRS &amp; MAINTENANCE</v>
      </c>
      <c r="C55" s="11"/>
      <c r="D55" s="6">
        <v>6.23</v>
      </c>
      <c r="E55" s="2"/>
      <c r="F55" s="7">
        <f t="shared" si="30"/>
        <v>0</v>
      </c>
      <c r="G55" s="2"/>
      <c r="H55" s="6"/>
      <c r="I55" s="2"/>
      <c r="J55" s="7">
        <f t="shared" si="31"/>
        <v>0</v>
      </c>
      <c r="K55" s="2"/>
      <c r="L55" s="6">
        <f t="shared" si="32"/>
        <v>6.23</v>
      </c>
      <c r="M55" s="2"/>
      <c r="N55" s="7">
        <f t="shared" si="33"/>
        <v>0</v>
      </c>
      <c r="O55" s="11"/>
      <c r="P55" s="6">
        <v>6.23</v>
      </c>
      <c r="Q55" s="2"/>
      <c r="R55" s="7">
        <f t="shared" si="34"/>
        <v>0</v>
      </c>
      <c r="S55" s="2"/>
      <c r="T55" s="6">
        <v>2184.21</v>
      </c>
      <c r="U55" s="2"/>
      <c r="V55" s="7">
        <f t="shared" si="35"/>
        <v>1.3143043094566539E-2</v>
      </c>
      <c r="W55" s="2"/>
      <c r="X55" s="6">
        <f t="shared" si="36"/>
        <v>-2177.98</v>
      </c>
      <c r="Y55" s="2"/>
      <c r="Z55" s="7">
        <f t="shared" si="37"/>
        <v>-0.99714771015607473</v>
      </c>
    </row>
    <row r="56" spans="1:26" s="26" customFormat="1" outlineLevel="1" collapsed="1" x14ac:dyDescent="0.25">
      <c r="A56" s="27"/>
      <c r="B56" s="13" t="str">
        <f>CONCATENATE("     ","Royalty &amp; Commissions                             ")</f>
        <v xml:space="preserve">     Royalty &amp; Commissions                             </v>
      </c>
      <c r="C56" s="13"/>
      <c r="D56" s="1">
        <f>SUM(OSRRefD22_10x_0)</f>
        <v>0</v>
      </c>
      <c r="E56" s="1"/>
      <c r="F56" s="5">
        <f t="shared" ref="F56:F60" si="38">IF(D$12=0,0,D56/D$12)</f>
        <v>0</v>
      </c>
      <c r="G56" s="1"/>
      <c r="H56" s="1">
        <f>SUM(OSRRefH22_10x_0)</f>
        <v>6987.84</v>
      </c>
      <c r="I56" s="1"/>
      <c r="J56" s="5">
        <f t="shared" ref="J56:J60" si="39">IF(H$12=0,0,H56/H$12)</f>
        <v>0.21543769105194763</v>
      </c>
      <c r="K56" s="1"/>
      <c r="L56" s="1">
        <f t="shared" ref="L56:L60" si="40">+D56-H56</f>
        <v>-6987.84</v>
      </c>
      <c r="M56" s="1"/>
      <c r="N56" s="5">
        <f t="shared" ref="N56:N60" si="41">IF(H56=0,0,L56/H56)</f>
        <v>-1</v>
      </c>
      <c r="O56" s="13"/>
      <c r="P56" s="1">
        <f>SUM(OSRRefP22_10x_0)</f>
        <v>0</v>
      </c>
      <c r="Q56" s="1"/>
      <c r="R56" s="5">
        <f t="shared" ref="R56:R60" si="42">IF(P$12=0,0,P56/P$12)</f>
        <v>0</v>
      </c>
      <c r="S56" s="1"/>
      <c r="T56" s="1">
        <f>SUM(OSRRefT22_10x_0)</f>
        <v>35997.53</v>
      </c>
      <c r="U56" s="1"/>
      <c r="V56" s="5">
        <f t="shared" ref="V56:V60" si="43">IF(T$12=0,0,T56/T$12)</f>
        <v>0.21660787565662265</v>
      </c>
      <c r="W56" s="1"/>
      <c r="X56" s="1">
        <f t="shared" ref="X56:X60" si="44">+P56-T56</f>
        <v>-35997.53</v>
      </c>
      <c r="Y56" s="1"/>
      <c r="Z56" s="5">
        <f t="shared" ref="Z56:Z60" si="45">IF(T56=0,0,X56/T56)</f>
        <v>-1</v>
      </c>
    </row>
    <row r="57" spans="1:26" s="24" customFormat="1" hidden="1" outlineLevel="2" x14ac:dyDescent="0.25">
      <c r="A57" s="25"/>
      <c r="B57" s="11" t="str">
        <f>CONCATENATE("          ", "6254", " - ", "ROYALTY &amp; COMMISSIONS")</f>
        <v xml:space="preserve">          6254 - ROYALTY &amp; COMMISSIONS</v>
      </c>
      <c r="C57" s="11"/>
      <c r="D57" s="6"/>
      <c r="E57" s="2"/>
      <c r="F57" s="7">
        <f t="shared" si="38"/>
        <v>0</v>
      </c>
      <c r="G57" s="2"/>
      <c r="H57" s="6">
        <v>6987.84</v>
      </c>
      <c r="I57" s="2"/>
      <c r="J57" s="7">
        <f t="shared" si="39"/>
        <v>0.21543769105194763</v>
      </c>
      <c r="K57" s="2"/>
      <c r="L57" s="6">
        <f t="shared" si="40"/>
        <v>-6987.84</v>
      </c>
      <c r="M57" s="2"/>
      <c r="N57" s="7">
        <f t="shared" si="41"/>
        <v>-1</v>
      </c>
      <c r="O57" s="11"/>
      <c r="P57" s="6"/>
      <c r="Q57" s="2"/>
      <c r="R57" s="7">
        <f t="shared" si="42"/>
        <v>0</v>
      </c>
      <c r="S57" s="2"/>
      <c r="T57" s="6">
        <v>35997.53</v>
      </c>
      <c r="U57" s="2"/>
      <c r="V57" s="7">
        <f t="shared" si="43"/>
        <v>0.21660787565662265</v>
      </c>
      <c r="W57" s="2"/>
      <c r="X57" s="6">
        <f t="shared" si="44"/>
        <v>-35997.53</v>
      </c>
      <c r="Y57" s="2"/>
      <c r="Z57" s="7">
        <f t="shared" si="45"/>
        <v>-1</v>
      </c>
    </row>
    <row r="58" spans="1:26" s="26" customFormat="1" outlineLevel="1" collapsed="1" x14ac:dyDescent="0.25">
      <c r="A58" s="27"/>
      <c r="B58" s="13" t="str">
        <f>CONCATENATE("     ","Services                                          ")</f>
        <v xml:space="preserve">     Services                                          </v>
      </c>
      <c r="C58" s="13"/>
      <c r="D58" s="1">
        <f>SUM(OSRRefD22_11x_0)</f>
        <v>0</v>
      </c>
      <c r="E58" s="1"/>
      <c r="F58" s="5">
        <f t="shared" si="38"/>
        <v>0</v>
      </c>
      <c r="G58" s="1"/>
      <c r="H58" s="1">
        <f>SUM(OSRRefH22_11x_0)</f>
        <v>274.56</v>
      </c>
      <c r="I58" s="1"/>
      <c r="J58" s="5">
        <f t="shared" si="39"/>
        <v>8.4647863224147583E-3</v>
      </c>
      <c r="K58" s="1"/>
      <c r="L58" s="1">
        <f t="shared" si="40"/>
        <v>-274.56</v>
      </c>
      <c r="M58" s="1"/>
      <c r="N58" s="5">
        <f t="shared" si="41"/>
        <v>-1</v>
      </c>
      <c r="O58" s="13"/>
      <c r="P58" s="1">
        <f>SUM(OSRRefP22_11x_0)</f>
        <v>0</v>
      </c>
      <c r="Q58" s="1"/>
      <c r="R58" s="5">
        <f t="shared" si="42"/>
        <v>0</v>
      </c>
      <c r="S58" s="1"/>
      <c r="T58" s="1">
        <f>SUM(OSRRefT22_11x_0)</f>
        <v>1380.9099999999999</v>
      </c>
      <c r="U58" s="1"/>
      <c r="V58" s="5">
        <f t="shared" si="43"/>
        <v>8.309347379472613E-3</v>
      </c>
      <c r="W58" s="1"/>
      <c r="X58" s="1">
        <f t="shared" si="44"/>
        <v>-1380.9099999999999</v>
      </c>
      <c r="Y58" s="1"/>
      <c r="Z58" s="5">
        <f t="shared" si="45"/>
        <v>-1</v>
      </c>
    </row>
    <row r="59" spans="1:26" s="24" customFormat="1" hidden="1" outlineLevel="2" x14ac:dyDescent="0.25">
      <c r="A59" s="25"/>
      <c r="B59" s="11" t="str">
        <f>CONCATENATE("          ", "6282", " - ", "JANITORIAL/EXTERMINATOR EXPENS")</f>
        <v xml:space="preserve">          6282 - JANITORIAL/EXTERMINATOR EXPENS</v>
      </c>
      <c r="C59" s="11"/>
      <c r="D59" s="6"/>
      <c r="E59" s="2"/>
      <c r="F59" s="7">
        <f t="shared" si="38"/>
        <v>0</v>
      </c>
      <c r="G59" s="2"/>
      <c r="H59" s="6">
        <v>225.81</v>
      </c>
      <c r="I59" s="2"/>
      <c r="J59" s="7">
        <f t="shared" si="39"/>
        <v>6.9618057964178194E-3</v>
      </c>
      <c r="K59" s="2"/>
      <c r="L59" s="6">
        <f t="shared" si="40"/>
        <v>-225.81</v>
      </c>
      <c r="M59" s="2"/>
      <c r="N59" s="7">
        <f t="shared" si="41"/>
        <v>-1</v>
      </c>
      <c r="O59" s="11"/>
      <c r="P59" s="6"/>
      <c r="Q59" s="2"/>
      <c r="R59" s="7">
        <f t="shared" si="42"/>
        <v>0</v>
      </c>
      <c r="S59" s="2"/>
      <c r="T59" s="6">
        <v>1129.05</v>
      </c>
      <c r="U59" s="2"/>
      <c r="V59" s="7">
        <f t="shared" si="43"/>
        <v>6.7938306325492281E-3</v>
      </c>
      <c r="W59" s="2"/>
      <c r="X59" s="6">
        <f t="shared" si="44"/>
        <v>-1129.05</v>
      </c>
      <c r="Y59" s="2"/>
      <c r="Z59" s="7">
        <f t="shared" si="45"/>
        <v>-1</v>
      </c>
    </row>
    <row r="60" spans="1:26" s="24" customFormat="1" hidden="1" outlineLevel="2" x14ac:dyDescent="0.25">
      <c r="A60" s="25"/>
      <c r="B60" s="11" t="str">
        <f>CONCATENATE("          ", "6286", " - ", "LAUNDRY EXPENSE")</f>
        <v xml:space="preserve">          6286 - LAUNDRY EXPENSE</v>
      </c>
      <c r="C60" s="11"/>
      <c r="D60" s="6"/>
      <c r="E60" s="2"/>
      <c r="F60" s="7">
        <f t="shared" si="38"/>
        <v>0</v>
      </c>
      <c r="G60" s="2"/>
      <c r="H60" s="6">
        <v>48.75</v>
      </c>
      <c r="I60" s="2"/>
      <c r="J60" s="7">
        <f t="shared" si="39"/>
        <v>1.5029805259969386E-3</v>
      </c>
      <c r="K60" s="2"/>
      <c r="L60" s="6">
        <f t="shared" si="40"/>
        <v>-48.75</v>
      </c>
      <c r="M60" s="2"/>
      <c r="N60" s="7">
        <f t="shared" si="41"/>
        <v>-1</v>
      </c>
      <c r="O60" s="11"/>
      <c r="P60" s="6"/>
      <c r="Q60" s="2"/>
      <c r="R60" s="7">
        <f t="shared" si="42"/>
        <v>0</v>
      </c>
      <c r="S60" s="2"/>
      <c r="T60" s="6">
        <v>251.86</v>
      </c>
      <c r="U60" s="2"/>
      <c r="V60" s="7">
        <f t="shared" si="43"/>
        <v>1.5155167469233857E-3</v>
      </c>
      <c r="W60" s="2"/>
      <c r="X60" s="6">
        <f t="shared" si="44"/>
        <v>-251.86</v>
      </c>
      <c r="Y60" s="2"/>
      <c r="Z60" s="7">
        <f t="shared" si="45"/>
        <v>-1</v>
      </c>
    </row>
    <row r="61" spans="1:26" s="26" customFormat="1" outlineLevel="1" collapsed="1" x14ac:dyDescent="0.25">
      <c r="A61" s="27"/>
      <c r="B61" s="13" t="str">
        <f>CONCATENATE("     ","Supplies                                          ")</f>
        <v xml:space="preserve">     Supplies                                          </v>
      </c>
      <c r="C61" s="13"/>
      <c r="D61" s="1">
        <f>SUM(OSRRefD22_12x_0)</f>
        <v>0</v>
      </c>
      <c r="E61" s="1"/>
      <c r="F61" s="5">
        <f t="shared" ref="F61:F68" si="46">IF(D$12=0,0,D61/D$12)</f>
        <v>0</v>
      </c>
      <c r="G61" s="1"/>
      <c r="H61" s="1">
        <f>SUM(OSRRefH22_12x_0)</f>
        <v>1338.21</v>
      </c>
      <c r="I61" s="1"/>
      <c r="J61" s="5">
        <f t="shared" ref="J61:J68" si="47">IF(H$12=0,0,H61/H$12)</f>
        <v>4.1257509121935654E-2</v>
      </c>
      <c r="K61" s="1"/>
      <c r="L61" s="1">
        <f t="shared" ref="L61:L68" si="48">+D61-H61</f>
        <v>-1338.21</v>
      </c>
      <c r="M61" s="1"/>
      <c r="N61" s="5">
        <f t="shared" ref="N61:N68" si="49">IF(H61=0,0,L61/H61)</f>
        <v>-1</v>
      </c>
      <c r="O61" s="13"/>
      <c r="P61" s="1">
        <f>SUM(OSRRefP22_12x_0)</f>
        <v>0</v>
      </c>
      <c r="Q61" s="1"/>
      <c r="R61" s="5">
        <f t="shared" ref="R61:R68" si="50">IF(P$12=0,0,P61/P$12)</f>
        <v>0</v>
      </c>
      <c r="S61" s="1"/>
      <c r="T61" s="1">
        <f>SUM(OSRRefT22_12x_0)</f>
        <v>11302.230000000001</v>
      </c>
      <c r="U61" s="1"/>
      <c r="V61" s="5">
        <f t="shared" ref="V61:V68" si="51">IF(T$12=0,0,T61/T$12)</f>
        <v>6.8008889234415545E-2</v>
      </c>
      <c r="W61" s="1"/>
      <c r="X61" s="1">
        <f t="shared" ref="X61:X68" si="52">+P61-T61</f>
        <v>-11302.230000000001</v>
      </c>
      <c r="Y61" s="1"/>
      <c r="Z61" s="5">
        <f t="shared" ref="Z61:Z68" si="53">IF(T61=0,0,X61/T61)</f>
        <v>-1</v>
      </c>
    </row>
    <row r="62" spans="1:26" s="24" customFormat="1" hidden="1" outlineLevel="2" x14ac:dyDescent="0.25">
      <c r="A62" s="25"/>
      <c r="B62" s="11" t="str">
        <f>CONCATENATE("          ", "6234", " - ", "EXPENDABLE SUPPLIES &amp; EQUIPMEN")</f>
        <v xml:space="preserve">          6234 - EXPENDABLE SUPPLIES &amp; EQUIPMEN</v>
      </c>
      <c r="C62" s="11"/>
      <c r="D62" s="6"/>
      <c r="E62" s="2"/>
      <c r="F62" s="7">
        <f t="shared" si="46"/>
        <v>0</v>
      </c>
      <c r="G62" s="2"/>
      <c r="H62" s="6"/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1"/>
      <c r="P62" s="6"/>
      <c r="Q62" s="2"/>
      <c r="R62" s="7">
        <f t="shared" si="50"/>
        <v>0</v>
      </c>
      <c r="S62" s="2"/>
      <c r="T62" s="6">
        <v>3756.46</v>
      </c>
      <c r="U62" s="2"/>
      <c r="V62" s="7">
        <f t="shared" si="51"/>
        <v>2.2603740328546895E-2</v>
      </c>
      <c r="W62" s="2"/>
      <c r="X62" s="6">
        <f t="shared" si="52"/>
        <v>-3756.46</v>
      </c>
      <c r="Y62" s="2"/>
      <c r="Z62" s="7">
        <f t="shared" si="53"/>
        <v>-1</v>
      </c>
    </row>
    <row r="63" spans="1:26" s="24" customFormat="1" hidden="1" outlineLevel="2" x14ac:dyDescent="0.25">
      <c r="A63" s="25"/>
      <c r="B63" s="11" t="str">
        <f>CONCATENATE("          ", "6237", " - ", "JANITORIAL SUPPLIES")</f>
        <v xml:space="preserve">          6237 - JANITORIAL SUPPLIES</v>
      </c>
      <c r="C63" s="11"/>
      <c r="D63" s="6"/>
      <c r="E63" s="2"/>
      <c r="F63" s="7">
        <f t="shared" si="46"/>
        <v>0</v>
      </c>
      <c r="G63" s="2"/>
      <c r="H63" s="6">
        <v>101.38</v>
      </c>
      <c r="I63" s="2"/>
      <c r="J63" s="7">
        <f t="shared" si="47"/>
        <v>3.1255828866783514E-3</v>
      </c>
      <c r="K63" s="2"/>
      <c r="L63" s="6">
        <f t="shared" si="48"/>
        <v>-101.38</v>
      </c>
      <c r="M63" s="2"/>
      <c r="N63" s="7">
        <f t="shared" si="49"/>
        <v>-1</v>
      </c>
      <c r="O63" s="11"/>
      <c r="P63" s="6"/>
      <c r="Q63" s="2"/>
      <c r="R63" s="7">
        <f t="shared" si="50"/>
        <v>0</v>
      </c>
      <c r="S63" s="2"/>
      <c r="T63" s="6">
        <v>341.94</v>
      </c>
      <c r="U63" s="2"/>
      <c r="V63" s="7">
        <f t="shared" si="51"/>
        <v>2.0575549767449476E-3</v>
      </c>
      <c r="W63" s="2"/>
      <c r="X63" s="6">
        <f t="shared" si="52"/>
        <v>-341.94</v>
      </c>
      <c r="Y63" s="2"/>
      <c r="Z63" s="7">
        <f t="shared" si="53"/>
        <v>-1</v>
      </c>
    </row>
    <row r="64" spans="1:26" s="24" customFormat="1" hidden="1" outlineLevel="2" x14ac:dyDescent="0.25">
      <c r="A64" s="25"/>
      <c r="B64" s="11" t="str">
        <f>CONCATENATE("          ", "6239", " - ", "KITCHEN SUPPLIES")</f>
        <v xml:space="preserve">          6239 - KITCHEN SUPPLIES</v>
      </c>
      <c r="C64" s="11"/>
      <c r="D64" s="6"/>
      <c r="E64" s="2"/>
      <c r="F64" s="7">
        <f t="shared" si="46"/>
        <v>0</v>
      </c>
      <c r="G64" s="2"/>
      <c r="H64" s="6">
        <v>699.28</v>
      </c>
      <c r="I64" s="2"/>
      <c r="J64" s="7">
        <f t="shared" si="47"/>
        <v>2.1559060968597728E-2</v>
      </c>
      <c r="K64" s="2"/>
      <c r="L64" s="6">
        <f t="shared" si="48"/>
        <v>-699.28</v>
      </c>
      <c r="M64" s="2"/>
      <c r="N64" s="7">
        <f t="shared" si="49"/>
        <v>-1</v>
      </c>
      <c r="O64" s="11"/>
      <c r="P64" s="6"/>
      <c r="Q64" s="2"/>
      <c r="R64" s="7">
        <f t="shared" si="50"/>
        <v>0</v>
      </c>
      <c r="S64" s="2"/>
      <c r="T64" s="6">
        <v>4533.28</v>
      </c>
      <c r="U64" s="2"/>
      <c r="V64" s="7">
        <f t="shared" si="51"/>
        <v>2.7278097984963254E-2</v>
      </c>
      <c r="W64" s="2"/>
      <c r="X64" s="6">
        <f t="shared" si="52"/>
        <v>-4533.28</v>
      </c>
      <c r="Y64" s="2"/>
      <c r="Z64" s="7">
        <f t="shared" si="53"/>
        <v>-1</v>
      </c>
    </row>
    <row r="65" spans="1:26" s="24" customFormat="1" hidden="1" outlineLevel="2" x14ac:dyDescent="0.25">
      <c r="A65" s="25"/>
      <c r="B65" s="11" t="str">
        <f>CONCATENATE("          ", "6241", " - ", "OFFICE EXPENSE")</f>
        <v xml:space="preserve">          6241 - OFFICE EXPENSE</v>
      </c>
      <c r="C65" s="11"/>
      <c r="D65" s="6"/>
      <c r="E65" s="2"/>
      <c r="F65" s="7">
        <f t="shared" si="46"/>
        <v>0</v>
      </c>
      <c r="G65" s="2"/>
      <c r="H65" s="6">
        <v>85.97</v>
      </c>
      <c r="I65" s="2"/>
      <c r="J65" s="7">
        <f t="shared" si="47"/>
        <v>2.6504868886144985E-3</v>
      </c>
      <c r="K65" s="2"/>
      <c r="L65" s="6">
        <f t="shared" si="48"/>
        <v>-85.97</v>
      </c>
      <c r="M65" s="2"/>
      <c r="N65" s="7">
        <f t="shared" si="49"/>
        <v>-1</v>
      </c>
      <c r="O65" s="11"/>
      <c r="P65" s="6"/>
      <c r="Q65" s="2"/>
      <c r="R65" s="7">
        <f t="shared" si="50"/>
        <v>0</v>
      </c>
      <c r="S65" s="2"/>
      <c r="T65" s="6">
        <v>599.88</v>
      </c>
      <c r="U65" s="2"/>
      <c r="V65" s="7">
        <f t="shared" si="51"/>
        <v>3.6096568972619732E-3</v>
      </c>
      <c r="W65" s="2"/>
      <c r="X65" s="6">
        <f t="shared" si="52"/>
        <v>-599.88</v>
      </c>
      <c r="Y65" s="2"/>
      <c r="Z65" s="7">
        <f t="shared" si="53"/>
        <v>-1</v>
      </c>
    </row>
    <row r="66" spans="1:26" s="24" customFormat="1" hidden="1" outlineLevel="2" x14ac:dyDescent="0.25">
      <c r="A66" s="25"/>
      <c r="B66" s="11" t="str">
        <f>CONCATENATE("          ", "6243", " - ", "PAPER SUPPLIES")</f>
        <v xml:space="preserve">          6243 - PAPER SUPPLIES</v>
      </c>
      <c r="C66" s="11"/>
      <c r="D66" s="6"/>
      <c r="E66" s="2"/>
      <c r="F66" s="7">
        <f t="shared" si="46"/>
        <v>0</v>
      </c>
      <c r="G66" s="2"/>
      <c r="H66" s="6">
        <v>406.38</v>
      </c>
      <c r="I66" s="2"/>
      <c r="J66" s="7">
        <f t="shared" si="47"/>
        <v>1.252884566471048E-2</v>
      </c>
      <c r="K66" s="2"/>
      <c r="L66" s="6">
        <f t="shared" si="48"/>
        <v>-406.38</v>
      </c>
      <c r="M66" s="2"/>
      <c r="N66" s="7">
        <f t="shared" si="49"/>
        <v>-1</v>
      </c>
      <c r="O66" s="11"/>
      <c r="P66" s="6"/>
      <c r="Q66" s="2"/>
      <c r="R66" s="7">
        <f t="shared" si="50"/>
        <v>0</v>
      </c>
      <c r="S66" s="2"/>
      <c r="T66" s="6">
        <v>1571.03</v>
      </c>
      <c r="U66" s="2"/>
      <c r="V66" s="7">
        <f t="shared" si="51"/>
        <v>9.4533561300684764E-3</v>
      </c>
      <c r="W66" s="2"/>
      <c r="X66" s="6">
        <f t="shared" si="52"/>
        <v>-1571.03</v>
      </c>
      <c r="Y66" s="2"/>
      <c r="Z66" s="7">
        <f t="shared" si="53"/>
        <v>-1</v>
      </c>
    </row>
    <row r="67" spans="1:26" s="24" customFormat="1" hidden="1" outlineLevel="2" x14ac:dyDescent="0.25">
      <c r="A67" s="25"/>
      <c r="B67" s="11" t="str">
        <f>CONCATENATE("          ", "6247", " - ", "STORE SUPPLIES")</f>
        <v xml:space="preserve">          6247 - STORE SUPPLIES</v>
      </c>
      <c r="C67" s="11"/>
      <c r="D67" s="6"/>
      <c r="E67" s="2"/>
      <c r="F67" s="7">
        <f t="shared" si="46"/>
        <v>0</v>
      </c>
      <c r="G67" s="2"/>
      <c r="H67" s="6">
        <v>45.2</v>
      </c>
      <c r="I67" s="2"/>
      <c r="J67" s="7">
        <f t="shared" si="47"/>
        <v>1.3935327133345974E-3</v>
      </c>
      <c r="K67" s="2"/>
      <c r="L67" s="6">
        <f t="shared" si="48"/>
        <v>-45.2</v>
      </c>
      <c r="M67" s="2"/>
      <c r="N67" s="7">
        <f t="shared" si="49"/>
        <v>-1</v>
      </c>
      <c r="O67" s="11"/>
      <c r="P67" s="6"/>
      <c r="Q67" s="2"/>
      <c r="R67" s="7">
        <f t="shared" si="50"/>
        <v>0</v>
      </c>
      <c r="S67" s="2"/>
      <c r="T67" s="6">
        <v>45.2</v>
      </c>
      <c r="U67" s="2"/>
      <c r="V67" s="7">
        <f t="shared" si="51"/>
        <v>2.7198188263692939E-4</v>
      </c>
      <c r="W67" s="2"/>
      <c r="X67" s="6">
        <f t="shared" si="52"/>
        <v>-45.2</v>
      </c>
      <c r="Y67" s="2"/>
      <c r="Z67" s="7">
        <f t="shared" si="53"/>
        <v>-1</v>
      </c>
    </row>
    <row r="68" spans="1:26" s="24" customFormat="1" hidden="1" outlineLevel="2" x14ac:dyDescent="0.25">
      <c r="A68" s="25"/>
      <c r="B68" s="11" t="str">
        <f>CONCATENATE("          ", "6248", " - ", "UNIFORMS")</f>
        <v xml:space="preserve">          6248 - UNIFORMS</v>
      </c>
      <c r="C68" s="11"/>
      <c r="D68" s="6"/>
      <c r="E68" s="2"/>
      <c r="F68" s="7">
        <f t="shared" si="46"/>
        <v>0</v>
      </c>
      <c r="G68" s="2"/>
      <c r="H68" s="6"/>
      <c r="I68" s="2"/>
      <c r="J68" s="7">
        <f t="shared" si="47"/>
        <v>0</v>
      </c>
      <c r="K68" s="2"/>
      <c r="L68" s="6">
        <f t="shared" si="48"/>
        <v>0</v>
      </c>
      <c r="M68" s="2"/>
      <c r="N68" s="7">
        <f t="shared" si="49"/>
        <v>0</v>
      </c>
      <c r="O68" s="11"/>
      <c r="P68" s="6"/>
      <c r="Q68" s="2"/>
      <c r="R68" s="7">
        <f t="shared" si="50"/>
        <v>0</v>
      </c>
      <c r="S68" s="2"/>
      <c r="T68" s="6">
        <v>454.44</v>
      </c>
      <c r="U68" s="2"/>
      <c r="V68" s="7">
        <f t="shared" si="51"/>
        <v>2.7345010341930571E-3</v>
      </c>
      <c r="W68" s="2"/>
      <c r="X68" s="6">
        <f t="shared" si="52"/>
        <v>-454.44</v>
      </c>
      <c r="Y68" s="2"/>
      <c r="Z68" s="7">
        <f t="shared" si="53"/>
        <v>-1</v>
      </c>
    </row>
    <row r="69" spans="1:26" s="26" customFormat="1" outlineLevel="1" collapsed="1" x14ac:dyDescent="0.25">
      <c r="A69" s="27"/>
      <c r="B69" s="13" t="str">
        <f>CONCATENATE("     ","Telephone/Data Lines                              ")</f>
        <v xml:space="preserve">     Telephone/Data Lines                              </v>
      </c>
      <c r="C69" s="13"/>
      <c r="D69" s="1">
        <f>SUM(OSRRefD22_13x_0)</f>
        <v>0</v>
      </c>
      <c r="E69" s="1"/>
      <c r="F69" s="5">
        <f t="shared" ref="F69:F72" si="54">IF(D$12=0,0,D69/D$12)</f>
        <v>0</v>
      </c>
      <c r="G69" s="1"/>
      <c r="H69" s="1">
        <f>SUM(OSRRefH22_13x_0)</f>
        <v>312.18</v>
      </c>
      <c r="I69" s="1"/>
      <c r="J69" s="5">
        <f t="shared" ref="J69:J72" si="55">IF(H$12=0,0,H69/H$12)</f>
        <v>9.6246248329379339E-3</v>
      </c>
      <c r="K69" s="1"/>
      <c r="L69" s="1">
        <f t="shared" ref="L69:L72" si="56">+D69-H69</f>
        <v>-312.18</v>
      </c>
      <c r="M69" s="1"/>
      <c r="N69" s="5">
        <f t="shared" ref="N69:N72" si="57">IF(H69=0,0,L69/H69)</f>
        <v>-1</v>
      </c>
      <c r="O69" s="13"/>
      <c r="P69" s="1">
        <f>SUM(OSRRefP22_13x_0)</f>
        <v>132.54</v>
      </c>
      <c r="Q69" s="1"/>
      <c r="R69" s="5">
        <f t="shared" ref="R69:R72" si="58">IF(P$12=0,0,P69/P$12)</f>
        <v>0</v>
      </c>
      <c r="S69" s="1"/>
      <c r="T69" s="1">
        <f>SUM(OSRRefT22_13x_0)</f>
        <v>1549.42</v>
      </c>
      <c r="U69" s="1"/>
      <c r="V69" s="5">
        <f t="shared" ref="V69:V72" si="59">IF(T$12=0,0,T69/T$12)</f>
        <v>9.3233223140555561E-3</v>
      </c>
      <c r="W69" s="1"/>
      <c r="X69" s="1">
        <f t="shared" ref="X69:X72" si="60">+P69-T69</f>
        <v>-1416.88</v>
      </c>
      <c r="Y69" s="1"/>
      <c r="Z69" s="5">
        <f t="shared" ref="Z69:Z72" si="61">IF(T69=0,0,X69/T69)</f>
        <v>-0.91445831343341377</v>
      </c>
    </row>
    <row r="70" spans="1:26" s="24" customFormat="1" hidden="1" outlineLevel="2" x14ac:dyDescent="0.25">
      <c r="A70" s="25"/>
      <c r="B70" s="11" t="str">
        <f>CONCATENATE("          ", "6309", " - ", "TELEPHONE")</f>
        <v xml:space="preserve">          6309 - TELEPHONE</v>
      </c>
      <c r="C70" s="11"/>
      <c r="D70" s="6"/>
      <c r="E70" s="2"/>
      <c r="F70" s="7">
        <f t="shared" si="54"/>
        <v>0</v>
      </c>
      <c r="G70" s="2"/>
      <c r="H70" s="6">
        <v>312.18</v>
      </c>
      <c r="I70" s="2"/>
      <c r="J70" s="7">
        <f t="shared" si="55"/>
        <v>9.6246248329379339E-3</v>
      </c>
      <c r="K70" s="2"/>
      <c r="L70" s="6">
        <f t="shared" si="56"/>
        <v>-312.18</v>
      </c>
      <c r="M70" s="2"/>
      <c r="N70" s="7">
        <f t="shared" si="57"/>
        <v>-1</v>
      </c>
      <c r="O70" s="11"/>
      <c r="P70" s="6">
        <v>132.54</v>
      </c>
      <c r="Q70" s="2"/>
      <c r="R70" s="7">
        <f t="shared" si="58"/>
        <v>0</v>
      </c>
      <c r="S70" s="2"/>
      <c r="T70" s="6">
        <v>1549.42</v>
      </c>
      <c r="U70" s="2"/>
      <c r="V70" s="7">
        <f t="shared" si="59"/>
        <v>9.3233223140555561E-3</v>
      </c>
      <c r="W70" s="2"/>
      <c r="X70" s="6">
        <f t="shared" si="60"/>
        <v>-1416.88</v>
      </c>
      <c r="Y70" s="2"/>
      <c r="Z70" s="7">
        <f t="shared" si="61"/>
        <v>-0.91445831343341377</v>
      </c>
    </row>
    <row r="71" spans="1:26" s="26" customFormat="1" outlineLevel="1" collapsed="1" x14ac:dyDescent="0.25">
      <c r="A71" s="27"/>
      <c r="B71" s="13" t="str">
        <f>CONCATENATE("     ","Training                                          ")</f>
        <v xml:space="preserve">     Training                                          </v>
      </c>
      <c r="C71" s="13"/>
      <c r="D71" s="1">
        <f>SUM(OSRRefD22_14x_0)</f>
        <v>0</v>
      </c>
      <c r="E71" s="1"/>
      <c r="F71" s="5">
        <f t="shared" si="54"/>
        <v>0</v>
      </c>
      <c r="G71" s="1"/>
      <c r="H71" s="1">
        <f>SUM(OSRRefH22_14x_0)</f>
        <v>0</v>
      </c>
      <c r="I71" s="1"/>
      <c r="J71" s="5">
        <f t="shared" si="55"/>
        <v>0</v>
      </c>
      <c r="K71" s="1"/>
      <c r="L71" s="1">
        <f t="shared" si="56"/>
        <v>0</v>
      </c>
      <c r="M71" s="1"/>
      <c r="N71" s="5">
        <f t="shared" si="57"/>
        <v>0</v>
      </c>
      <c r="O71" s="13"/>
      <c r="P71" s="1">
        <f>SUM(OSRRefP22_14x_0)</f>
        <v>0</v>
      </c>
      <c r="Q71" s="1"/>
      <c r="R71" s="5">
        <f t="shared" si="58"/>
        <v>0</v>
      </c>
      <c r="S71" s="1"/>
      <c r="T71" s="1">
        <f>SUM(OSRRefT22_14x_0)</f>
        <v>237.95</v>
      </c>
      <c r="U71" s="1"/>
      <c r="V71" s="5">
        <f t="shared" si="59"/>
        <v>1.4318161277313572E-3</v>
      </c>
      <c r="W71" s="1"/>
      <c r="X71" s="1">
        <f t="shared" si="60"/>
        <v>-237.95</v>
      </c>
      <c r="Y71" s="1"/>
      <c r="Z71" s="5">
        <f t="shared" si="61"/>
        <v>-1</v>
      </c>
    </row>
    <row r="72" spans="1:26" s="24" customFormat="1" hidden="1" outlineLevel="2" x14ac:dyDescent="0.25">
      <c r="A72" s="25"/>
      <c r="B72" s="11" t="str">
        <f>CONCATENATE("          ", "6376", " - ", "TRAINING")</f>
        <v xml:space="preserve">          6376 - TRAINING</v>
      </c>
      <c r="C72" s="11"/>
      <c r="D72" s="6"/>
      <c r="E72" s="2"/>
      <c r="F72" s="7">
        <f t="shared" si="54"/>
        <v>0</v>
      </c>
      <c r="G72" s="2"/>
      <c r="H72" s="6"/>
      <c r="I72" s="2"/>
      <c r="J72" s="7">
        <f t="shared" si="55"/>
        <v>0</v>
      </c>
      <c r="K72" s="2"/>
      <c r="L72" s="6">
        <f t="shared" si="56"/>
        <v>0</v>
      </c>
      <c r="M72" s="2"/>
      <c r="N72" s="7">
        <f t="shared" si="57"/>
        <v>0</v>
      </c>
      <c r="O72" s="11"/>
      <c r="P72" s="6"/>
      <c r="Q72" s="2"/>
      <c r="R72" s="7">
        <f t="shared" si="58"/>
        <v>0</v>
      </c>
      <c r="S72" s="2"/>
      <c r="T72" s="6">
        <v>237.95</v>
      </c>
      <c r="U72" s="2"/>
      <c r="V72" s="7">
        <f t="shared" si="59"/>
        <v>1.4318161277313572E-3</v>
      </c>
      <c r="W72" s="2"/>
      <c r="X72" s="6">
        <f t="shared" si="60"/>
        <v>-237.95</v>
      </c>
      <c r="Y72" s="2"/>
      <c r="Z72" s="7">
        <f t="shared" si="61"/>
        <v>-1</v>
      </c>
    </row>
    <row r="73" spans="1:26" s="53" customFormat="1" x14ac:dyDescent="0.25">
      <c r="A73" s="37"/>
      <c r="B73" s="37"/>
      <c r="C73" s="37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collapsed="1" x14ac:dyDescent="0.25">
      <c r="A74" s="10"/>
      <c r="B74" s="29" t="s">
        <v>0</v>
      </c>
      <c r="C74" s="10"/>
      <c r="D74" s="4">
        <f>SUM(OSRRefD25x_0)</f>
        <v>0</v>
      </c>
      <c r="E74" s="4"/>
      <c r="F74" s="12">
        <f t="shared" ref="F74:F75" si="62">IF(D$12=0,0,D74/D$12)</f>
        <v>0</v>
      </c>
      <c r="G74" s="4"/>
      <c r="H74" s="4">
        <f>SUM(OSRRefH25x_0)</f>
        <v>3178.96</v>
      </c>
      <c r="I74" s="4"/>
      <c r="J74" s="12">
        <f t="shared" ref="J74:J75" si="63">IF(H$12=0,0,H74/H$12)</f>
        <v>9.8008512265091857E-2</v>
      </c>
      <c r="K74" s="4"/>
      <c r="L74" s="4">
        <f t="shared" ref="L74:L75" si="64">+D74-H74</f>
        <v>-3178.96</v>
      </c>
      <c r="M74" s="4"/>
      <c r="N74" s="12">
        <f t="shared" ref="N74:N75" si="65">IF(H74=0,0,L74/H74)</f>
        <v>-1</v>
      </c>
      <c r="O74" s="10"/>
      <c r="P74" s="4">
        <f>SUM(OSRRefP25x_0)</f>
        <v>0</v>
      </c>
      <c r="Q74" s="4"/>
      <c r="R74" s="12">
        <f t="shared" ref="R74:R75" si="66">IF(P$12=0,0,P74/P$12)</f>
        <v>0</v>
      </c>
      <c r="S74" s="4"/>
      <c r="T74" s="4">
        <f>SUM(OSRRefT25x_0)</f>
        <v>32460.44</v>
      </c>
      <c r="U74" s="4"/>
      <c r="V74" s="12">
        <f t="shared" ref="V74:V75" si="67">IF(T$12=0,0,T74/T$12)</f>
        <v>0.19532415005360812</v>
      </c>
      <c r="W74" s="4"/>
      <c r="X74" s="4">
        <f t="shared" ref="X74:X75" si="68">+P74-T74</f>
        <v>-32460.44</v>
      </c>
      <c r="Y74" s="4"/>
      <c r="Z74" s="12">
        <f t="shared" ref="Z74:Z75" si="69">IF(T74=0,0,X74/T74)</f>
        <v>-1</v>
      </c>
    </row>
    <row r="75" spans="1:26" s="24" customFormat="1" hidden="1" outlineLevel="1" x14ac:dyDescent="0.25">
      <c r="A75" s="44"/>
      <c r="B75" s="11" t="str">
        <f>CONCATENATE("          ", "9150", " - ", "MISC. INCOME")</f>
        <v xml:space="preserve">          9150 - MISC. INCOME</v>
      </c>
      <c r="C75" s="11"/>
      <c r="D75" s="2">
        <f>0</f>
        <v>0</v>
      </c>
      <c r="E75" s="2"/>
      <c r="F75" s="19">
        <f t="shared" si="62"/>
        <v>0</v>
      </c>
      <c r="G75" s="2"/>
      <c r="H75" s="2">
        <f>--3178.96</f>
        <v>3178.96</v>
      </c>
      <c r="I75" s="2"/>
      <c r="J75" s="19">
        <f t="shared" si="63"/>
        <v>9.8008512265091857E-2</v>
      </c>
      <c r="K75" s="2"/>
      <c r="L75" s="2">
        <f t="shared" si="64"/>
        <v>-3178.96</v>
      </c>
      <c r="M75" s="2"/>
      <c r="N75" s="19">
        <f t="shared" si="65"/>
        <v>-1</v>
      </c>
      <c r="O75" s="11"/>
      <c r="P75" s="2">
        <f>0</f>
        <v>0</v>
      </c>
      <c r="Q75" s="2"/>
      <c r="R75" s="19">
        <f t="shared" si="66"/>
        <v>0</v>
      </c>
      <c r="S75" s="2"/>
      <c r="T75" s="2">
        <f>--32460.44</f>
        <v>32460.44</v>
      </c>
      <c r="U75" s="2"/>
      <c r="V75" s="19">
        <f t="shared" si="67"/>
        <v>0.19532415005360812</v>
      </c>
      <c r="W75" s="2"/>
      <c r="X75" s="2">
        <f t="shared" si="68"/>
        <v>-32460.44</v>
      </c>
      <c r="Y75" s="2"/>
      <c r="Z75" s="19">
        <f t="shared" si="69"/>
        <v>-1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8" t="s">
        <v>3</v>
      </c>
      <c r="C77" s="28"/>
      <c r="D77" s="20">
        <f>+D20-D22+D74</f>
        <v>-1462.8899999999999</v>
      </c>
      <c r="E77" s="14"/>
      <c r="F77" s="22">
        <f>IF(D$12=0,0,D77/D$12)</f>
        <v>0</v>
      </c>
      <c r="G77" s="14"/>
      <c r="H77" s="20">
        <f>+H20-H22+H74</f>
        <v>1115.9899999999916</v>
      </c>
      <c r="I77" s="14"/>
      <c r="J77" s="22">
        <f>IF(H$12=0,0,H77/H$12)</f>
        <v>3.4406384352970477E-2</v>
      </c>
      <c r="K77" s="15"/>
      <c r="L77" s="20">
        <f>+D77-H77</f>
        <v>-2578.8799999999915</v>
      </c>
      <c r="M77" s="15"/>
      <c r="N77" s="22">
        <f>IF(H77=0,0,L77/H77)</f>
        <v>-2.3108450792569926</v>
      </c>
      <c r="O77" s="29"/>
      <c r="P77" s="20">
        <f>+P20-P22+P74</f>
        <v>-8633.23</v>
      </c>
      <c r="Q77" s="14"/>
      <c r="R77" s="22">
        <f>IF(P$12=0,0,P77/P$12)</f>
        <v>0</v>
      </c>
      <c r="S77" s="14"/>
      <c r="T77" s="20">
        <f>+T20-T22+T74</f>
        <v>13295.399999999961</v>
      </c>
      <c r="U77" s="14"/>
      <c r="V77" s="22">
        <f>IF(T$12=0,0,T77/T$12)</f>
        <v>8.0002387663960631E-2</v>
      </c>
      <c r="W77" s="15"/>
      <c r="X77" s="20">
        <f>+P77-T77</f>
        <v>-21928.629999999961</v>
      </c>
      <c r="Y77" s="15"/>
      <c r="Z77" s="22">
        <f>IF(T77=0,0,X77/T77)</f>
        <v>-1.6493396212223794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1"/>
      <c r="B79" s="10" t="s">
        <v>13</v>
      </c>
      <c r="C79" s="10"/>
      <c r="D79" s="4"/>
      <c r="E79" s="4"/>
      <c r="F79" s="12">
        <f>IF(D$12=0,0,D79/D$12)</f>
        <v>0</v>
      </c>
      <c r="G79" s="4"/>
      <c r="H79" s="4">
        <v>4134.32</v>
      </c>
      <c r="I79" s="4"/>
      <c r="J79" s="12">
        <f>IF(H$12=0,0,H79/H$12)</f>
        <v>0.12746261432286488</v>
      </c>
      <c r="K79" s="4"/>
      <c r="L79" s="4">
        <f>+D79-H79</f>
        <v>-4134.32</v>
      </c>
      <c r="M79" s="4"/>
      <c r="N79" s="12">
        <f>IF(H79=0,0,L79/H79)</f>
        <v>-1</v>
      </c>
      <c r="O79" s="10"/>
      <c r="P79" s="4"/>
      <c r="Q79" s="4"/>
      <c r="R79" s="12">
        <f>IF(P$12=0,0,P79/P$12)</f>
        <v>0</v>
      </c>
      <c r="S79" s="4"/>
      <c r="T79" s="4">
        <v>17598.14</v>
      </c>
      <c r="U79" s="4"/>
      <c r="V79" s="12">
        <f>IF(T$12=0,0,T79/T$12)</f>
        <v>0.10589325770151001</v>
      </c>
      <c r="W79" s="4"/>
      <c r="X79" s="4">
        <f>+P79-T79</f>
        <v>-17598.14</v>
      </c>
      <c r="Y79" s="4"/>
      <c r="Z79" s="12">
        <f>IF(T79=0,0,X79/T79)</f>
        <v>-1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4</v>
      </c>
      <c r="C81" s="28"/>
      <c r="D81" s="31">
        <f>+D77-D79</f>
        <v>-1462.8899999999999</v>
      </c>
      <c r="E81" s="14"/>
      <c r="F81" s="34">
        <f>IF(D$12=0,0,D81/D$12)</f>
        <v>0</v>
      </c>
      <c r="G81" s="14"/>
      <c r="H81" s="31">
        <f>+H77-H79</f>
        <v>-3018.3300000000081</v>
      </c>
      <c r="I81" s="14"/>
      <c r="J81" s="34">
        <f>IF(H$12=0,0,H81/H$12)</f>
        <v>-9.3056229969894391E-2</v>
      </c>
      <c r="K81" s="15"/>
      <c r="L81" s="31">
        <f>D81-H81</f>
        <v>1555.4400000000082</v>
      </c>
      <c r="M81" s="15"/>
      <c r="N81" s="34">
        <f>IF(H81=0,0,L81/H81)</f>
        <v>-0.51533132560058181</v>
      </c>
      <c r="O81" s="29"/>
      <c r="P81" s="31">
        <f>+P77-P79</f>
        <v>-8633.23</v>
      </c>
      <c r="Q81" s="14"/>
      <c r="R81" s="34">
        <f>IF(P$12=0,0,P81/P$12)</f>
        <v>0</v>
      </c>
      <c r="S81" s="14"/>
      <c r="T81" s="31">
        <f>+T77-T79</f>
        <v>-4302.740000000038</v>
      </c>
      <c r="U81" s="14"/>
      <c r="V81" s="34">
        <f>IF(T$12=0,0,T81/T$12)</f>
        <v>-2.5890870037549377E-2</v>
      </c>
      <c r="W81" s="15"/>
      <c r="X81" s="31">
        <f>P81-T81</f>
        <v>-4330.4899999999616</v>
      </c>
      <c r="Y81" s="15"/>
      <c r="Z81" s="34">
        <f>IF(T81=0,0,X81/T81)</f>
        <v>1.0064493787679301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5</v>
      </c>
      <c r="C84" s="28"/>
      <c r="D84" s="32">
        <f>SUM(D81:D83)</f>
        <v>-1462.8899999999999</v>
      </c>
      <c r="E84" s="14"/>
      <c r="F84" s="30">
        <f>IF(D$12=0,0,D84/D$12)</f>
        <v>0</v>
      </c>
      <c r="G84" s="14"/>
      <c r="H84" s="32">
        <f>SUM(H81:H83)</f>
        <v>-3018.3300000000081</v>
      </c>
      <c r="I84" s="14"/>
      <c r="J84" s="30">
        <f>IF(H$12=0,0,H84/H$12)</f>
        <v>-9.3056229969894391E-2</v>
      </c>
      <c r="K84" s="15"/>
      <c r="L84" s="32">
        <f>+D84-H84</f>
        <v>1555.4400000000082</v>
      </c>
      <c r="M84" s="15"/>
      <c r="N84" s="30">
        <f>IF(H84=0,0,L84/H84)</f>
        <v>-0.51533132560058181</v>
      </c>
      <c r="O84" s="29"/>
      <c r="P84" s="32">
        <f>SUM(P81:P83)</f>
        <v>-8633.23</v>
      </c>
      <c r="Q84" s="14"/>
      <c r="R84" s="30">
        <f>IF(P$12=0,0,P84/P$12)</f>
        <v>0</v>
      </c>
      <c r="S84" s="14"/>
      <c r="T84" s="32">
        <f>SUM(T81:T83)</f>
        <v>-4302.740000000038</v>
      </c>
      <c r="U84" s="14"/>
      <c r="V84" s="30">
        <f>IF(T$12=0,0,T84/T$12)</f>
        <v>-2.5890870037549377E-2</v>
      </c>
      <c r="W84" s="15"/>
      <c r="X84" s="32">
        <f>+P84-T84</f>
        <v>-4330.4899999999616</v>
      </c>
      <c r="Y84" s="15"/>
      <c r="Z84" s="30">
        <f>IF(T84=0,0,X84/T84)</f>
        <v>1.0064493787679301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54">
        <v>44174.686171261572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56" t="s">
        <v>313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61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","455", " - ", "Vending")</f>
        <v>Department 455 - Vending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0</v>
      </c>
      <c r="E18" s="21"/>
      <c r="F18" s="35">
        <f t="shared" ref="F18:F26" si="0">IF(D$12=0,0,D18/D$12)</f>
        <v>0</v>
      </c>
      <c r="G18" s="21"/>
      <c r="H18" s="21">
        <f>SUM(OSRRefH22x_0)</f>
        <v>6685.41</v>
      </c>
      <c r="I18" s="21"/>
      <c r="J18" s="35">
        <f t="shared" ref="J18:J26" si="1">IF(H$12=0,0,H18/H$12)</f>
        <v>0</v>
      </c>
      <c r="K18" s="4"/>
      <c r="L18" s="21">
        <f t="shared" ref="L18:L26" si="2">+D18-H18</f>
        <v>-6685.41</v>
      </c>
      <c r="M18" s="4"/>
      <c r="N18" s="35">
        <f t="shared" ref="N18:N26" si="3">IF(H18=0,0,L18/H18)</f>
        <v>-1</v>
      </c>
      <c r="O18" s="10"/>
      <c r="P18" s="21">
        <f>SUM(OSRRefP22x_0)</f>
        <v>0</v>
      </c>
      <c r="Q18" s="21"/>
      <c r="R18" s="35">
        <f t="shared" ref="R18:R26" si="4">IF(P$12=0,0,P18/P$12)</f>
        <v>0</v>
      </c>
      <c r="S18" s="21"/>
      <c r="T18" s="21">
        <f>SUM(OSRRefT22x_0)</f>
        <v>45131.89</v>
      </c>
      <c r="U18" s="21"/>
      <c r="V18" s="35">
        <f t="shared" ref="V18:V26" si="5">IF(T$12=0,0,T18/T$12)</f>
        <v>0</v>
      </c>
      <c r="W18" s="4"/>
      <c r="X18" s="21">
        <f t="shared" ref="X18:X26" si="6">+P18-T18</f>
        <v>-45131.89</v>
      </c>
      <c r="Y18" s="4"/>
      <c r="Z18" s="35">
        <f t="shared" ref="Z18:Z26" si="7">IF(T18=0,0,X18/T18)</f>
        <v>-1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2408.66</v>
      </c>
      <c r="I19" s="1"/>
      <c r="J19" s="5">
        <f t="shared" si="1"/>
        <v>0</v>
      </c>
      <c r="K19" s="1"/>
      <c r="L19" s="1">
        <f t="shared" si="2"/>
        <v>-2408.66</v>
      </c>
      <c r="M19" s="1"/>
      <c r="N19" s="5">
        <f t="shared" si="3"/>
        <v>-1</v>
      </c>
      <c r="O19" s="13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22032.829999999998</v>
      </c>
      <c r="U19" s="1"/>
      <c r="V19" s="5">
        <f t="shared" si="5"/>
        <v>0</v>
      </c>
      <c r="W19" s="1"/>
      <c r="X19" s="1">
        <f t="shared" si="6"/>
        <v>-22032.829999999998</v>
      </c>
      <c r="Y19" s="1"/>
      <c r="Z19" s="5">
        <f t="shared" si="7"/>
        <v>-1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>
        <v>235.39</v>
      </c>
      <c r="I20" s="2"/>
      <c r="J20" s="7">
        <f t="shared" si="1"/>
        <v>0</v>
      </c>
      <c r="K20" s="2"/>
      <c r="L20" s="6">
        <f t="shared" si="2"/>
        <v>-235.39</v>
      </c>
      <c r="M20" s="2"/>
      <c r="N20" s="7">
        <f t="shared" si="3"/>
        <v>-1</v>
      </c>
      <c r="O20" s="11"/>
      <c r="P20" s="6"/>
      <c r="Q20" s="2"/>
      <c r="R20" s="7">
        <f t="shared" si="4"/>
        <v>0</v>
      </c>
      <c r="S20" s="2"/>
      <c r="T20" s="6">
        <v>1897.53</v>
      </c>
      <c r="U20" s="2"/>
      <c r="V20" s="7">
        <f t="shared" si="5"/>
        <v>0</v>
      </c>
      <c r="W20" s="2"/>
      <c r="X20" s="6">
        <f t="shared" si="6"/>
        <v>-1897.53</v>
      </c>
      <c r="Y20" s="2"/>
      <c r="Z20" s="7">
        <f t="shared" si="7"/>
        <v>-1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/>
      <c r="E21" s="2"/>
      <c r="F21" s="7">
        <f t="shared" si="0"/>
        <v>0</v>
      </c>
      <c r="G21" s="2"/>
      <c r="H21" s="6">
        <v>17.11</v>
      </c>
      <c r="I21" s="2"/>
      <c r="J21" s="7">
        <f t="shared" si="1"/>
        <v>0</v>
      </c>
      <c r="K21" s="2"/>
      <c r="L21" s="6">
        <f t="shared" si="2"/>
        <v>-17.11</v>
      </c>
      <c r="M21" s="2"/>
      <c r="N21" s="7">
        <f t="shared" si="3"/>
        <v>-1</v>
      </c>
      <c r="O21" s="11"/>
      <c r="P21" s="6"/>
      <c r="Q21" s="2"/>
      <c r="R21" s="7">
        <f t="shared" si="4"/>
        <v>0</v>
      </c>
      <c r="S21" s="2"/>
      <c r="T21" s="6">
        <v>99.44</v>
      </c>
      <c r="U21" s="2"/>
      <c r="V21" s="7">
        <f t="shared" si="5"/>
        <v>0</v>
      </c>
      <c r="W21" s="2"/>
      <c r="X21" s="6">
        <f t="shared" si="6"/>
        <v>-99.44</v>
      </c>
      <c r="Y21" s="2"/>
      <c r="Z21" s="7">
        <f t="shared" si="7"/>
        <v>-1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0"/>
        <v>0</v>
      </c>
      <c r="G22" s="2"/>
      <c r="H22" s="6">
        <v>931.95</v>
      </c>
      <c r="I22" s="2"/>
      <c r="J22" s="7">
        <f t="shared" si="1"/>
        <v>0</v>
      </c>
      <c r="K22" s="2"/>
      <c r="L22" s="6">
        <f t="shared" si="2"/>
        <v>-931.95</v>
      </c>
      <c r="M22" s="2"/>
      <c r="N22" s="7">
        <f t="shared" si="3"/>
        <v>-1</v>
      </c>
      <c r="O22" s="11"/>
      <c r="P22" s="6"/>
      <c r="Q22" s="2"/>
      <c r="R22" s="7">
        <f t="shared" si="4"/>
        <v>0</v>
      </c>
      <c r="S22" s="2"/>
      <c r="T22" s="6">
        <v>4659.75</v>
      </c>
      <c r="U22" s="2"/>
      <c r="V22" s="7">
        <f t="shared" si="5"/>
        <v>0</v>
      </c>
      <c r="W22" s="2"/>
      <c r="X22" s="6">
        <f t="shared" si="6"/>
        <v>-4659.75</v>
      </c>
      <c r="Y22" s="2"/>
      <c r="Z22" s="7">
        <f t="shared" si="7"/>
        <v>-1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/>
      <c r="E23" s="2"/>
      <c r="F23" s="7">
        <f t="shared" si="0"/>
        <v>0</v>
      </c>
      <c r="G23" s="2"/>
      <c r="H23" s="6">
        <v>13.08</v>
      </c>
      <c r="I23" s="2"/>
      <c r="J23" s="7">
        <f t="shared" si="1"/>
        <v>0</v>
      </c>
      <c r="K23" s="2"/>
      <c r="L23" s="6">
        <f t="shared" si="2"/>
        <v>-13.08</v>
      </c>
      <c r="M23" s="2"/>
      <c r="N23" s="7">
        <f t="shared" si="3"/>
        <v>-1</v>
      </c>
      <c r="O23" s="11"/>
      <c r="P23" s="6"/>
      <c r="Q23" s="2"/>
      <c r="R23" s="7">
        <f t="shared" si="4"/>
        <v>0</v>
      </c>
      <c r="S23" s="2"/>
      <c r="T23" s="6">
        <v>88.53</v>
      </c>
      <c r="U23" s="2"/>
      <c r="V23" s="7">
        <f t="shared" si="5"/>
        <v>0</v>
      </c>
      <c r="W23" s="2"/>
      <c r="X23" s="6">
        <f t="shared" si="6"/>
        <v>-88.53</v>
      </c>
      <c r="Y23" s="2"/>
      <c r="Z23" s="7">
        <f t="shared" si="7"/>
        <v>-1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514.27</v>
      </c>
      <c r="I24" s="2"/>
      <c r="J24" s="7">
        <f t="shared" si="1"/>
        <v>0</v>
      </c>
      <c r="K24" s="2"/>
      <c r="L24" s="6">
        <f t="shared" si="2"/>
        <v>-514.27</v>
      </c>
      <c r="M24" s="2"/>
      <c r="N24" s="7">
        <f t="shared" si="3"/>
        <v>-1</v>
      </c>
      <c r="O24" s="11"/>
      <c r="P24" s="6"/>
      <c r="Q24" s="2"/>
      <c r="R24" s="7">
        <f t="shared" si="4"/>
        <v>0</v>
      </c>
      <c r="S24" s="2"/>
      <c r="T24" s="6">
        <v>3480.67</v>
      </c>
      <c r="U24" s="2"/>
      <c r="V24" s="7">
        <f t="shared" si="5"/>
        <v>0</v>
      </c>
      <c r="W24" s="2"/>
      <c r="X24" s="6">
        <f t="shared" si="6"/>
        <v>-3480.67</v>
      </c>
      <c r="Y24" s="2"/>
      <c r="Z24" s="7">
        <f t="shared" si="7"/>
        <v>-1</v>
      </c>
    </row>
    <row r="25" spans="1:26" s="24" customFormat="1" hidden="1" outlineLevel="2" x14ac:dyDescent="0.25">
      <c r="A25" s="25"/>
      <c r="B25" s="11" t="str">
        <f>CONCATENATE("          ", "6118", " - ", "VACATION")</f>
        <v xml:space="preserve">          6118 - VACATION</v>
      </c>
      <c r="C25" s="11"/>
      <c r="D25" s="6"/>
      <c r="E25" s="2"/>
      <c r="F25" s="7">
        <f t="shared" si="0"/>
        <v>0</v>
      </c>
      <c r="G25" s="2"/>
      <c r="H25" s="6">
        <v>464.78</v>
      </c>
      <c r="I25" s="2"/>
      <c r="J25" s="7">
        <f t="shared" si="1"/>
        <v>0</v>
      </c>
      <c r="K25" s="2"/>
      <c r="L25" s="6">
        <f t="shared" si="2"/>
        <v>-464.78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3919.04</v>
      </c>
      <c r="U25" s="2"/>
      <c r="V25" s="7">
        <f t="shared" si="5"/>
        <v>0</v>
      </c>
      <c r="W25" s="2"/>
      <c r="X25" s="6">
        <f t="shared" si="6"/>
        <v>-3919.04</v>
      </c>
      <c r="Y25" s="2"/>
      <c r="Z25" s="7">
        <f t="shared" si="7"/>
        <v>-1</v>
      </c>
    </row>
    <row r="26" spans="1:26" s="24" customFormat="1" hidden="1" outlineLevel="2" x14ac:dyDescent="0.25">
      <c r="A26" s="25"/>
      <c r="B26" s="11" t="str">
        <f>CONCATENATE("          ", "6119", " - ", "SICK LEAVE")</f>
        <v xml:space="preserve">          6119 - SICK LEAVE</v>
      </c>
      <c r="C26" s="11"/>
      <c r="D26" s="6"/>
      <c r="E26" s="2"/>
      <c r="F26" s="7">
        <f t="shared" si="0"/>
        <v>0</v>
      </c>
      <c r="G26" s="2"/>
      <c r="H26" s="6">
        <v>232.08</v>
      </c>
      <c r="I26" s="2"/>
      <c r="J26" s="7">
        <f t="shared" si="1"/>
        <v>0</v>
      </c>
      <c r="K26" s="2"/>
      <c r="L26" s="6">
        <f t="shared" si="2"/>
        <v>-232.08</v>
      </c>
      <c r="M26" s="2"/>
      <c r="N26" s="7">
        <f t="shared" si="3"/>
        <v>-1</v>
      </c>
      <c r="O26" s="11"/>
      <c r="P26" s="6"/>
      <c r="Q26" s="2"/>
      <c r="R26" s="7">
        <f t="shared" si="4"/>
        <v>0</v>
      </c>
      <c r="S26" s="2"/>
      <c r="T26" s="6">
        <v>7887.87</v>
      </c>
      <c r="U26" s="2"/>
      <c r="V26" s="7">
        <f t="shared" si="5"/>
        <v>0</v>
      </c>
      <c r="W26" s="2"/>
      <c r="X26" s="6">
        <f t="shared" si="6"/>
        <v>-7887.87</v>
      </c>
      <c r="Y26" s="2"/>
      <c r="Z26" s="7">
        <f t="shared" si="7"/>
        <v>-1</v>
      </c>
    </row>
    <row r="27" spans="1:26" s="26" customFormat="1" outlineLevel="1" collapsed="1" x14ac:dyDescent="0.25">
      <c r="A27" s="27"/>
      <c r="B27" s="13" t="str">
        <f>CONCATENATE("     ","*Payroll                                          ")</f>
        <v xml:space="preserve">     *Payroll                                          </v>
      </c>
      <c r="C27" s="13"/>
      <c r="D27" s="1">
        <f>SUM(OSRRefD22_1x_0)</f>
        <v>0</v>
      </c>
      <c r="E27" s="1"/>
      <c r="F27" s="5">
        <f t="shared" ref="F27:F29" si="8">IF(D$12=0,0,D27/D$12)</f>
        <v>0</v>
      </c>
      <c r="G27" s="1"/>
      <c r="H27" s="1">
        <f>SUM(OSRRefH22_1x_0)</f>
        <v>4276.75</v>
      </c>
      <c r="I27" s="1"/>
      <c r="J27" s="5">
        <f t="shared" ref="J27:J29" si="9">IF(H$12=0,0,H27/H$12)</f>
        <v>0</v>
      </c>
      <c r="K27" s="1"/>
      <c r="L27" s="1">
        <f t="shared" ref="L27:L29" si="10">+D27-H27</f>
        <v>-4276.75</v>
      </c>
      <c r="M27" s="1"/>
      <c r="N27" s="5">
        <f t="shared" ref="N27:N29" si="11">IF(H27=0,0,L27/H27)</f>
        <v>-1</v>
      </c>
      <c r="O27" s="13"/>
      <c r="P27" s="1">
        <f>SUM(OSRRefP22_1x_0)</f>
        <v>0</v>
      </c>
      <c r="Q27" s="1"/>
      <c r="R27" s="5">
        <f t="shared" ref="R27:R29" si="12">IF(P$12=0,0,P27/P$12)</f>
        <v>0</v>
      </c>
      <c r="S27" s="1"/>
      <c r="T27" s="1">
        <f>SUM(OSRRefT22_1x_0)</f>
        <v>23099.06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-23099.06</v>
      </c>
      <c r="Y27" s="1"/>
      <c r="Z27" s="5">
        <f t="shared" ref="Z27:Z29" si="15">IF(T27=0,0,X27/T27)</f>
        <v>-1</v>
      </c>
    </row>
    <row r="28" spans="1:26" s="24" customFormat="1" hidden="1" outlineLevel="2" x14ac:dyDescent="0.25">
      <c r="A28" s="25"/>
      <c r="B28" s="11" t="str">
        <f>CONCATENATE("          ", "6001", " - ", "ADMINISTRATIVE SALARIES")</f>
        <v xml:space="preserve">          6001 - ADMINISTRATIVE SALARIES</v>
      </c>
      <c r="C28" s="11"/>
      <c r="D28" s="6"/>
      <c r="E28" s="2"/>
      <c r="F28" s="7">
        <f t="shared" si="8"/>
        <v>0</v>
      </c>
      <c r="G28" s="2"/>
      <c r="H28" s="6">
        <v>4276.75</v>
      </c>
      <c r="I28" s="2"/>
      <c r="J28" s="7">
        <f t="shared" si="9"/>
        <v>0</v>
      </c>
      <c r="K28" s="2"/>
      <c r="L28" s="6">
        <f t="shared" si="10"/>
        <v>-4276.75</v>
      </c>
      <c r="M28" s="2"/>
      <c r="N28" s="7">
        <f t="shared" si="11"/>
        <v>-1</v>
      </c>
      <c r="O28" s="11"/>
      <c r="P28" s="6"/>
      <c r="Q28" s="2"/>
      <c r="R28" s="7">
        <f t="shared" si="12"/>
        <v>0</v>
      </c>
      <c r="S28" s="2"/>
      <c r="T28" s="6">
        <v>23099.06</v>
      </c>
      <c r="U28" s="2"/>
      <c r="V28" s="7">
        <f t="shared" si="13"/>
        <v>0</v>
      </c>
      <c r="W28" s="2"/>
      <c r="X28" s="6">
        <f t="shared" si="14"/>
        <v>-23099.06</v>
      </c>
      <c r="Y28" s="2"/>
      <c r="Z28" s="7">
        <f t="shared" si="15"/>
        <v>-1</v>
      </c>
    </row>
    <row r="29" spans="1:26" s="24" customFormat="1" hidden="1" outlineLevel="2" x14ac:dyDescent="0.25">
      <c r="A29" s="25"/>
      <c r="B29" s="11" t="str">
        <f>CONCATENATE("          ", "6002", " - ", "STAFF SALARIES")</f>
        <v xml:space="preserve">          6002 - STAFF SALARIES</v>
      </c>
      <c r="C29" s="11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/>
      <c r="Q29" s="2"/>
      <c r="R29" s="7">
        <f t="shared" si="12"/>
        <v>0</v>
      </c>
      <c r="S29" s="2"/>
      <c r="T29" s="6">
        <v>0</v>
      </c>
      <c r="U29" s="2"/>
      <c r="V29" s="7">
        <f t="shared" si="13"/>
        <v>0</v>
      </c>
      <c r="W29" s="2"/>
      <c r="X29" s="6">
        <f t="shared" si="14"/>
        <v>0</v>
      </c>
      <c r="Y29" s="2"/>
      <c r="Z29" s="7">
        <f t="shared" si="15"/>
        <v>0</v>
      </c>
    </row>
    <row r="30" spans="1:26" s="53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collapsed="1" x14ac:dyDescent="0.25">
      <c r="A31" s="10"/>
      <c r="B31" s="29" t="s">
        <v>0</v>
      </c>
      <c r="C31" s="10"/>
      <c r="D31" s="4">
        <f>SUM(OSRRefD25x_0)</f>
        <v>173.47</v>
      </c>
      <c r="E31" s="4"/>
      <c r="F31" s="12">
        <f t="shared" ref="F31:F33" si="16">IF(D$12=0,0,D31/D$12)</f>
        <v>0</v>
      </c>
      <c r="G31" s="4"/>
      <c r="H31" s="4">
        <f>SUM(OSRRefH25x_0)</f>
        <v>18196.37</v>
      </c>
      <c r="I31" s="4"/>
      <c r="J31" s="12">
        <f t="shared" ref="J31:J33" si="17">IF(H$12=0,0,H31/H$12)</f>
        <v>0</v>
      </c>
      <c r="K31" s="4"/>
      <c r="L31" s="4">
        <f t="shared" ref="L31:L33" si="18">+D31-H31</f>
        <v>-18022.899999999998</v>
      </c>
      <c r="M31" s="4"/>
      <c r="N31" s="12">
        <f t="shared" ref="N31:N33" si="19">IF(H31=0,0,L31/H31)</f>
        <v>-0.99046677991269683</v>
      </c>
      <c r="O31" s="10"/>
      <c r="P31" s="4">
        <f>SUM(OSRRefP25x_0)</f>
        <v>2700.47</v>
      </c>
      <c r="Q31" s="4"/>
      <c r="R31" s="12">
        <f t="shared" ref="R31:R33" si="20">IF(P$12=0,0,P31/P$12)</f>
        <v>0</v>
      </c>
      <c r="S31" s="4"/>
      <c r="T31" s="4">
        <f>SUM(OSRRefT25x_0)</f>
        <v>326413.39</v>
      </c>
      <c r="U31" s="4"/>
      <c r="V31" s="12">
        <f t="shared" ref="V31:V33" si="21">IF(T$12=0,0,T31/T$12)</f>
        <v>0</v>
      </c>
      <c r="W31" s="4"/>
      <c r="X31" s="4">
        <f t="shared" ref="X31:X33" si="22">+P31-T31</f>
        <v>-323712.92000000004</v>
      </c>
      <c r="Y31" s="4"/>
      <c r="Z31" s="12">
        <f t="shared" ref="Z31:Z33" si="23">IF(T31=0,0,X31/T31)</f>
        <v>-0.99172684061765981</v>
      </c>
    </row>
    <row r="32" spans="1:26" s="24" customFormat="1" hidden="1" outlineLevel="1" x14ac:dyDescent="0.25">
      <c r="A32" s="44"/>
      <c r="B32" s="11" t="str">
        <f>CONCATENATE("          ", "9160", " - ", "MISC. INCOME")</f>
        <v xml:space="preserve">          9160 - MISC. INCOME</v>
      </c>
      <c r="C32" s="11"/>
      <c r="D32" s="2">
        <f>0</f>
        <v>0</v>
      </c>
      <c r="E32" s="2"/>
      <c r="F32" s="19">
        <f t="shared" si="16"/>
        <v>0</v>
      </c>
      <c r="G32" s="2"/>
      <c r="H32" s="2">
        <f>--7692.32</f>
        <v>7692.32</v>
      </c>
      <c r="I32" s="2"/>
      <c r="J32" s="19">
        <f t="shared" si="17"/>
        <v>0</v>
      </c>
      <c r="K32" s="2"/>
      <c r="L32" s="2">
        <f t="shared" si="18"/>
        <v>-7692.32</v>
      </c>
      <c r="M32" s="2"/>
      <c r="N32" s="19">
        <f t="shared" si="19"/>
        <v>-1</v>
      </c>
      <c r="O32" s="11"/>
      <c r="P32" s="2">
        <f>--1701.82</f>
        <v>1701.82</v>
      </c>
      <c r="Q32" s="2"/>
      <c r="R32" s="19">
        <f t="shared" si="20"/>
        <v>0</v>
      </c>
      <c r="S32" s="2"/>
      <c r="T32" s="2">
        <f>--103039.27</f>
        <v>103039.27</v>
      </c>
      <c r="U32" s="2"/>
      <c r="V32" s="19">
        <f t="shared" si="21"/>
        <v>0</v>
      </c>
      <c r="W32" s="2"/>
      <c r="X32" s="2">
        <f t="shared" si="22"/>
        <v>-101337.45</v>
      </c>
      <c r="Y32" s="2"/>
      <c r="Z32" s="19">
        <f t="shared" si="23"/>
        <v>-0.98348377274023768</v>
      </c>
    </row>
    <row r="33" spans="1:26" s="24" customFormat="1" hidden="1" outlineLevel="1" x14ac:dyDescent="0.25">
      <c r="A33" s="44"/>
      <c r="B33" s="11" t="str">
        <f>CONCATENATE("          ", "9165", " - ", "OTHER INCOME")</f>
        <v xml:space="preserve">          9165 - OTHER INCOME</v>
      </c>
      <c r="C33" s="11"/>
      <c r="D33" s="2">
        <f>--173.47</f>
        <v>173.47</v>
      </c>
      <c r="E33" s="2"/>
      <c r="F33" s="19">
        <f t="shared" si="16"/>
        <v>0</v>
      </c>
      <c r="G33" s="2"/>
      <c r="H33" s="2">
        <f>--10504.05</f>
        <v>10504.05</v>
      </c>
      <c r="I33" s="2"/>
      <c r="J33" s="19">
        <f t="shared" si="17"/>
        <v>0</v>
      </c>
      <c r="K33" s="2"/>
      <c r="L33" s="2">
        <f t="shared" si="18"/>
        <v>-10330.58</v>
      </c>
      <c r="M33" s="2"/>
      <c r="N33" s="19">
        <f t="shared" si="19"/>
        <v>-0.9834854175294292</v>
      </c>
      <c r="O33" s="11"/>
      <c r="P33" s="2">
        <f>--998.65</f>
        <v>998.65</v>
      </c>
      <c r="Q33" s="2"/>
      <c r="R33" s="19">
        <f t="shared" si="20"/>
        <v>0</v>
      </c>
      <c r="S33" s="2"/>
      <c r="T33" s="2">
        <f>--223374.12</f>
        <v>223374.12</v>
      </c>
      <c r="U33" s="2"/>
      <c r="V33" s="19">
        <f t="shared" si="21"/>
        <v>0</v>
      </c>
      <c r="W33" s="2"/>
      <c r="X33" s="2">
        <f t="shared" si="22"/>
        <v>-222375.47</v>
      </c>
      <c r="Y33" s="2"/>
      <c r="Z33" s="19">
        <f t="shared" si="23"/>
        <v>-0.99552924931500575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8" t="s">
        <v>3</v>
      </c>
      <c r="C35" s="28"/>
      <c r="D35" s="20">
        <f>+D16-D18+D31</f>
        <v>173.47</v>
      </c>
      <c r="E35" s="14"/>
      <c r="F35" s="22">
        <f>IF(D$12=0,0,D35/D$12)</f>
        <v>0</v>
      </c>
      <c r="G35" s="14"/>
      <c r="H35" s="20">
        <f>+H16-H18+H31</f>
        <v>11510.96</v>
      </c>
      <c r="I35" s="14"/>
      <c r="J35" s="22">
        <f>IF(H$12=0,0,H35/H$12)</f>
        <v>0</v>
      </c>
      <c r="K35" s="15"/>
      <c r="L35" s="20">
        <f>+D35-H35</f>
        <v>-11337.49</v>
      </c>
      <c r="M35" s="15"/>
      <c r="N35" s="22">
        <f>IF(H35=0,0,L35/H35)</f>
        <v>-0.98493001452528728</v>
      </c>
      <c r="O35" s="29"/>
      <c r="P35" s="20">
        <f>+P16-P18+P31</f>
        <v>2700.47</v>
      </c>
      <c r="Q35" s="14"/>
      <c r="R35" s="22">
        <f>IF(P$12=0,0,P35/P$12)</f>
        <v>0</v>
      </c>
      <c r="S35" s="14"/>
      <c r="T35" s="20">
        <f>+T16-T18+T31</f>
        <v>281281.5</v>
      </c>
      <c r="U35" s="14"/>
      <c r="V35" s="22">
        <f>IF(T$12=0,0,T35/T$12)</f>
        <v>0</v>
      </c>
      <c r="W35" s="15"/>
      <c r="X35" s="20">
        <f>+P35-T35</f>
        <v>-278581.03000000003</v>
      </c>
      <c r="Y35" s="15"/>
      <c r="Z35" s="22">
        <f>IF(T35=0,0,X35/T35)</f>
        <v>-0.99039940415562355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51"/>
      <c r="B37" s="10" t="s">
        <v>13</v>
      </c>
      <c r="C37" s="10"/>
      <c r="D37" s="4"/>
      <c r="E37" s="4"/>
      <c r="F37" s="12">
        <f>IF(D$12=0,0,D37/D$12)</f>
        <v>0</v>
      </c>
      <c r="G37" s="4"/>
      <c r="H37" s="4"/>
      <c r="I37" s="4"/>
      <c r="J37" s="12">
        <f>IF(H$12=0,0,H37/H$12)</f>
        <v>0</v>
      </c>
      <c r="K37" s="4"/>
      <c r="L37" s="4">
        <f>+D37-H37</f>
        <v>0</v>
      </c>
      <c r="M37" s="4"/>
      <c r="N37" s="12">
        <f>IF(H37=0,0,L37/H37)</f>
        <v>0</v>
      </c>
      <c r="O37" s="10"/>
      <c r="P37" s="4"/>
      <c r="Q37" s="4"/>
      <c r="R37" s="12">
        <f>IF(P$12=0,0,P37/P$12)</f>
        <v>0</v>
      </c>
      <c r="S37" s="4"/>
      <c r="T37" s="4"/>
      <c r="U37" s="4"/>
      <c r="V37" s="12">
        <f>IF(T$12=0,0,T37/T$12)</f>
        <v>0</v>
      </c>
      <c r="W37" s="4"/>
      <c r="X37" s="4">
        <f>+P37-T37</f>
        <v>0</v>
      </c>
      <c r="Y37" s="4"/>
      <c r="Z37" s="12">
        <f>IF(T37=0,0,X37/T37)</f>
        <v>0</v>
      </c>
    </row>
    <row r="38" spans="1:26" x14ac:dyDescent="0.25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8" t="s">
        <v>4</v>
      </c>
      <c r="C39" s="28"/>
      <c r="D39" s="31">
        <f>+D35-D37</f>
        <v>173.47</v>
      </c>
      <c r="E39" s="14"/>
      <c r="F39" s="34">
        <f>IF(D$12=0,0,D39/D$12)</f>
        <v>0</v>
      </c>
      <c r="G39" s="14"/>
      <c r="H39" s="31">
        <f>+H35-H37</f>
        <v>11510.96</v>
      </c>
      <c r="I39" s="14"/>
      <c r="J39" s="34">
        <f>IF(H$12=0,0,H39/H$12)</f>
        <v>0</v>
      </c>
      <c r="K39" s="15"/>
      <c r="L39" s="31">
        <f>D39-H39</f>
        <v>-11337.49</v>
      </c>
      <c r="M39" s="15"/>
      <c r="N39" s="34">
        <f>IF(H39=0,0,L39/H39)</f>
        <v>-0.98493001452528728</v>
      </c>
      <c r="O39" s="29"/>
      <c r="P39" s="31">
        <f>+P35-P37</f>
        <v>2700.47</v>
      </c>
      <c r="Q39" s="14"/>
      <c r="R39" s="34">
        <f>IF(P$12=0,0,P39/P$12)</f>
        <v>0</v>
      </c>
      <c r="S39" s="14"/>
      <c r="T39" s="31">
        <f>+T35-T37</f>
        <v>281281.5</v>
      </c>
      <c r="U39" s="14"/>
      <c r="V39" s="34">
        <f>IF(T$12=0,0,T39/T$12)</f>
        <v>0</v>
      </c>
      <c r="W39" s="15"/>
      <c r="X39" s="31">
        <f>P39-T39</f>
        <v>-278581.03000000003</v>
      </c>
      <c r="Y39" s="15"/>
      <c r="Z39" s="34">
        <f>IF(T39=0,0,X39/T39)</f>
        <v>-0.99039940415562355</v>
      </c>
    </row>
    <row r="40" spans="1:26" ht="15.75" thickTop="1" x14ac:dyDescent="0.25">
      <c r="A40" s="9"/>
      <c r="B40" s="9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x14ac:dyDescent="0.25">
      <c r="A41" s="9"/>
      <c r="B41" s="9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ht="15.75" thickBot="1" x14ac:dyDescent="0.3">
      <c r="A42" s="10"/>
      <c r="B42" s="28" t="s">
        <v>5</v>
      </c>
      <c r="C42" s="28"/>
      <c r="D42" s="32">
        <f>SUM(D39:D41)</f>
        <v>173.47</v>
      </c>
      <c r="E42" s="14"/>
      <c r="F42" s="30">
        <f>IF(D$12=0,0,D42/D$12)</f>
        <v>0</v>
      </c>
      <c r="G42" s="14"/>
      <c r="H42" s="32">
        <f>SUM(H39:H41)</f>
        <v>11510.96</v>
      </c>
      <c r="I42" s="14"/>
      <c r="J42" s="30">
        <f>IF(H$12=0,0,H42/H$12)</f>
        <v>0</v>
      </c>
      <c r="K42" s="15"/>
      <c r="L42" s="32">
        <f>+D42-H42</f>
        <v>-11337.49</v>
      </c>
      <c r="M42" s="15"/>
      <c r="N42" s="30">
        <f>IF(H42=0,0,L42/H42)</f>
        <v>-0.98493001452528728</v>
      </c>
      <c r="O42" s="29"/>
      <c r="P42" s="32">
        <f>SUM(P39:P41)</f>
        <v>2700.47</v>
      </c>
      <c r="Q42" s="14"/>
      <c r="R42" s="30">
        <f>IF(P$12=0,0,P42/P$12)</f>
        <v>0</v>
      </c>
      <c r="S42" s="14"/>
      <c r="T42" s="32">
        <f>SUM(T39:T41)</f>
        <v>281281.5</v>
      </c>
      <c r="U42" s="14"/>
      <c r="V42" s="30">
        <f>IF(T$12=0,0,T42/T$12)</f>
        <v>0</v>
      </c>
      <c r="W42" s="15"/>
      <c r="X42" s="32">
        <f>+P42-T42</f>
        <v>-278581.03000000003</v>
      </c>
      <c r="Y42" s="15"/>
      <c r="Z42" s="30">
        <f>IF(T42=0,0,X42/T42)</f>
        <v>-0.99039940415562355</v>
      </c>
    </row>
    <row r="43" spans="1:26" ht="15.75" thickTop="1" x14ac:dyDescent="0.25">
      <c r="A43" s="9"/>
      <c r="C43" s="9"/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25">
      <c r="A44" s="9"/>
      <c r="B44" s="54">
        <v>44174.686305405092</v>
      </c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  <row r="45" spans="1:26" x14ac:dyDescent="0.25">
      <c r="A45" s="9"/>
      <c r="B45" s="56" t="s">
        <v>313</v>
      </c>
      <c r="D45" s="17"/>
      <c r="E45" s="17"/>
      <c r="G45" s="17"/>
      <c r="H45" s="17"/>
      <c r="I45" s="17"/>
      <c r="J45" s="43"/>
      <c r="K45" s="17"/>
      <c r="L45" s="17"/>
      <c r="M45" s="17"/>
      <c r="P45" s="17"/>
      <c r="Q45" s="17"/>
      <c r="R45" s="43"/>
      <c r="S45" s="17"/>
      <c r="T45" s="17"/>
      <c r="U45" s="17"/>
      <c r="V45" s="43"/>
      <c r="W45" s="17"/>
      <c r="X45" s="17"/>
    </row>
    <row r="46" spans="1:26" x14ac:dyDescent="0.25">
      <c r="A46" s="9"/>
      <c r="B46" s="61"/>
      <c r="D46" s="17"/>
      <c r="E46" s="17"/>
      <c r="G46" s="17"/>
      <c r="H46" s="17"/>
      <c r="I46" s="17"/>
      <c r="J46" s="43"/>
      <c r="K46" s="17"/>
      <c r="L46" s="17"/>
      <c r="M46" s="17"/>
      <c r="P46" s="17"/>
      <c r="Q46" s="17"/>
      <c r="R46" s="43"/>
      <c r="S46" s="17"/>
      <c r="T46" s="17"/>
      <c r="U46" s="17"/>
      <c r="V46" s="43"/>
      <c r="W46" s="17"/>
      <c r="X46" s="17"/>
    </row>
    <row r="47" spans="1:26" x14ac:dyDescent="0.25">
      <c r="D47" s="17"/>
      <c r="E47" s="17"/>
      <c r="G47" s="17"/>
      <c r="H47" s="17"/>
      <c r="I47" s="17"/>
      <c r="J47" s="43"/>
      <c r="K47" s="17"/>
      <c r="L47" s="17"/>
      <c r="M47" s="17"/>
      <c r="P47" s="17"/>
      <c r="Q47" s="17"/>
      <c r="R47" s="43"/>
      <c r="S47" s="17"/>
      <c r="T47" s="17"/>
      <c r="U47" s="17"/>
      <c r="V47" s="43"/>
      <c r="W47" s="17"/>
      <c r="X47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298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300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107759.14</v>
      </c>
      <c r="E12" s="4"/>
      <c r="F12" s="12"/>
      <c r="G12" s="4"/>
      <c r="H12" s="4">
        <f>SUM(OSRRefH13x_0)</f>
        <v>1143734.8299999998</v>
      </c>
      <c r="I12" s="4"/>
      <c r="J12" s="12"/>
      <c r="K12" s="4"/>
      <c r="L12" s="4">
        <f t="shared" ref="L12:L17" si="0">+D12-H12</f>
        <v>-1035975.6899999998</v>
      </c>
      <c r="M12" s="4"/>
      <c r="N12" s="12">
        <f t="shared" ref="N12:N17" si="1">IF(H12=0,0,L12/H12)</f>
        <v>-0.90578310883476376</v>
      </c>
      <c r="O12" s="10"/>
      <c r="P12" s="4">
        <f>SUM(OSRRefP13x_0)</f>
        <v>551420.94000000006</v>
      </c>
      <c r="Q12" s="4"/>
      <c r="R12" s="12"/>
      <c r="S12" s="4"/>
      <c r="T12" s="4">
        <f>SUM(OSRRefT13x_0)</f>
        <v>5289699.8599999994</v>
      </c>
      <c r="U12" s="4"/>
      <c r="V12" s="12"/>
      <c r="W12" s="4"/>
      <c r="X12" s="4">
        <f t="shared" ref="X12:X17" si="2">+P12-T12</f>
        <v>-4738278.919999999</v>
      </c>
      <c r="Y12" s="4"/>
      <c r="Z12" s="12">
        <f t="shared" ref="Z12:Z17" si="3">IF(T12=0,0,X12/T12)</f>
        <v>-0.8957557225184416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--92.59</f>
        <v>92.59</v>
      </c>
      <c r="E13" s="2"/>
      <c r="F13" s="19"/>
      <c r="G13" s="2"/>
      <c r="H13" s="2">
        <f>--10277.85</f>
        <v>10277.85</v>
      </c>
      <c r="I13" s="2"/>
      <c r="J13" s="19"/>
      <c r="K13" s="2"/>
      <c r="L13" s="2">
        <f t="shared" si="0"/>
        <v>-10185.26</v>
      </c>
      <c r="M13" s="2"/>
      <c r="N13" s="19">
        <f t="shared" si="1"/>
        <v>-0.99099130654757561</v>
      </c>
      <c r="O13" s="11"/>
      <c r="P13" s="2">
        <f>--495.03</f>
        <v>495.03</v>
      </c>
      <c r="Q13" s="2"/>
      <c r="R13" s="19"/>
      <c r="S13" s="2"/>
      <c r="T13" s="2">
        <f>--19655.64</f>
        <v>19655.64</v>
      </c>
      <c r="U13" s="2"/>
      <c r="V13" s="19"/>
      <c r="W13" s="2"/>
      <c r="X13" s="2">
        <f t="shared" si="2"/>
        <v>-19160.61</v>
      </c>
      <c r="Y13" s="2"/>
      <c r="Z13" s="19">
        <f t="shared" si="3"/>
        <v>-0.97481486229906533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0</f>
        <v>0</v>
      </c>
      <c r="E14" s="2"/>
      <c r="F14" s="19"/>
      <c r="G14" s="2"/>
      <c r="H14" s="2">
        <f>--152.78</f>
        <v>152.78</v>
      </c>
      <c r="I14" s="2"/>
      <c r="J14" s="19"/>
      <c r="K14" s="2"/>
      <c r="L14" s="2">
        <f t="shared" si="0"/>
        <v>-152.78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--803.92</f>
        <v>803.92</v>
      </c>
      <c r="U14" s="2"/>
      <c r="V14" s="19"/>
      <c r="W14" s="2"/>
      <c r="X14" s="2">
        <f t="shared" si="2"/>
        <v>-803.92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--97309.27</f>
        <v>97309.27</v>
      </c>
      <c r="E15" s="2"/>
      <c r="F15" s="19"/>
      <c r="G15" s="2"/>
      <c r="H15" s="2">
        <f>--1110207.4</f>
        <v>1110207.3999999999</v>
      </c>
      <c r="I15" s="2"/>
      <c r="J15" s="19"/>
      <c r="K15" s="2"/>
      <c r="L15" s="2">
        <f t="shared" si="0"/>
        <v>-1012898.1299999999</v>
      </c>
      <c r="M15" s="2"/>
      <c r="N15" s="19">
        <f t="shared" si="1"/>
        <v>-0.91235036804834846</v>
      </c>
      <c r="O15" s="11"/>
      <c r="P15" s="2">
        <f>--524802.05</f>
        <v>524802.05000000005</v>
      </c>
      <c r="Q15" s="2"/>
      <c r="R15" s="19"/>
      <c r="S15" s="2"/>
      <c r="T15" s="2">
        <f>--5054212.33</f>
        <v>5054212.33</v>
      </c>
      <c r="U15" s="2"/>
      <c r="V15" s="19"/>
      <c r="W15" s="2"/>
      <c r="X15" s="2">
        <f t="shared" si="2"/>
        <v>-4529410.28</v>
      </c>
      <c r="Y15" s="2"/>
      <c r="Z15" s="19">
        <f t="shared" si="3"/>
        <v>-0.896165412979395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--10357.28</f>
        <v>10357.280000000001</v>
      </c>
      <c r="E16" s="2"/>
      <c r="F16" s="19"/>
      <c r="G16" s="2"/>
      <c r="H16" s="2">
        <f>--22208.1</f>
        <v>22208.1</v>
      </c>
      <c r="I16" s="2"/>
      <c r="J16" s="19"/>
      <c r="K16" s="2"/>
      <c r="L16" s="2">
        <f t="shared" si="0"/>
        <v>-11850.819999999998</v>
      </c>
      <c r="M16" s="2"/>
      <c r="N16" s="19">
        <f t="shared" si="1"/>
        <v>-0.53362601933528753</v>
      </c>
      <c r="O16" s="11"/>
      <c r="P16" s="2">
        <f>--26123.86</f>
        <v>26123.86</v>
      </c>
      <c r="Q16" s="2"/>
      <c r="R16" s="19"/>
      <c r="S16" s="2"/>
      <c r="T16" s="2">
        <f>--211996.16</f>
        <v>211996.16</v>
      </c>
      <c r="U16" s="2"/>
      <c r="V16" s="19"/>
      <c r="W16" s="2"/>
      <c r="X16" s="2">
        <f t="shared" si="2"/>
        <v>-185872.3</v>
      </c>
      <c r="Y16" s="2"/>
      <c r="Z16" s="19">
        <f t="shared" si="3"/>
        <v>-0.87677201322891885</v>
      </c>
    </row>
    <row r="17" spans="1:26" s="24" customFormat="1" hidden="1" outlineLevel="1" x14ac:dyDescent="0.25">
      <c r="A17" s="44"/>
      <c r="B17" s="11" t="str">
        <f>CONCATENATE("          ", "4155", " - ", "NON-TAXABLE SALES-FOOD")</f>
        <v xml:space="preserve">          4155 - NON-TAXABLE SALES-FOOD</v>
      </c>
      <c r="C17" s="11"/>
      <c r="D17" s="2">
        <f>0</f>
        <v>0</v>
      </c>
      <c r="E17" s="2"/>
      <c r="F17" s="19"/>
      <c r="G17" s="2"/>
      <c r="H17" s="2">
        <f>--888.7</f>
        <v>888.7</v>
      </c>
      <c r="I17" s="2"/>
      <c r="J17" s="19"/>
      <c r="K17" s="2"/>
      <c r="L17" s="2">
        <f t="shared" si="0"/>
        <v>-888.7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f>--3031.81</f>
        <v>3031.81</v>
      </c>
      <c r="U17" s="2"/>
      <c r="V17" s="19"/>
      <c r="W17" s="2"/>
      <c r="X17" s="2">
        <f t="shared" si="2"/>
        <v>-3031.81</v>
      </c>
      <c r="Y17" s="2"/>
      <c r="Z17" s="19">
        <f t="shared" si="3"/>
        <v>-1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9" t="s">
        <v>8</v>
      </c>
      <c r="C19" s="10"/>
      <c r="D19" s="4">
        <f>SUM(OSRRefD16x_0)</f>
        <v>41258.25</v>
      </c>
      <c r="E19" s="4"/>
      <c r="F19" s="12">
        <f t="shared" ref="F19:F21" si="4">IF(D$12=0,0,D19/D$12)</f>
        <v>0.38287471485017421</v>
      </c>
      <c r="G19" s="4"/>
      <c r="H19" s="4">
        <f>SUM(OSRRefH16x_0)</f>
        <v>261352.09</v>
      </c>
      <c r="I19" s="4"/>
      <c r="J19" s="12">
        <f t="shared" ref="J19:J21" si="5">IF(H$12=0,0,H19/H$12)</f>
        <v>0.22850759034766829</v>
      </c>
      <c r="K19" s="4"/>
      <c r="L19" s="4">
        <f t="shared" ref="L19:L21" si="6">+D19-H19</f>
        <v>-220093.84</v>
      </c>
      <c r="M19" s="4"/>
      <c r="N19" s="12">
        <f t="shared" ref="N19:N21" si="7">IF(H19=0,0,L19/H19)</f>
        <v>-0.84213537377872127</v>
      </c>
      <c r="O19" s="10"/>
      <c r="P19" s="4">
        <f>SUM(OSRRefP16x_0)</f>
        <v>216253.02000000002</v>
      </c>
      <c r="Q19" s="4"/>
      <c r="R19" s="12">
        <f t="shared" ref="R19:R21" si="8">IF(P$12=0,0,P19/P$12)</f>
        <v>0.39217411656510542</v>
      </c>
      <c r="S19" s="4"/>
      <c r="T19" s="4">
        <f>SUM(OSRRefT16x_0)</f>
        <v>1271423.05</v>
      </c>
      <c r="U19" s="4"/>
      <c r="V19" s="12">
        <f t="shared" ref="V19:V21" si="9">IF(T$12=0,0,T19/T$12)</f>
        <v>0.24035825919242235</v>
      </c>
      <c r="W19" s="4"/>
      <c r="X19" s="4">
        <f t="shared" ref="X19:X21" si="10">+P19-T19</f>
        <v>-1055170.03</v>
      </c>
      <c r="Y19" s="4"/>
      <c r="Z19" s="12">
        <f t="shared" ref="Z19:Z21" si="11">IF(T19=0,0,X19/T19)</f>
        <v>-0.82991261641827241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37703.25</v>
      </c>
      <c r="E20" s="2"/>
      <c r="F20" s="19">
        <f t="shared" si="4"/>
        <v>0.3498844738367437</v>
      </c>
      <c r="G20" s="2"/>
      <c r="H20" s="2">
        <v>238826.84</v>
      </c>
      <c r="I20" s="2"/>
      <c r="J20" s="19">
        <f t="shared" si="5"/>
        <v>0.20881312148201348</v>
      </c>
      <c r="K20" s="2"/>
      <c r="L20" s="2">
        <f t="shared" si="6"/>
        <v>-201123.59</v>
      </c>
      <c r="M20" s="2"/>
      <c r="N20" s="19">
        <f t="shared" si="7"/>
        <v>-0.84213143715337857</v>
      </c>
      <c r="O20" s="11"/>
      <c r="P20" s="2">
        <v>223610.7</v>
      </c>
      <c r="Q20" s="2"/>
      <c r="R20" s="19">
        <f t="shared" si="8"/>
        <v>0.40551724423087737</v>
      </c>
      <c r="S20" s="2"/>
      <c r="T20" s="2">
        <v>1275186.31</v>
      </c>
      <c r="U20" s="2"/>
      <c r="V20" s="19">
        <f t="shared" si="9"/>
        <v>0.24106969086143956</v>
      </c>
      <c r="W20" s="2"/>
      <c r="X20" s="2">
        <f t="shared" si="10"/>
        <v>-1051575.6100000001</v>
      </c>
      <c r="Y20" s="2"/>
      <c r="Z20" s="19">
        <f t="shared" si="11"/>
        <v>-0.82464468270522762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3555</v>
      </c>
      <c r="E21" s="2"/>
      <c r="F21" s="19">
        <f t="shared" si="4"/>
        <v>3.299024101343051E-2</v>
      </c>
      <c r="G21" s="2"/>
      <c r="H21" s="2">
        <v>22525.25</v>
      </c>
      <c r="I21" s="2"/>
      <c r="J21" s="19">
        <f t="shared" si="5"/>
        <v>1.9694468865654815E-2</v>
      </c>
      <c r="K21" s="2"/>
      <c r="L21" s="2">
        <f t="shared" si="6"/>
        <v>-18970.25</v>
      </c>
      <c r="M21" s="2"/>
      <c r="N21" s="19">
        <f t="shared" si="7"/>
        <v>-0.84217711235169423</v>
      </c>
      <c r="O21" s="11"/>
      <c r="P21" s="2">
        <v>-7357.68</v>
      </c>
      <c r="Q21" s="2"/>
      <c r="R21" s="19">
        <f t="shared" si="8"/>
        <v>-1.3343127665771995E-2</v>
      </c>
      <c r="S21" s="2"/>
      <c r="T21" s="2">
        <v>-3763.26</v>
      </c>
      <c r="U21" s="2"/>
      <c r="V21" s="19">
        <f t="shared" si="9"/>
        <v>-7.1143166901722866E-4</v>
      </c>
      <c r="W21" s="2"/>
      <c r="X21" s="2">
        <f t="shared" si="10"/>
        <v>-3594.42</v>
      </c>
      <c r="Y21" s="2"/>
      <c r="Z21" s="19">
        <f t="shared" si="11"/>
        <v>0.95513464389917246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D12-D19</f>
        <v>66500.89</v>
      </c>
      <c r="E23" s="14"/>
      <c r="F23" s="22">
        <f>IF(D$12=0,0,D23/D$12)</f>
        <v>0.61712528514982579</v>
      </c>
      <c r="G23" s="14"/>
      <c r="H23" s="20">
        <f>H12-H19</f>
        <v>882382.73999999987</v>
      </c>
      <c r="I23" s="14"/>
      <c r="J23" s="22">
        <f>IF(H$12=0,0,H23/H$12)</f>
        <v>0.77149240965233179</v>
      </c>
      <c r="K23" s="15"/>
      <c r="L23" s="20">
        <f>+D23-H23</f>
        <v>-815881.84999999986</v>
      </c>
      <c r="M23" s="15"/>
      <c r="N23" s="22">
        <f>IF(H23=0,0,L23/H23)</f>
        <v>-0.92463486989784049</v>
      </c>
      <c r="O23" s="29"/>
      <c r="P23" s="20">
        <f>P12-P19</f>
        <v>335167.92000000004</v>
      </c>
      <c r="Q23" s="14"/>
      <c r="R23" s="22">
        <f>IF(P$12=0,0,P23/P$12)</f>
        <v>0.60782588343489463</v>
      </c>
      <c r="S23" s="14"/>
      <c r="T23" s="20">
        <f>T12-T19</f>
        <v>4018276.8099999996</v>
      </c>
      <c r="U23" s="14"/>
      <c r="V23" s="22">
        <f>IF(T$12=0,0,T23/T$12)</f>
        <v>0.75964174080757774</v>
      </c>
      <c r="W23" s="15"/>
      <c r="X23" s="20">
        <f>+P23-T23</f>
        <v>-3683108.8899999997</v>
      </c>
      <c r="Y23" s="15"/>
      <c r="Z23" s="22">
        <f>IF(T23=0,0,X23/T23)</f>
        <v>-0.91658914110499023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241157.64999999997</v>
      </c>
      <c r="E25" s="21"/>
      <c r="F25" s="35">
        <f t="shared" ref="F25:F35" si="12">IF(D$12=0,0,D25/D$12)</f>
        <v>2.2379322069571077</v>
      </c>
      <c r="G25" s="21"/>
      <c r="H25" s="21">
        <f>SUM(OSRRefH22x_0)</f>
        <v>509287.63000000006</v>
      </c>
      <c r="I25" s="21"/>
      <c r="J25" s="35">
        <f t="shared" ref="J25:J35" si="13">IF(H$12=0,0,H25/H$12)</f>
        <v>0.44528470816963767</v>
      </c>
      <c r="K25" s="4"/>
      <c r="L25" s="21">
        <f t="shared" ref="L25:L35" si="14">+D25-H25</f>
        <v>-268129.9800000001</v>
      </c>
      <c r="M25" s="4"/>
      <c r="N25" s="35">
        <f t="shared" ref="N25:N35" si="15">IF(H25=0,0,L25/H25)</f>
        <v>-0.52648044877901323</v>
      </c>
      <c r="O25" s="10"/>
      <c r="P25" s="21">
        <f>SUM(OSRRefP22x_0)</f>
        <v>1154993.0899999999</v>
      </c>
      <c r="Q25" s="21"/>
      <c r="R25" s="35">
        <f t="shared" ref="R25:R35" si="16">IF(P$12=0,0,P25/P$12)</f>
        <v>2.0945760420342392</v>
      </c>
      <c r="S25" s="21"/>
      <c r="T25" s="21">
        <f>SUM(OSRRefT22x_0)</f>
        <v>2524670.4900000002</v>
      </c>
      <c r="U25" s="21"/>
      <c r="V25" s="35">
        <f t="shared" ref="V25:V35" si="17">IF(T$12=0,0,T25/T$12)</f>
        <v>0.47728048033333986</v>
      </c>
      <c r="W25" s="4"/>
      <c r="X25" s="21">
        <f t="shared" ref="X25:X35" si="18">+P25-T25</f>
        <v>-1369677.4000000004</v>
      </c>
      <c r="Y25" s="4"/>
      <c r="Z25" s="35">
        <f t="shared" ref="Z25:Z35" si="19">IF(T25=0,0,X25/T25)</f>
        <v>-0.54251729301909823</v>
      </c>
    </row>
    <row r="26" spans="1:26" s="26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81500.98</v>
      </c>
      <c r="E26" s="1"/>
      <c r="F26" s="5">
        <f t="shared" si="12"/>
        <v>0.75632544951639369</v>
      </c>
      <c r="G26" s="1"/>
      <c r="H26" s="1">
        <f>SUM(OSRRefH22_0x_0)</f>
        <v>94696.54</v>
      </c>
      <c r="I26" s="1"/>
      <c r="J26" s="5">
        <f t="shared" si="13"/>
        <v>8.279588722501352E-2</v>
      </c>
      <c r="K26" s="1"/>
      <c r="L26" s="1">
        <f t="shared" si="14"/>
        <v>-13195.559999999998</v>
      </c>
      <c r="M26" s="1"/>
      <c r="N26" s="5">
        <f t="shared" si="15"/>
        <v>-0.13934574589525656</v>
      </c>
      <c r="O26" s="13"/>
      <c r="P26" s="1">
        <f>SUM(OSRRefP22_0x_0)</f>
        <v>388275.54</v>
      </c>
      <c r="Q26" s="1"/>
      <c r="R26" s="5">
        <f t="shared" si="16"/>
        <v>0.70413637175258514</v>
      </c>
      <c r="S26" s="1"/>
      <c r="T26" s="1">
        <f>SUM(OSRRefT22_0x_0)</f>
        <v>469917.94</v>
      </c>
      <c r="U26" s="1"/>
      <c r="V26" s="5">
        <f t="shared" si="17"/>
        <v>8.8836408952700022E-2</v>
      </c>
      <c r="W26" s="1"/>
      <c r="X26" s="1">
        <f t="shared" si="18"/>
        <v>-81642.400000000023</v>
      </c>
      <c r="Y26" s="1"/>
      <c r="Z26" s="5">
        <f t="shared" si="19"/>
        <v>-0.17373756788259676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7743.08</v>
      </c>
      <c r="E27" s="2"/>
      <c r="F27" s="7">
        <f t="shared" si="12"/>
        <v>7.1855436114282273E-2</v>
      </c>
      <c r="G27" s="2"/>
      <c r="H27" s="6">
        <v>12482.38</v>
      </c>
      <c r="I27" s="2"/>
      <c r="J27" s="7">
        <f t="shared" si="13"/>
        <v>1.0913701036804134E-2</v>
      </c>
      <c r="K27" s="2"/>
      <c r="L27" s="6">
        <f t="shared" si="14"/>
        <v>-4739.2999999999993</v>
      </c>
      <c r="M27" s="2"/>
      <c r="N27" s="7">
        <f t="shared" si="15"/>
        <v>-0.37967919579439174</v>
      </c>
      <c r="O27" s="11"/>
      <c r="P27" s="6">
        <v>41925.839999999997</v>
      </c>
      <c r="Q27" s="2"/>
      <c r="R27" s="7">
        <f t="shared" si="16"/>
        <v>7.6032368302879447E-2</v>
      </c>
      <c r="S27" s="2"/>
      <c r="T27" s="6">
        <v>73946.710000000006</v>
      </c>
      <c r="U27" s="2"/>
      <c r="V27" s="7">
        <f t="shared" si="17"/>
        <v>1.3979377272267394E-2</v>
      </c>
      <c r="W27" s="2"/>
      <c r="X27" s="6">
        <f t="shared" si="18"/>
        <v>-32020.87000000001</v>
      </c>
      <c r="Y27" s="2"/>
      <c r="Z27" s="7">
        <f t="shared" si="19"/>
        <v>-0.43302629691030214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8283.3700000000008</v>
      </c>
      <c r="E28" s="2"/>
      <c r="F28" s="7">
        <f t="shared" si="12"/>
        <v>7.6869303151454266E-2</v>
      </c>
      <c r="G28" s="2"/>
      <c r="H28" s="6">
        <v>11345</v>
      </c>
      <c r="I28" s="2"/>
      <c r="J28" s="7">
        <f t="shared" si="13"/>
        <v>9.919257246017419E-3</v>
      </c>
      <c r="K28" s="2"/>
      <c r="L28" s="6">
        <f t="shared" si="14"/>
        <v>-3061.6299999999992</v>
      </c>
      <c r="M28" s="2"/>
      <c r="N28" s="7">
        <f t="shared" si="15"/>
        <v>-0.26986602027324808</v>
      </c>
      <c r="O28" s="11"/>
      <c r="P28" s="6">
        <v>25824</v>
      </c>
      <c r="Q28" s="2"/>
      <c r="R28" s="7">
        <f t="shared" si="16"/>
        <v>4.683173620501245E-2</v>
      </c>
      <c r="S28" s="2"/>
      <c r="T28" s="6">
        <v>34732.239999999998</v>
      </c>
      <c r="U28" s="2"/>
      <c r="V28" s="7">
        <f t="shared" si="17"/>
        <v>6.5660133692349047E-3</v>
      </c>
      <c r="W28" s="2"/>
      <c r="X28" s="6">
        <f t="shared" si="18"/>
        <v>-8908.239999999998</v>
      </c>
      <c r="Y28" s="2"/>
      <c r="Z28" s="7">
        <f t="shared" si="19"/>
        <v>-0.25648331348625941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45706.28</v>
      </c>
      <c r="E29" s="2"/>
      <c r="F29" s="7">
        <f t="shared" si="12"/>
        <v>0.42415223432555232</v>
      </c>
      <c r="G29" s="2"/>
      <c r="H29" s="6">
        <v>47638.21</v>
      </c>
      <c r="I29" s="2"/>
      <c r="J29" s="7">
        <f t="shared" si="13"/>
        <v>4.1651446428364873E-2</v>
      </c>
      <c r="K29" s="2"/>
      <c r="L29" s="6">
        <f t="shared" si="14"/>
        <v>-1931.9300000000003</v>
      </c>
      <c r="M29" s="2"/>
      <c r="N29" s="7">
        <f t="shared" si="15"/>
        <v>-4.0554210580120459E-2</v>
      </c>
      <c r="O29" s="11"/>
      <c r="P29" s="6">
        <v>221885.63</v>
      </c>
      <c r="Q29" s="2"/>
      <c r="R29" s="7">
        <f t="shared" si="16"/>
        <v>0.40238883565067368</v>
      </c>
      <c r="S29" s="2"/>
      <c r="T29" s="6">
        <v>228420.05000000002</v>
      </c>
      <c r="U29" s="2"/>
      <c r="V29" s="7">
        <f t="shared" si="17"/>
        <v>4.3182043602753684E-2</v>
      </c>
      <c r="W29" s="2"/>
      <c r="X29" s="6">
        <f t="shared" si="18"/>
        <v>-6534.4200000000128</v>
      </c>
      <c r="Y29" s="2"/>
      <c r="Z29" s="7">
        <f t="shared" si="19"/>
        <v>-2.8607033401840218E-2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502.02</v>
      </c>
      <c r="E30" s="2"/>
      <c r="F30" s="7">
        <f t="shared" si="12"/>
        <v>4.6587231486814014E-3</v>
      </c>
      <c r="G30" s="2"/>
      <c r="H30" s="6">
        <v>764.12</v>
      </c>
      <c r="I30" s="2"/>
      <c r="J30" s="7">
        <f t="shared" si="13"/>
        <v>6.6809192127164664E-4</v>
      </c>
      <c r="K30" s="2"/>
      <c r="L30" s="6">
        <f t="shared" si="14"/>
        <v>-262.10000000000002</v>
      </c>
      <c r="M30" s="2"/>
      <c r="N30" s="7">
        <f t="shared" si="15"/>
        <v>-0.34300895147359056</v>
      </c>
      <c r="O30" s="11"/>
      <c r="P30" s="6">
        <v>1645.86</v>
      </c>
      <c r="Q30" s="2"/>
      <c r="R30" s="7">
        <f t="shared" si="16"/>
        <v>2.9847615144974358E-3</v>
      </c>
      <c r="S30" s="2"/>
      <c r="T30" s="6">
        <v>3313.07</v>
      </c>
      <c r="U30" s="2"/>
      <c r="V30" s="7">
        <f t="shared" si="17"/>
        <v>6.2632476089106515E-4</v>
      </c>
      <c r="W30" s="2"/>
      <c r="X30" s="6">
        <f t="shared" si="18"/>
        <v>-1667.2100000000003</v>
      </c>
      <c r="Y30" s="2"/>
      <c r="Z30" s="7">
        <f t="shared" si="19"/>
        <v>-0.50322208706728211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4246.5200000000004</v>
      </c>
      <c r="E31" s="2"/>
      <c r="F31" s="7">
        <f t="shared" si="12"/>
        <v>3.9407515687300401E-2</v>
      </c>
      <c r="G31" s="2"/>
      <c r="H31" s="6">
        <v>3962.54</v>
      </c>
      <c r="I31" s="2"/>
      <c r="J31" s="7">
        <f t="shared" si="13"/>
        <v>3.4645617988218482E-3</v>
      </c>
      <c r="K31" s="2"/>
      <c r="L31" s="6">
        <f t="shared" si="14"/>
        <v>283.98000000000047</v>
      </c>
      <c r="M31" s="2"/>
      <c r="N31" s="7">
        <f t="shared" si="15"/>
        <v>7.1666153527787851E-2</v>
      </c>
      <c r="O31" s="11"/>
      <c r="P31" s="6">
        <v>20146.68</v>
      </c>
      <c r="Q31" s="2"/>
      <c r="R31" s="7">
        <f t="shared" si="16"/>
        <v>3.6535935686446724E-2</v>
      </c>
      <c r="S31" s="2"/>
      <c r="T31" s="6">
        <v>21913.129999999997</v>
      </c>
      <c r="U31" s="2"/>
      <c r="V31" s="7">
        <f t="shared" si="17"/>
        <v>4.1426036599361993E-3</v>
      </c>
      <c r="W31" s="2"/>
      <c r="X31" s="6">
        <f t="shared" si="18"/>
        <v>-1766.4499999999971</v>
      </c>
      <c r="Y31" s="2"/>
      <c r="Z31" s="7">
        <f t="shared" si="19"/>
        <v>-8.0611487268135468E-2</v>
      </c>
    </row>
    <row r="32" spans="1:26" s="24" customFormat="1" hidden="1" outlineLevel="2" x14ac:dyDescent="0.25">
      <c r="A32" s="25"/>
      <c r="B32" s="11" t="str">
        <f>CONCATENATE("          ", "6117", " - ", "RETIREMENT STAFF HOURLY")</f>
        <v xml:space="preserve">          6117 - RETIREMENT STAFF HOURLY</v>
      </c>
      <c r="C32" s="11"/>
      <c r="D32" s="6">
        <v>1420.55</v>
      </c>
      <c r="E32" s="2"/>
      <c r="F32" s="7">
        <f t="shared" si="12"/>
        <v>1.3182640470219045E-2</v>
      </c>
      <c r="G32" s="2"/>
      <c r="H32" s="6">
        <v>1771.39</v>
      </c>
      <c r="I32" s="2"/>
      <c r="J32" s="7">
        <f t="shared" si="13"/>
        <v>1.5487768261809429E-3</v>
      </c>
      <c r="K32" s="2"/>
      <c r="L32" s="6">
        <f t="shared" si="14"/>
        <v>-350.84000000000015</v>
      </c>
      <c r="M32" s="2"/>
      <c r="N32" s="7">
        <f t="shared" si="15"/>
        <v>-0.19805915128797166</v>
      </c>
      <c r="O32" s="11"/>
      <c r="P32" s="6">
        <v>7686.86</v>
      </c>
      <c r="Q32" s="2"/>
      <c r="R32" s="7">
        <f t="shared" si="16"/>
        <v>1.3940094476644283E-2</v>
      </c>
      <c r="S32" s="2"/>
      <c r="T32" s="6">
        <v>8264.41</v>
      </c>
      <c r="U32" s="2"/>
      <c r="V32" s="7">
        <f t="shared" si="17"/>
        <v>1.562358965296757E-3</v>
      </c>
      <c r="W32" s="2"/>
      <c r="X32" s="6">
        <f t="shared" si="18"/>
        <v>-577.55000000000018</v>
      </c>
      <c r="Y32" s="2"/>
      <c r="Z32" s="7">
        <f t="shared" si="19"/>
        <v>-6.9883996558738032E-2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>
        <v>6577.6</v>
      </c>
      <c r="E33" s="2"/>
      <c r="F33" s="7">
        <f t="shared" si="12"/>
        <v>6.1039833836832778E-2</v>
      </c>
      <c r="G33" s="2"/>
      <c r="H33" s="6">
        <v>7791.66</v>
      </c>
      <c r="I33" s="2"/>
      <c r="J33" s="7">
        <f t="shared" si="13"/>
        <v>6.8124706843106292E-3</v>
      </c>
      <c r="K33" s="2"/>
      <c r="L33" s="6">
        <f t="shared" si="14"/>
        <v>-1214.0599999999995</v>
      </c>
      <c r="M33" s="2"/>
      <c r="N33" s="7">
        <f t="shared" si="15"/>
        <v>-0.15581532048369662</v>
      </c>
      <c r="O33" s="11"/>
      <c r="P33" s="6">
        <v>33623.26</v>
      </c>
      <c r="Q33" s="2"/>
      <c r="R33" s="7">
        <f t="shared" si="16"/>
        <v>6.0975667699525518E-2</v>
      </c>
      <c r="S33" s="2"/>
      <c r="T33" s="6">
        <v>45496.5</v>
      </c>
      <c r="U33" s="2"/>
      <c r="V33" s="7">
        <f t="shared" si="17"/>
        <v>8.6009605845576292E-3</v>
      </c>
      <c r="W33" s="2"/>
      <c r="X33" s="6">
        <f t="shared" si="18"/>
        <v>-11873.239999999998</v>
      </c>
      <c r="Y33" s="2"/>
      <c r="Z33" s="7">
        <f t="shared" si="19"/>
        <v>-0.26097040431681551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>
        <v>4207.78</v>
      </c>
      <c r="E34" s="2"/>
      <c r="F34" s="7">
        <f t="shared" si="12"/>
        <v>3.9048010219829149E-2</v>
      </c>
      <c r="G34" s="2"/>
      <c r="H34" s="6">
        <v>5258.52</v>
      </c>
      <c r="I34" s="2"/>
      <c r="J34" s="7">
        <f t="shared" si="13"/>
        <v>4.5976740954894249E-3</v>
      </c>
      <c r="K34" s="2"/>
      <c r="L34" s="6">
        <f t="shared" si="14"/>
        <v>-1050.7400000000007</v>
      </c>
      <c r="M34" s="2"/>
      <c r="N34" s="7">
        <f t="shared" si="15"/>
        <v>-0.19981667845705647</v>
      </c>
      <c r="O34" s="11"/>
      <c r="P34" s="6">
        <v>22456.449999999997</v>
      </c>
      <c r="Q34" s="2"/>
      <c r="R34" s="7">
        <f t="shared" si="16"/>
        <v>4.0724695728820155E-2</v>
      </c>
      <c r="S34" s="2"/>
      <c r="T34" s="6">
        <v>35969.630000000005</v>
      </c>
      <c r="U34" s="2"/>
      <c r="V34" s="7">
        <f t="shared" si="17"/>
        <v>6.799937794580279E-3</v>
      </c>
      <c r="W34" s="2"/>
      <c r="X34" s="6">
        <f t="shared" si="18"/>
        <v>-13513.180000000008</v>
      </c>
      <c r="Y34" s="2"/>
      <c r="Z34" s="7">
        <f t="shared" si="19"/>
        <v>-0.37568304149917597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6">
        <v>2813.78</v>
      </c>
      <c r="E35" s="2"/>
      <c r="F35" s="7">
        <f t="shared" si="12"/>
        <v>2.6111752562242053E-2</v>
      </c>
      <c r="G35" s="2"/>
      <c r="H35" s="6">
        <v>3682.72</v>
      </c>
      <c r="I35" s="2"/>
      <c r="J35" s="7">
        <f t="shared" si="13"/>
        <v>3.2199071877526018E-3</v>
      </c>
      <c r="K35" s="2"/>
      <c r="L35" s="6">
        <f t="shared" si="14"/>
        <v>-868.9399999999996</v>
      </c>
      <c r="M35" s="2"/>
      <c r="N35" s="7">
        <f t="shared" si="15"/>
        <v>-0.23595060172915661</v>
      </c>
      <c r="O35" s="11"/>
      <c r="P35" s="6">
        <v>13080.96</v>
      </c>
      <c r="Q35" s="2"/>
      <c r="R35" s="7">
        <f t="shared" si="16"/>
        <v>2.3722276488085486E-2</v>
      </c>
      <c r="S35" s="2"/>
      <c r="T35" s="6">
        <v>17862.2</v>
      </c>
      <c r="U35" s="2"/>
      <c r="V35" s="7">
        <f t="shared" si="17"/>
        <v>3.3767889431821191E-3</v>
      </c>
      <c r="W35" s="2"/>
      <c r="X35" s="6">
        <f t="shared" si="18"/>
        <v>-4781.2400000000016</v>
      </c>
      <c r="Y35" s="2"/>
      <c r="Z35" s="7">
        <f t="shared" si="19"/>
        <v>-0.26767363482661716</v>
      </c>
    </row>
    <row r="36" spans="1:26" s="26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109638.76</v>
      </c>
      <c r="E36" s="1"/>
      <c r="F36" s="5">
        <f t="shared" ref="F36:F43" si="20">IF(D$12=0,0,D36/D$12)</f>
        <v>1.0174427895397087</v>
      </c>
      <c r="G36" s="1"/>
      <c r="H36" s="1">
        <f>SUM(OSRRefH22_1x_0)</f>
        <v>258756.52000000002</v>
      </c>
      <c r="I36" s="1"/>
      <c r="J36" s="5">
        <f t="shared" ref="J36:J43" si="21">IF(H$12=0,0,H36/H$12)</f>
        <v>0.22623820942831657</v>
      </c>
      <c r="K36" s="1"/>
      <c r="L36" s="1">
        <f t="shared" ref="L36:L43" si="22">+D36-H36</f>
        <v>-149117.76000000001</v>
      </c>
      <c r="M36" s="1"/>
      <c r="N36" s="5">
        <f t="shared" ref="N36:N43" si="23">IF(H36=0,0,L36/H36)</f>
        <v>-0.57628600044551537</v>
      </c>
      <c r="O36" s="13"/>
      <c r="P36" s="1">
        <f>SUM(OSRRefP22_1x_0)</f>
        <v>547950.43999999994</v>
      </c>
      <c r="Q36" s="1"/>
      <c r="R36" s="5">
        <f t="shared" ref="R36:R43" si="24">IF(P$12=0,0,P36/P$12)</f>
        <v>0.99370626004881113</v>
      </c>
      <c r="S36" s="1"/>
      <c r="T36" s="1">
        <f>SUM(OSRRefT22_1x_0)</f>
        <v>1308578.6600000001</v>
      </c>
      <c r="U36" s="1"/>
      <c r="V36" s="5">
        <f t="shared" ref="V36:V43" si="25">IF(T$12=0,0,T36/T$12)</f>
        <v>0.24738240252444121</v>
      </c>
      <c r="W36" s="1"/>
      <c r="X36" s="1">
        <f t="shared" ref="X36:X43" si="26">+P36-T36</f>
        <v>-760628.2200000002</v>
      </c>
      <c r="Y36" s="1"/>
      <c r="Z36" s="5">
        <f t="shared" ref="Z36:Z43" si="27">IF(T36=0,0,X36/T36)</f>
        <v>-0.58126289481138271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6">
        <v>8511.56</v>
      </c>
      <c r="E37" s="2"/>
      <c r="F37" s="7">
        <f t="shared" si="20"/>
        <v>7.8986896146350086E-2</v>
      </c>
      <c r="G37" s="2"/>
      <c r="H37" s="6">
        <v>8145.04</v>
      </c>
      <c r="I37" s="2"/>
      <c r="J37" s="7">
        <f t="shared" si="21"/>
        <v>7.1214409025210862E-3</v>
      </c>
      <c r="K37" s="2"/>
      <c r="L37" s="6">
        <f t="shared" si="22"/>
        <v>366.51999999999953</v>
      </c>
      <c r="M37" s="2"/>
      <c r="N37" s="7">
        <f t="shared" si="23"/>
        <v>4.4999165136082764E-2</v>
      </c>
      <c r="O37" s="11"/>
      <c r="P37" s="6">
        <v>45245.67</v>
      </c>
      <c r="Q37" s="2"/>
      <c r="R37" s="7">
        <f t="shared" si="24"/>
        <v>8.2052868721307529E-2</v>
      </c>
      <c r="S37" s="2"/>
      <c r="T37" s="6">
        <v>38281.699999999997</v>
      </c>
      <c r="U37" s="2"/>
      <c r="V37" s="7">
        <f t="shared" si="25"/>
        <v>7.2370268660195778E-3</v>
      </c>
      <c r="W37" s="2"/>
      <c r="X37" s="6">
        <f t="shared" si="26"/>
        <v>6963.9700000000012</v>
      </c>
      <c r="Y37" s="2"/>
      <c r="Z37" s="7">
        <f t="shared" si="27"/>
        <v>0.18191381260497841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6">
        <v>23741.200000000001</v>
      </c>
      <c r="E38" s="2"/>
      <c r="F38" s="7">
        <f t="shared" si="20"/>
        <v>0.22031727424699196</v>
      </c>
      <c r="G38" s="2"/>
      <c r="H38" s="6">
        <v>36788.339999999997</v>
      </c>
      <c r="I38" s="2"/>
      <c r="J38" s="7">
        <f t="shared" si="21"/>
        <v>3.2165095470599599E-2</v>
      </c>
      <c r="K38" s="2"/>
      <c r="L38" s="6">
        <f t="shared" si="22"/>
        <v>-13047.139999999996</v>
      </c>
      <c r="M38" s="2"/>
      <c r="N38" s="7">
        <f t="shared" si="23"/>
        <v>-0.35465421924446705</v>
      </c>
      <c r="O38" s="11"/>
      <c r="P38" s="6">
        <v>145295.80000000002</v>
      </c>
      <c r="Q38" s="2"/>
      <c r="R38" s="7">
        <f t="shared" si="24"/>
        <v>0.26349343933148422</v>
      </c>
      <c r="S38" s="2"/>
      <c r="T38" s="6">
        <v>200926.82</v>
      </c>
      <c r="U38" s="2"/>
      <c r="V38" s="7">
        <f t="shared" si="25"/>
        <v>3.7984540771279232E-2</v>
      </c>
      <c r="W38" s="2"/>
      <c r="X38" s="6">
        <f t="shared" si="26"/>
        <v>-55631.01999999999</v>
      </c>
      <c r="Y38" s="2"/>
      <c r="Z38" s="7">
        <f t="shared" si="27"/>
        <v>-0.2768720472458579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>
        <v>47514.369999999995</v>
      </c>
      <c r="E39" s="2"/>
      <c r="F39" s="7">
        <f t="shared" si="20"/>
        <v>0.4409312286642228</v>
      </c>
      <c r="G39" s="2"/>
      <c r="H39" s="6">
        <v>61622.700000000004</v>
      </c>
      <c r="I39" s="2"/>
      <c r="J39" s="7">
        <f t="shared" si="21"/>
        <v>5.3878485103054888E-2</v>
      </c>
      <c r="K39" s="2"/>
      <c r="L39" s="6">
        <f t="shared" si="22"/>
        <v>-14108.330000000009</v>
      </c>
      <c r="M39" s="2"/>
      <c r="N39" s="7">
        <f t="shared" si="23"/>
        <v>-0.22894696272639803</v>
      </c>
      <c r="O39" s="11"/>
      <c r="P39" s="6">
        <v>238862.05999999997</v>
      </c>
      <c r="Q39" s="2"/>
      <c r="R39" s="7">
        <f t="shared" si="24"/>
        <v>0.43317553374015855</v>
      </c>
      <c r="S39" s="2"/>
      <c r="T39" s="6">
        <v>304417.78999999998</v>
      </c>
      <c r="U39" s="2"/>
      <c r="V39" s="7">
        <f t="shared" si="25"/>
        <v>5.7549161210821514E-2</v>
      </c>
      <c r="W39" s="2"/>
      <c r="X39" s="6">
        <f t="shared" si="26"/>
        <v>-65555.73000000001</v>
      </c>
      <c r="Y39" s="2"/>
      <c r="Z39" s="7">
        <f t="shared" si="27"/>
        <v>-0.21534789408989538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>
        <v>12819.28</v>
      </c>
      <c r="E40" s="2"/>
      <c r="F40" s="7">
        <f t="shared" si="20"/>
        <v>0.11896234509666652</v>
      </c>
      <c r="G40" s="2"/>
      <c r="H40" s="6">
        <v>44648.61</v>
      </c>
      <c r="I40" s="2"/>
      <c r="J40" s="7">
        <f t="shared" si="21"/>
        <v>3.9037553835796018E-2</v>
      </c>
      <c r="K40" s="2"/>
      <c r="L40" s="6">
        <f t="shared" si="22"/>
        <v>-31829.33</v>
      </c>
      <c r="M40" s="2"/>
      <c r="N40" s="7">
        <f t="shared" si="23"/>
        <v>-0.71288512677102378</v>
      </c>
      <c r="O40" s="11"/>
      <c r="P40" s="6">
        <v>50543.09</v>
      </c>
      <c r="Q40" s="2"/>
      <c r="R40" s="7">
        <f t="shared" si="24"/>
        <v>9.1659721881435965E-2</v>
      </c>
      <c r="S40" s="2"/>
      <c r="T40" s="6">
        <v>240670.9</v>
      </c>
      <c r="U40" s="2"/>
      <c r="V40" s="7">
        <f t="shared" si="25"/>
        <v>4.5498025666809765E-2</v>
      </c>
      <c r="W40" s="2"/>
      <c r="X40" s="6">
        <f t="shared" si="26"/>
        <v>-190127.81</v>
      </c>
      <c r="Y40" s="2"/>
      <c r="Z40" s="7">
        <f t="shared" si="27"/>
        <v>-0.78999085473150266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3812</v>
      </c>
      <c r="I41" s="2"/>
      <c r="J41" s="7">
        <f t="shared" si="21"/>
        <v>3.3329403809447687E-3</v>
      </c>
      <c r="K41" s="2"/>
      <c r="L41" s="6">
        <f t="shared" si="22"/>
        <v>-3812</v>
      </c>
      <c r="M41" s="2"/>
      <c r="N41" s="7">
        <f t="shared" si="23"/>
        <v>-1</v>
      </c>
      <c r="O41" s="11"/>
      <c r="P41" s="6"/>
      <c r="Q41" s="2"/>
      <c r="R41" s="7">
        <f t="shared" si="24"/>
        <v>0</v>
      </c>
      <c r="S41" s="2"/>
      <c r="T41" s="6">
        <v>27338.289999999997</v>
      </c>
      <c r="U41" s="2"/>
      <c r="V41" s="7">
        <f t="shared" si="25"/>
        <v>5.1682119446376301E-3</v>
      </c>
      <c r="W41" s="2"/>
      <c r="X41" s="6">
        <f t="shared" si="26"/>
        <v>-27338.289999999997</v>
      </c>
      <c r="Y41" s="2"/>
      <c r="Z41" s="7">
        <f t="shared" si="27"/>
        <v>-1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15212.46</v>
      </c>
      <c r="E42" s="2"/>
      <c r="F42" s="7">
        <f t="shared" si="20"/>
        <v>0.14117094846896514</v>
      </c>
      <c r="G42" s="2"/>
      <c r="H42" s="6">
        <v>83054.83</v>
      </c>
      <c r="I42" s="2"/>
      <c r="J42" s="7">
        <f t="shared" si="21"/>
        <v>7.2617207958946231E-2</v>
      </c>
      <c r="K42" s="2"/>
      <c r="L42" s="6">
        <f t="shared" si="22"/>
        <v>-67842.37</v>
      </c>
      <c r="M42" s="2"/>
      <c r="N42" s="7">
        <f t="shared" si="23"/>
        <v>-0.8168383464272938</v>
      </c>
      <c r="O42" s="11"/>
      <c r="P42" s="6">
        <v>58468.97</v>
      </c>
      <c r="Q42" s="2"/>
      <c r="R42" s="7">
        <f t="shared" si="24"/>
        <v>0.10603327831547346</v>
      </c>
      <c r="S42" s="2"/>
      <c r="T42" s="6">
        <v>396207.66</v>
      </c>
      <c r="U42" s="2"/>
      <c r="V42" s="7">
        <f t="shared" si="25"/>
        <v>7.4901727978191945E-2</v>
      </c>
      <c r="W42" s="2"/>
      <c r="X42" s="6">
        <f t="shared" si="26"/>
        <v>-337738.68999999994</v>
      </c>
      <c r="Y42" s="2"/>
      <c r="Z42" s="7">
        <f t="shared" si="27"/>
        <v>-0.85242847147377199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>
        <v>1839.89</v>
      </c>
      <c r="E43" s="2"/>
      <c r="F43" s="7">
        <f t="shared" si="20"/>
        <v>1.7074096916512141E-2</v>
      </c>
      <c r="G43" s="2"/>
      <c r="H43" s="6">
        <v>20685</v>
      </c>
      <c r="I43" s="2"/>
      <c r="J43" s="7">
        <f t="shared" si="21"/>
        <v>1.8085485776453972E-2</v>
      </c>
      <c r="K43" s="2"/>
      <c r="L43" s="6">
        <f t="shared" si="22"/>
        <v>-18845.11</v>
      </c>
      <c r="M43" s="2"/>
      <c r="N43" s="7">
        <f t="shared" si="23"/>
        <v>-0.91105197002658933</v>
      </c>
      <c r="O43" s="11"/>
      <c r="P43" s="6">
        <v>9534.85</v>
      </c>
      <c r="Q43" s="2"/>
      <c r="R43" s="7">
        <f t="shared" si="24"/>
        <v>1.7291418058951478E-2</v>
      </c>
      <c r="S43" s="2"/>
      <c r="T43" s="6">
        <v>100735.5</v>
      </c>
      <c r="U43" s="2"/>
      <c r="V43" s="7">
        <f t="shared" si="25"/>
        <v>1.9043708086681502E-2</v>
      </c>
      <c r="W43" s="2"/>
      <c r="X43" s="6">
        <f t="shared" si="26"/>
        <v>-91200.65</v>
      </c>
      <c r="Y43" s="2"/>
      <c r="Z43" s="7">
        <f t="shared" si="27"/>
        <v>-0.90534766790257648</v>
      </c>
    </row>
    <row r="44" spans="1:26" s="26" customFormat="1" outlineLevel="1" collapsed="1" x14ac:dyDescent="0.25">
      <c r="A44" s="27"/>
      <c r="B44" s="13" t="str">
        <f>CONCATENATE("     ","Advertising/Promo                                 ")</f>
        <v xml:space="preserve">     Advertising/Promo                                 </v>
      </c>
      <c r="C44" s="13"/>
      <c r="D44" s="1">
        <f>SUM(OSRRefD22_2x_0)</f>
        <v>0</v>
      </c>
      <c r="E44" s="1"/>
      <c r="F44" s="5">
        <f t="shared" ref="F44:F67" si="28">IF(D$12=0,0,D44/D$12)</f>
        <v>0</v>
      </c>
      <c r="G44" s="1"/>
      <c r="H44" s="1">
        <f>SUM(OSRRefH22_2x_0)</f>
        <v>267.33</v>
      </c>
      <c r="I44" s="1"/>
      <c r="J44" s="5">
        <f t="shared" ref="J44:J67" si="29">IF(H$12=0,0,H44/H$12)</f>
        <v>2.3373424764899399E-4</v>
      </c>
      <c r="K44" s="1"/>
      <c r="L44" s="1">
        <f t="shared" ref="L44:L67" si="30">+D44-H44</f>
        <v>-267.33</v>
      </c>
      <c r="M44" s="1"/>
      <c r="N44" s="5">
        <f t="shared" ref="N44:N67" si="31">IF(H44=0,0,L44/H44)</f>
        <v>-1</v>
      </c>
      <c r="O44" s="13"/>
      <c r="P44" s="1">
        <f>SUM(OSRRefP22_2x_0)</f>
        <v>1429</v>
      </c>
      <c r="Q44" s="1"/>
      <c r="R44" s="5">
        <f t="shared" ref="R44:R67" si="32">IF(P$12=0,0,P44/P$12)</f>
        <v>2.5914866417659074E-3</v>
      </c>
      <c r="S44" s="1"/>
      <c r="T44" s="1">
        <f>SUM(OSRRefT22_2x_0)</f>
        <v>7928.8</v>
      </c>
      <c r="U44" s="1"/>
      <c r="V44" s="5">
        <f t="shared" ref="V44:V67" si="33">IF(T$12=0,0,T44/T$12)</f>
        <v>1.4989130215036436E-3</v>
      </c>
      <c r="W44" s="1"/>
      <c r="X44" s="1">
        <f t="shared" ref="X44:X67" si="34">+P44-T44</f>
        <v>-6499.8</v>
      </c>
      <c r="Y44" s="1"/>
      <c r="Z44" s="5">
        <f t="shared" ref="Z44:Z67" si="35">IF(T44=0,0,X44/T44)</f>
        <v>-0.819770961557865</v>
      </c>
    </row>
    <row r="45" spans="1:26" s="24" customFormat="1" hidden="1" outlineLevel="2" x14ac:dyDescent="0.25">
      <c r="A45" s="25"/>
      <c r="B45" s="11" t="str">
        <f>CONCATENATE("          ", "6362", " - ", "ADVERTISING EXPENSE")</f>
        <v xml:space="preserve">          6362 - ADVERTISING EXPENSE</v>
      </c>
      <c r="C45" s="11"/>
      <c r="D45" s="6"/>
      <c r="E45" s="2"/>
      <c r="F45" s="7">
        <f t="shared" si="28"/>
        <v>0</v>
      </c>
      <c r="G45" s="2"/>
      <c r="H45" s="6">
        <v>267.33</v>
      </c>
      <c r="I45" s="2"/>
      <c r="J45" s="7">
        <f t="shared" si="29"/>
        <v>2.3373424764899399E-4</v>
      </c>
      <c r="K45" s="2"/>
      <c r="L45" s="6">
        <f t="shared" si="30"/>
        <v>-267.33</v>
      </c>
      <c r="M45" s="2"/>
      <c r="N45" s="7">
        <f t="shared" si="31"/>
        <v>-1</v>
      </c>
      <c r="O45" s="11"/>
      <c r="P45" s="6">
        <v>1429</v>
      </c>
      <c r="Q45" s="2"/>
      <c r="R45" s="7">
        <f t="shared" si="32"/>
        <v>2.5914866417659074E-3</v>
      </c>
      <c r="S45" s="2"/>
      <c r="T45" s="6">
        <v>7928.8</v>
      </c>
      <c r="U45" s="2"/>
      <c r="V45" s="7">
        <f t="shared" si="33"/>
        <v>1.4989130215036436E-3</v>
      </c>
      <c r="W45" s="2"/>
      <c r="X45" s="6">
        <f t="shared" si="34"/>
        <v>-6499.8</v>
      </c>
      <c r="Y45" s="2"/>
      <c r="Z45" s="7">
        <f t="shared" si="35"/>
        <v>-0.819770961557865</v>
      </c>
    </row>
    <row r="46" spans="1:26" s="26" customFormat="1" outlineLevel="1" collapsed="1" x14ac:dyDescent="0.25">
      <c r="A46" s="27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SUM(OSRRefD22_3x_0)</f>
        <v>0</v>
      </c>
      <c r="E46" s="1"/>
      <c r="F46" s="5">
        <f t="shared" si="28"/>
        <v>0</v>
      </c>
      <c r="G46" s="1"/>
      <c r="H46" s="1">
        <f>SUM(OSRRefH22_3x_0)</f>
        <v>-0.2</v>
      </c>
      <c r="I46" s="1"/>
      <c r="J46" s="5">
        <f t="shared" si="29"/>
        <v>-1.7486570728986198E-7</v>
      </c>
      <c r="K46" s="1"/>
      <c r="L46" s="1">
        <f t="shared" si="30"/>
        <v>0.2</v>
      </c>
      <c r="M46" s="1"/>
      <c r="N46" s="5">
        <f t="shared" si="31"/>
        <v>-1</v>
      </c>
      <c r="O46" s="13"/>
      <c r="P46" s="1">
        <f>SUM(OSRRefP22_3x_0)</f>
        <v>69.739999999999995</v>
      </c>
      <c r="Q46" s="1"/>
      <c r="R46" s="5">
        <f t="shared" si="32"/>
        <v>1.2647325290185749E-4</v>
      </c>
      <c r="S46" s="1"/>
      <c r="T46" s="1">
        <f>SUM(OSRRefT22_3x_0)</f>
        <v>29.51</v>
      </c>
      <c r="U46" s="1"/>
      <c r="V46" s="5">
        <f t="shared" si="33"/>
        <v>5.578766429292267E-6</v>
      </c>
      <c r="W46" s="1"/>
      <c r="X46" s="1">
        <f t="shared" si="34"/>
        <v>40.22999999999999</v>
      </c>
      <c r="Y46" s="1"/>
      <c r="Z46" s="5">
        <f t="shared" si="35"/>
        <v>1.3632666892578782</v>
      </c>
    </row>
    <row r="47" spans="1:26" s="24" customFormat="1" hidden="1" outlineLevel="2" x14ac:dyDescent="0.25">
      <c r="A47" s="25"/>
      <c r="B47" s="11" t="str">
        <f>CONCATENATE("          ", "6272", " - ", "CASH (OVER/SHORT)")</f>
        <v xml:space="preserve">          6272 - CASH (OVER/SHORT)</v>
      </c>
      <c r="C47" s="11"/>
      <c r="D47" s="6"/>
      <c r="E47" s="2"/>
      <c r="F47" s="7">
        <f t="shared" si="28"/>
        <v>0</v>
      </c>
      <c r="G47" s="2"/>
      <c r="H47" s="6">
        <v>-0.2</v>
      </c>
      <c r="I47" s="2"/>
      <c r="J47" s="7">
        <f t="shared" si="29"/>
        <v>-1.7486570728986198E-7</v>
      </c>
      <c r="K47" s="2"/>
      <c r="L47" s="6">
        <f t="shared" si="30"/>
        <v>0.2</v>
      </c>
      <c r="M47" s="2"/>
      <c r="N47" s="7">
        <f t="shared" si="31"/>
        <v>-1</v>
      </c>
      <c r="O47" s="11"/>
      <c r="P47" s="6">
        <v>69.739999999999995</v>
      </c>
      <c r="Q47" s="2"/>
      <c r="R47" s="7">
        <f t="shared" si="32"/>
        <v>1.2647325290185749E-4</v>
      </c>
      <c r="S47" s="2"/>
      <c r="T47" s="6">
        <v>29.51</v>
      </c>
      <c r="U47" s="2"/>
      <c r="V47" s="7">
        <f t="shared" si="33"/>
        <v>5.578766429292267E-6</v>
      </c>
      <c r="W47" s="2"/>
      <c r="X47" s="6">
        <f t="shared" si="34"/>
        <v>40.22999999999999</v>
      </c>
      <c r="Y47" s="2"/>
      <c r="Z47" s="7">
        <f t="shared" si="35"/>
        <v>1.3632666892578782</v>
      </c>
    </row>
    <row r="48" spans="1:26" s="26" customFormat="1" outlineLevel="1" collapsed="1" x14ac:dyDescent="0.25">
      <c r="A48" s="27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SUM(OSRRefD22_4x_0)</f>
        <v>10.17</v>
      </c>
      <c r="E48" s="1"/>
      <c r="F48" s="5">
        <f t="shared" si="28"/>
        <v>9.437714517766196E-5</v>
      </c>
      <c r="G48" s="1"/>
      <c r="H48" s="1">
        <f>SUM(OSRRefH22_4x_0)</f>
        <v>647.59</v>
      </c>
      <c r="I48" s="1"/>
      <c r="J48" s="5">
        <f t="shared" si="29"/>
        <v>5.6620641691920855E-4</v>
      </c>
      <c r="K48" s="1"/>
      <c r="L48" s="1">
        <f t="shared" si="30"/>
        <v>-637.42000000000007</v>
      </c>
      <c r="M48" s="1"/>
      <c r="N48" s="5">
        <f t="shared" si="31"/>
        <v>-0.98429561914174102</v>
      </c>
      <c r="O48" s="13"/>
      <c r="P48" s="1">
        <f>SUM(OSRRefP22_4x_0)</f>
        <v>10.17</v>
      </c>
      <c r="Q48" s="1"/>
      <c r="R48" s="5">
        <f t="shared" si="32"/>
        <v>1.8443260424604112E-5</v>
      </c>
      <c r="S48" s="1"/>
      <c r="T48" s="1">
        <f>SUM(OSRRefT22_4x_0)</f>
        <v>2391.7199999999998</v>
      </c>
      <c r="U48" s="1"/>
      <c r="V48" s="5">
        <f t="shared" si="33"/>
        <v>4.5214663653903421E-4</v>
      </c>
      <c r="W48" s="1"/>
      <c r="X48" s="1">
        <f t="shared" si="34"/>
        <v>-2381.5499999999997</v>
      </c>
      <c r="Y48" s="1"/>
      <c r="Z48" s="5">
        <f t="shared" si="35"/>
        <v>-0.99574783001354672</v>
      </c>
    </row>
    <row r="49" spans="1:26" s="24" customFormat="1" hidden="1" outlineLevel="2" x14ac:dyDescent="0.25">
      <c r="A49" s="25"/>
      <c r="B49" s="11" t="str">
        <f>CONCATENATE("          ", "6381", " - ", "BANK/CREDIT CARD FEES")</f>
        <v xml:space="preserve">          6381 - BANK/CREDIT CARD FEES</v>
      </c>
      <c r="C49" s="11"/>
      <c r="D49" s="6">
        <v>10.17</v>
      </c>
      <c r="E49" s="2"/>
      <c r="F49" s="7">
        <f t="shared" si="28"/>
        <v>9.437714517766196E-5</v>
      </c>
      <c r="G49" s="2"/>
      <c r="H49" s="6">
        <v>647.59</v>
      </c>
      <c r="I49" s="2"/>
      <c r="J49" s="7">
        <f t="shared" si="29"/>
        <v>5.6620641691920855E-4</v>
      </c>
      <c r="K49" s="2"/>
      <c r="L49" s="6">
        <f t="shared" si="30"/>
        <v>-637.42000000000007</v>
      </c>
      <c r="M49" s="2"/>
      <c r="N49" s="7">
        <f t="shared" si="31"/>
        <v>-0.98429561914174102</v>
      </c>
      <c r="O49" s="11"/>
      <c r="P49" s="6">
        <v>10.17</v>
      </c>
      <c r="Q49" s="2"/>
      <c r="R49" s="7">
        <f t="shared" si="32"/>
        <v>1.8443260424604112E-5</v>
      </c>
      <c r="S49" s="2"/>
      <c r="T49" s="6">
        <v>2391.7199999999998</v>
      </c>
      <c r="U49" s="2"/>
      <c r="V49" s="7">
        <f t="shared" si="33"/>
        <v>4.5214663653903421E-4</v>
      </c>
      <c r="W49" s="2"/>
      <c r="X49" s="6">
        <f t="shared" si="34"/>
        <v>-2381.5499999999997</v>
      </c>
      <c r="Y49" s="2"/>
      <c r="Z49" s="7">
        <f t="shared" si="35"/>
        <v>-0.99574783001354672</v>
      </c>
    </row>
    <row r="50" spans="1:26" s="26" customFormat="1" outlineLevel="1" collapsed="1" x14ac:dyDescent="0.25">
      <c r="A50" s="27"/>
      <c r="B50" s="13" t="str">
        <f>CONCATENATE("     ","Depreciation                                      ")</f>
        <v xml:space="preserve">     Depreciation                                      </v>
      </c>
      <c r="C50" s="13"/>
      <c r="D50" s="1">
        <f>SUM(OSRRefD22_5x_0)</f>
        <v>758.5</v>
      </c>
      <c r="E50" s="1"/>
      <c r="F50" s="5">
        <f t="shared" si="28"/>
        <v>7.0388460783929793E-3</v>
      </c>
      <c r="G50" s="1"/>
      <c r="H50" s="1">
        <f>SUM(OSRRefH22_5x_0)</f>
        <v>0</v>
      </c>
      <c r="I50" s="1"/>
      <c r="J50" s="5">
        <f t="shared" si="29"/>
        <v>0</v>
      </c>
      <c r="K50" s="1"/>
      <c r="L50" s="1">
        <f t="shared" si="30"/>
        <v>758.5</v>
      </c>
      <c r="M50" s="1"/>
      <c r="N50" s="5">
        <f t="shared" si="31"/>
        <v>0</v>
      </c>
      <c r="O50" s="13"/>
      <c r="P50" s="1">
        <f>SUM(OSRRefP22_5x_0)</f>
        <v>3264.06</v>
      </c>
      <c r="Q50" s="1"/>
      <c r="R50" s="5">
        <f t="shared" si="32"/>
        <v>5.9193617130317896E-3</v>
      </c>
      <c r="S50" s="1"/>
      <c r="T50" s="1">
        <f>SUM(OSRRefT22_5x_0)</f>
        <v>0</v>
      </c>
      <c r="U50" s="1"/>
      <c r="V50" s="5">
        <f t="shared" si="33"/>
        <v>0</v>
      </c>
      <c r="W50" s="1"/>
      <c r="X50" s="1">
        <f t="shared" si="34"/>
        <v>3264.06</v>
      </c>
      <c r="Y50" s="1"/>
      <c r="Z50" s="5">
        <f t="shared" si="35"/>
        <v>0</v>
      </c>
    </row>
    <row r="51" spans="1:26" s="24" customFormat="1" hidden="1" outlineLevel="2" x14ac:dyDescent="0.25">
      <c r="A51" s="25"/>
      <c r="B51" s="11" t="str">
        <f>CONCATENATE("          ", "6322", " - ", "EQUIPMENT DEPRECIATION EXPENSE")</f>
        <v xml:space="preserve">          6322 - EQUIPMENT DEPRECIATION EXPENSE</v>
      </c>
      <c r="C51" s="11"/>
      <c r="D51" s="6">
        <v>758.5</v>
      </c>
      <c r="E51" s="2"/>
      <c r="F51" s="7">
        <f t="shared" si="28"/>
        <v>7.0388460783929793E-3</v>
      </c>
      <c r="G51" s="2"/>
      <c r="H51" s="6"/>
      <c r="I51" s="2"/>
      <c r="J51" s="7">
        <f t="shared" si="29"/>
        <v>0</v>
      </c>
      <c r="K51" s="2"/>
      <c r="L51" s="6">
        <f t="shared" si="30"/>
        <v>758.5</v>
      </c>
      <c r="M51" s="2"/>
      <c r="N51" s="7">
        <f t="shared" si="31"/>
        <v>0</v>
      </c>
      <c r="O51" s="11"/>
      <c r="P51" s="6">
        <v>3264.06</v>
      </c>
      <c r="Q51" s="2"/>
      <c r="R51" s="7">
        <f t="shared" si="32"/>
        <v>5.9193617130317896E-3</v>
      </c>
      <c r="S51" s="2"/>
      <c r="T51" s="6"/>
      <c r="U51" s="2"/>
      <c r="V51" s="7">
        <f t="shared" si="33"/>
        <v>0</v>
      </c>
      <c r="W51" s="2"/>
      <c r="X51" s="6">
        <f t="shared" si="34"/>
        <v>3264.06</v>
      </c>
      <c r="Y51" s="2"/>
      <c r="Z51" s="7">
        <f t="shared" si="35"/>
        <v>0</v>
      </c>
    </row>
    <row r="52" spans="1:26" s="26" customFormat="1" outlineLevel="1" collapsed="1" x14ac:dyDescent="0.25">
      <c r="A52" s="27"/>
      <c r="B52" s="13" t="str">
        <f>CONCATENATE("     ","Donations                                         ")</f>
        <v xml:space="preserve">     Donations                                         </v>
      </c>
      <c r="C52" s="13"/>
      <c r="D52" s="1">
        <f>SUM(OSRRefD22_6x_0)</f>
        <v>7935.78</v>
      </c>
      <c r="E52" s="1"/>
      <c r="F52" s="5">
        <f t="shared" si="28"/>
        <v>7.3643683496360496E-2</v>
      </c>
      <c r="G52" s="1"/>
      <c r="H52" s="1">
        <f>SUM(OSRRefH22_6x_0)</f>
        <v>16127.990000000002</v>
      </c>
      <c r="I52" s="1"/>
      <c r="J52" s="5">
        <f t="shared" si="29"/>
        <v>1.4101161892569105E-2</v>
      </c>
      <c r="K52" s="1"/>
      <c r="L52" s="1">
        <f t="shared" si="30"/>
        <v>-8192.2100000000028</v>
      </c>
      <c r="M52" s="1"/>
      <c r="N52" s="5">
        <f t="shared" si="31"/>
        <v>-0.50794984371890128</v>
      </c>
      <c r="O52" s="13"/>
      <c r="P52" s="1">
        <f>SUM(OSRRefP22_6x_0)</f>
        <v>30155.96</v>
      </c>
      <c r="Q52" s="1"/>
      <c r="R52" s="5">
        <f t="shared" si="32"/>
        <v>5.4687730937457678E-2</v>
      </c>
      <c r="S52" s="1"/>
      <c r="T52" s="1">
        <f>SUM(OSRRefT22_6x_0)</f>
        <v>66243.740000000005</v>
      </c>
      <c r="U52" s="1"/>
      <c r="V52" s="5">
        <f t="shared" si="33"/>
        <v>1.2523156654109297E-2</v>
      </c>
      <c r="W52" s="1"/>
      <c r="X52" s="1">
        <f t="shared" si="34"/>
        <v>-36087.780000000006</v>
      </c>
      <c r="Y52" s="1"/>
      <c r="Z52" s="5">
        <f t="shared" si="35"/>
        <v>-0.54477268342638874</v>
      </c>
    </row>
    <row r="53" spans="1:26" s="24" customFormat="1" hidden="1" outlineLevel="2" x14ac:dyDescent="0.25">
      <c r="A53" s="25"/>
      <c r="B53" s="11" t="str">
        <f>CONCATENATE("          ", "6399", " - ", "DONATION-ON CAMPUS")</f>
        <v xml:space="preserve">          6399 - DONATION-ON CAMPUS</v>
      </c>
      <c r="C53" s="11"/>
      <c r="D53" s="6">
        <v>7935.78</v>
      </c>
      <c r="E53" s="2"/>
      <c r="F53" s="7">
        <f t="shared" si="28"/>
        <v>7.3643683496360496E-2</v>
      </c>
      <c r="G53" s="2"/>
      <c r="H53" s="6">
        <v>16127.990000000002</v>
      </c>
      <c r="I53" s="2"/>
      <c r="J53" s="7">
        <f t="shared" si="29"/>
        <v>1.4101161892569105E-2</v>
      </c>
      <c r="K53" s="2"/>
      <c r="L53" s="6">
        <f t="shared" si="30"/>
        <v>-8192.2100000000028</v>
      </c>
      <c r="M53" s="2"/>
      <c r="N53" s="7">
        <f t="shared" si="31"/>
        <v>-0.50794984371890128</v>
      </c>
      <c r="O53" s="11"/>
      <c r="P53" s="6">
        <v>30155.96</v>
      </c>
      <c r="Q53" s="2"/>
      <c r="R53" s="7">
        <f t="shared" si="32"/>
        <v>5.4687730937457678E-2</v>
      </c>
      <c r="S53" s="2"/>
      <c r="T53" s="6">
        <v>66243.740000000005</v>
      </c>
      <c r="U53" s="2"/>
      <c r="V53" s="7">
        <f t="shared" si="33"/>
        <v>1.2523156654109297E-2</v>
      </c>
      <c r="W53" s="2"/>
      <c r="X53" s="6">
        <f t="shared" si="34"/>
        <v>-36087.780000000006</v>
      </c>
      <c r="Y53" s="2"/>
      <c r="Z53" s="7">
        <f t="shared" si="35"/>
        <v>-0.54477268342638874</v>
      </c>
    </row>
    <row r="54" spans="1:26" s="26" customFormat="1" outlineLevel="1" collapsed="1" x14ac:dyDescent="0.25">
      <c r="A54" s="27"/>
      <c r="B54" s="13" t="str">
        <f>CONCATENATE("     ","Employees' Appreciation                           ")</f>
        <v xml:space="preserve">     Employees' Appreciation                           </v>
      </c>
      <c r="C54" s="13"/>
      <c r="D54" s="1">
        <f>SUM(OSRRefD22_7x_0)</f>
        <v>0</v>
      </c>
      <c r="E54" s="1"/>
      <c r="F54" s="5">
        <f t="shared" si="28"/>
        <v>0</v>
      </c>
      <c r="G54" s="1"/>
      <c r="H54" s="1">
        <f>SUM(OSRRefH22_7x_0)</f>
        <v>172.19</v>
      </c>
      <c r="I54" s="1"/>
      <c r="J54" s="5">
        <f t="shared" si="29"/>
        <v>1.5055063069120664E-4</v>
      </c>
      <c r="K54" s="1"/>
      <c r="L54" s="1">
        <f t="shared" si="30"/>
        <v>-172.19</v>
      </c>
      <c r="M54" s="1"/>
      <c r="N54" s="5">
        <f t="shared" si="31"/>
        <v>-1</v>
      </c>
      <c r="O54" s="13"/>
      <c r="P54" s="1">
        <f>SUM(OSRRefP22_7x_0)</f>
        <v>0</v>
      </c>
      <c r="Q54" s="1"/>
      <c r="R54" s="5">
        <f t="shared" si="32"/>
        <v>0</v>
      </c>
      <c r="S54" s="1"/>
      <c r="T54" s="1">
        <f>SUM(OSRRefT22_7x_0)</f>
        <v>1054.8499999999999</v>
      </c>
      <c r="U54" s="1"/>
      <c r="V54" s="5">
        <f t="shared" si="33"/>
        <v>1.9941585116702633E-4</v>
      </c>
      <c r="W54" s="1"/>
      <c r="X54" s="1">
        <f t="shared" si="34"/>
        <v>-1054.8499999999999</v>
      </c>
      <c r="Y54" s="1"/>
      <c r="Z54" s="5">
        <f t="shared" si="35"/>
        <v>-1</v>
      </c>
    </row>
    <row r="55" spans="1:26" s="24" customFormat="1" hidden="1" outlineLevel="2" x14ac:dyDescent="0.25">
      <c r="A55" s="25"/>
      <c r="B55" s="11" t="str">
        <f>CONCATENATE("          ", "6277", " - ", "EMPLOYEE APPRECIATION")</f>
        <v xml:space="preserve">          6277 - EMPLOYEE APPRECIATION</v>
      </c>
      <c r="C55" s="11"/>
      <c r="D55" s="6"/>
      <c r="E55" s="2"/>
      <c r="F55" s="7">
        <f t="shared" si="28"/>
        <v>0</v>
      </c>
      <c r="G55" s="2"/>
      <c r="H55" s="6">
        <v>172.19</v>
      </c>
      <c r="I55" s="2"/>
      <c r="J55" s="7">
        <f t="shared" si="29"/>
        <v>1.5055063069120664E-4</v>
      </c>
      <c r="K55" s="2"/>
      <c r="L55" s="6">
        <f t="shared" si="30"/>
        <v>-172.19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1054.8499999999999</v>
      </c>
      <c r="U55" s="2"/>
      <c r="V55" s="7">
        <f t="shared" si="33"/>
        <v>1.9941585116702633E-4</v>
      </c>
      <c r="W55" s="2"/>
      <c r="X55" s="6">
        <f t="shared" si="34"/>
        <v>-1054.8499999999999</v>
      </c>
      <c r="Y55" s="2"/>
      <c r="Z55" s="7">
        <f t="shared" si="35"/>
        <v>-1</v>
      </c>
    </row>
    <row r="56" spans="1:26" s="26" customFormat="1" outlineLevel="1" collapsed="1" x14ac:dyDescent="0.25">
      <c r="A56" s="27"/>
      <c r="B56" s="13" t="str">
        <f>CONCATENATE("     ","Equipment Rental                                  ")</f>
        <v xml:space="preserve">     Equipment Rental                                  </v>
      </c>
      <c r="C56" s="13"/>
      <c r="D56" s="1">
        <f>SUM(OSRRefD22_8x_0)</f>
        <v>268.14999999999998</v>
      </c>
      <c r="E56" s="1"/>
      <c r="F56" s="5">
        <f t="shared" si="28"/>
        <v>2.488420007806298E-3</v>
      </c>
      <c r="G56" s="1"/>
      <c r="H56" s="1">
        <f>SUM(OSRRefH22_8x_0)</f>
        <v>-2249.69</v>
      </c>
      <c r="I56" s="1"/>
      <c r="J56" s="5">
        <f t="shared" si="29"/>
        <v>-1.9669681651646479E-3</v>
      </c>
      <c r="K56" s="1"/>
      <c r="L56" s="1">
        <f t="shared" si="30"/>
        <v>2517.84</v>
      </c>
      <c r="M56" s="1"/>
      <c r="N56" s="5">
        <f t="shared" si="31"/>
        <v>-1.1191942000897901</v>
      </c>
      <c r="O56" s="13"/>
      <c r="P56" s="1">
        <f>SUM(OSRRefP22_8x_0)</f>
        <v>2540.62</v>
      </c>
      <c r="Q56" s="1"/>
      <c r="R56" s="5">
        <f t="shared" si="32"/>
        <v>4.6074057325425468E-3</v>
      </c>
      <c r="S56" s="1"/>
      <c r="T56" s="1">
        <f>SUM(OSRRefT22_8x_0)</f>
        <v>2589.1799999999998</v>
      </c>
      <c r="U56" s="1"/>
      <c r="V56" s="5">
        <f t="shared" si="33"/>
        <v>4.8947578662809053E-4</v>
      </c>
      <c r="W56" s="1"/>
      <c r="X56" s="1">
        <f t="shared" si="34"/>
        <v>-48.559999999999945</v>
      </c>
      <c r="Y56" s="1"/>
      <c r="Z56" s="5">
        <f t="shared" si="35"/>
        <v>-1.8754972616813026E-2</v>
      </c>
    </row>
    <row r="57" spans="1:26" s="24" customFormat="1" hidden="1" outlineLevel="2" x14ac:dyDescent="0.25">
      <c r="A57" s="25"/>
      <c r="B57" s="11" t="str">
        <f>CONCATENATE("          ", "6351", " - ", "EQUIPMENT RENTAL")</f>
        <v xml:space="preserve">          6351 - EQUIPMENT RENTAL</v>
      </c>
      <c r="C57" s="11"/>
      <c r="D57" s="6">
        <v>268.14999999999998</v>
      </c>
      <c r="E57" s="2"/>
      <c r="F57" s="7">
        <f t="shared" si="28"/>
        <v>2.488420007806298E-3</v>
      </c>
      <c r="G57" s="2"/>
      <c r="H57" s="6">
        <v>-2249.69</v>
      </c>
      <c r="I57" s="2"/>
      <c r="J57" s="7">
        <f t="shared" si="29"/>
        <v>-1.9669681651646479E-3</v>
      </c>
      <c r="K57" s="2"/>
      <c r="L57" s="6">
        <f t="shared" si="30"/>
        <v>2517.84</v>
      </c>
      <c r="M57" s="2"/>
      <c r="N57" s="7">
        <f t="shared" si="31"/>
        <v>-1.1191942000897901</v>
      </c>
      <c r="O57" s="11"/>
      <c r="P57" s="6">
        <v>2540.62</v>
      </c>
      <c r="Q57" s="2"/>
      <c r="R57" s="7">
        <f t="shared" si="32"/>
        <v>4.6074057325425468E-3</v>
      </c>
      <c r="S57" s="2"/>
      <c r="T57" s="6">
        <v>2589.1799999999998</v>
      </c>
      <c r="U57" s="2"/>
      <c r="V57" s="7">
        <f t="shared" si="33"/>
        <v>4.8947578662809053E-4</v>
      </c>
      <c r="W57" s="2"/>
      <c r="X57" s="6">
        <f t="shared" si="34"/>
        <v>-48.559999999999945</v>
      </c>
      <c r="Y57" s="2"/>
      <c r="Z57" s="7">
        <f t="shared" si="35"/>
        <v>-1.8754972616813026E-2</v>
      </c>
    </row>
    <row r="58" spans="1:26" s="26" customFormat="1" outlineLevel="1" collapsed="1" x14ac:dyDescent="0.25">
      <c r="A58" s="27"/>
      <c r="B58" s="13" t="str">
        <f>CONCATENATE("     ","General                                           ")</f>
        <v xml:space="preserve">     General                                           </v>
      </c>
      <c r="C58" s="13"/>
      <c r="D58" s="1">
        <f>SUM(OSRRefD22_9x_0)</f>
        <v>38</v>
      </c>
      <c r="E58" s="1"/>
      <c r="F58" s="5">
        <f t="shared" si="28"/>
        <v>3.5263830056550191E-4</v>
      </c>
      <c r="G58" s="1"/>
      <c r="H58" s="1">
        <f>SUM(OSRRefH22_9x_0)</f>
        <v>94.5</v>
      </c>
      <c r="I58" s="1"/>
      <c r="J58" s="5">
        <f t="shared" si="29"/>
        <v>8.2624046694459782E-5</v>
      </c>
      <c r="K58" s="1"/>
      <c r="L58" s="1">
        <f t="shared" si="30"/>
        <v>-56.5</v>
      </c>
      <c r="M58" s="1"/>
      <c r="N58" s="5">
        <f t="shared" si="31"/>
        <v>-0.59788359788359791</v>
      </c>
      <c r="O58" s="13"/>
      <c r="P58" s="1">
        <f>SUM(OSRRefP22_9x_0)</f>
        <v>6418.95</v>
      </c>
      <c r="Q58" s="1"/>
      <c r="R58" s="5">
        <f t="shared" si="32"/>
        <v>1.1640744002213625E-2</v>
      </c>
      <c r="S58" s="1"/>
      <c r="T58" s="1">
        <f>SUM(OSRRefT22_9x_0)</f>
        <v>6924.88</v>
      </c>
      <c r="U58" s="1"/>
      <c r="V58" s="5">
        <f t="shared" si="33"/>
        <v>1.3091253158548774E-3</v>
      </c>
      <c r="W58" s="1"/>
      <c r="X58" s="1">
        <f t="shared" si="34"/>
        <v>-505.93000000000029</v>
      </c>
      <c r="Y58" s="1"/>
      <c r="Z58" s="5">
        <f t="shared" si="35"/>
        <v>-7.305974977183724E-2</v>
      </c>
    </row>
    <row r="59" spans="1:26" s="24" customFormat="1" hidden="1" outlineLevel="2" x14ac:dyDescent="0.25">
      <c r="A59" s="25"/>
      <c r="B59" s="11" t="str">
        <f>CONCATENATE("          ", "6279", " - ", "GENERAL EXPENSE")</f>
        <v xml:space="preserve">          6279 - GENERAL EXPENSE</v>
      </c>
      <c r="C59" s="11"/>
      <c r="D59" s="6">
        <v>38</v>
      </c>
      <c r="E59" s="2"/>
      <c r="F59" s="7">
        <f t="shared" si="28"/>
        <v>3.5263830056550191E-4</v>
      </c>
      <c r="G59" s="2"/>
      <c r="H59" s="6">
        <v>94.5</v>
      </c>
      <c r="I59" s="2"/>
      <c r="J59" s="7">
        <f t="shared" si="29"/>
        <v>8.2624046694459782E-5</v>
      </c>
      <c r="K59" s="2"/>
      <c r="L59" s="6">
        <f t="shared" si="30"/>
        <v>-56.5</v>
      </c>
      <c r="M59" s="2"/>
      <c r="N59" s="7">
        <f t="shared" si="31"/>
        <v>-0.59788359788359791</v>
      </c>
      <c r="O59" s="11"/>
      <c r="P59" s="6">
        <v>6418.95</v>
      </c>
      <c r="Q59" s="2"/>
      <c r="R59" s="7">
        <f t="shared" si="32"/>
        <v>1.1640744002213625E-2</v>
      </c>
      <c r="S59" s="2"/>
      <c r="T59" s="6">
        <v>6924.88</v>
      </c>
      <c r="U59" s="2"/>
      <c r="V59" s="7">
        <f t="shared" si="33"/>
        <v>1.3091253158548774E-3</v>
      </c>
      <c r="W59" s="2"/>
      <c r="X59" s="6">
        <f t="shared" si="34"/>
        <v>-505.93000000000029</v>
      </c>
      <c r="Y59" s="2"/>
      <c r="Z59" s="7">
        <f t="shared" si="35"/>
        <v>-7.305974977183724E-2</v>
      </c>
    </row>
    <row r="60" spans="1:26" s="26" customFormat="1" outlineLevel="1" collapsed="1" x14ac:dyDescent="0.25">
      <c r="A60" s="27"/>
      <c r="B60" s="13" t="str">
        <f>CONCATENATE("     ","Insurance                                         ")</f>
        <v xml:space="preserve">     Insurance                                         </v>
      </c>
      <c r="C60" s="13"/>
      <c r="D60" s="1">
        <f>SUM(OSRRefD22_10x_0)</f>
        <v>5.9</v>
      </c>
      <c r="E60" s="1"/>
      <c r="F60" s="5">
        <f t="shared" si="28"/>
        <v>5.4751736140433195E-5</v>
      </c>
      <c r="G60" s="1"/>
      <c r="H60" s="1">
        <f>SUM(OSRRefH22_10x_0)</f>
        <v>5.9</v>
      </c>
      <c r="I60" s="1"/>
      <c r="J60" s="5">
        <f t="shared" si="29"/>
        <v>5.1585383650509278E-6</v>
      </c>
      <c r="K60" s="1"/>
      <c r="L60" s="1">
        <f t="shared" si="30"/>
        <v>0</v>
      </c>
      <c r="M60" s="1"/>
      <c r="N60" s="5">
        <f t="shared" si="31"/>
        <v>0</v>
      </c>
      <c r="O60" s="13"/>
      <c r="P60" s="1">
        <f>SUM(OSRRefP22_10x_0)</f>
        <v>29.5</v>
      </c>
      <c r="Q60" s="1"/>
      <c r="R60" s="5">
        <f t="shared" si="32"/>
        <v>5.3498149707553722E-5</v>
      </c>
      <c r="S60" s="1"/>
      <c r="T60" s="1">
        <f>SUM(OSRRefT22_10x_0)</f>
        <v>29.5</v>
      </c>
      <c r="U60" s="1"/>
      <c r="V60" s="5">
        <f t="shared" si="33"/>
        <v>5.5768759628641775E-6</v>
      </c>
      <c r="W60" s="1"/>
      <c r="X60" s="1">
        <f t="shared" si="34"/>
        <v>0</v>
      </c>
      <c r="Y60" s="1"/>
      <c r="Z60" s="5">
        <f t="shared" si="35"/>
        <v>0</v>
      </c>
    </row>
    <row r="61" spans="1:26" s="24" customFormat="1" hidden="1" outlineLevel="2" x14ac:dyDescent="0.25">
      <c r="A61" s="25"/>
      <c r="B61" s="11" t="str">
        <f>CONCATENATE("          ", "6314", " - ", "LIABILITY INSURANCE")</f>
        <v xml:space="preserve">          6314 - LIABILITY INSURANCE</v>
      </c>
      <c r="C61" s="11"/>
      <c r="D61" s="6">
        <v>5.9</v>
      </c>
      <c r="E61" s="2"/>
      <c r="F61" s="7">
        <f t="shared" si="28"/>
        <v>5.4751736140433195E-5</v>
      </c>
      <c r="G61" s="2"/>
      <c r="H61" s="6">
        <v>5.9</v>
      </c>
      <c r="I61" s="2"/>
      <c r="J61" s="7">
        <f t="shared" si="29"/>
        <v>5.1585383650509278E-6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>
        <v>29.5</v>
      </c>
      <c r="Q61" s="2"/>
      <c r="R61" s="7">
        <f t="shared" si="32"/>
        <v>5.3498149707553722E-5</v>
      </c>
      <c r="S61" s="2"/>
      <c r="T61" s="6">
        <v>29.5</v>
      </c>
      <c r="U61" s="2"/>
      <c r="V61" s="7">
        <f t="shared" si="33"/>
        <v>5.5768759628641775E-6</v>
      </c>
      <c r="W61" s="2"/>
      <c r="X61" s="6">
        <f t="shared" si="34"/>
        <v>0</v>
      </c>
      <c r="Y61" s="2"/>
      <c r="Z61" s="7">
        <f t="shared" si="35"/>
        <v>0</v>
      </c>
    </row>
    <row r="62" spans="1:26" s="26" customFormat="1" outlineLevel="1" collapsed="1" x14ac:dyDescent="0.25">
      <c r="A62" s="27"/>
      <c r="B62" s="13" t="str">
        <f>CONCATENATE("     ","R/H Commissions                                   ")</f>
        <v xml:space="preserve">     R/H Commissions                                   </v>
      </c>
      <c r="C62" s="13"/>
      <c r="D62" s="1">
        <f>SUM(OSRRefD22_11x_0)</f>
        <v>7982.87</v>
      </c>
      <c r="E62" s="1"/>
      <c r="F62" s="5">
        <f t="shared" si="28"/>
        <v>7.4080676590403377E-2</v>
      </c>
      <c r="G62" s="1"/>
      <c r="H62" s="1">
        <f>SUM(OSRRefH22_11x_0)</f>
        <v>88207.73000000001</v>
      </c>
      <c r="I62" s="1"/>
      <c r="J62" s="5">
        <f t="shared" si="29"/>
        <v>7.7122535474415888E-2</v>
      </c>
      <c r="K62" s="1"/>
      <c r="L62" s="1">
        <f t="shared" si="30"/>
        <v>-80224.860000000015</v>
      </c>
      <c r="M62" s="1"/>
      <c r="N62" s="5">
        <f t="shared" si="31"/>
        <v>-0.90949920148721664</v>
      </c>
      <c r="O62" s="13"/>
      <c r="P62" s="1">
        <f>SUM(OSRRefP22_11x_0)</f>
        <v>36703.07</v>
      </c>
      <c r="Q62" s="1"/>
      <c r="R62" s="5">
        <f t="shared" si="32"/>
        <v>6.6560892663960119E-2</v>
      </c>
      <c r="S62" s="1"/>
      <c r="T62" s="1">
        <f>SUM(OSRRefT22_11x_0)</f>
        <v>406895.16</v>
      </c>
      <c r="U62" s="1"/>
      <c r="V62" s="5">
        <f t="shared" si="33"/>
        <v>7.6922163973212651E-2</v>
      </c>
      <c r="W62" s="1"/>
      <c r="X62" s="1">
        <f t="shared" si="34"/>
        <v>-370192.08999999997</v>
      </c>
      <c r="Y62" s="1"/>
      <c r="Z62" s="5">
        <f t="shared" si="35"/>
        <v>-0.90979723130646228</v>
      </c>
    </row>
    <row r="63" spans="1:26" s="24" customFormat="1" hidden="1" outlineLevel="2" x14ac:dyDescent="0.25">
      <c r="A63" s="25"/>
      <c r="B63" s="11" t="str">
        <f>CONCATENATE("          ", "6387", " - ", "COMMISSION DUE HOUSING")</f>
        <v xml:space="preserve">          6387 - COMMISSION DUE HOUSING</v>
      </c>
      <c r="C63" s="11"/>
      <c r="D63" s="6">
        <v>7982.87</v>
      </c>
      <c r="E63" s="2"/>
      <c r="F63" s="7">
        <f t="shared" si="28"/>
        <v>7.4080676590403377E-2</v>
      </c>
      <c r="G63" s="2"/>
      <c r="H63" s="6">
        <v>88207.73000000001</v>
      </c>
      <c r="I63" s="2"/>
      <c r="J63" s="7">
        <f t="shared" si="29"/>
        <v>7.7122535474415888E-2</v>
      </c>
      <c r="K63" s="2"/>
      <c r="L63" s="6">
        <f t="shared" si="30"/>
        <v>-80224.860000000015</v>
      </c>
      <c r="M63" s="2"/>
      <c r="N63" s="7">
        <f t="shared" si="31"/>
        <v>-0.90949920148721664</v>
      </c>
      <c r="O63" s="11"/>
      <c r="P63" s="6">
        <v>36703.07</v>
      </c>
      <c r="Q63" s="2"/>
      <c r="R63" s="7">
        <f t="shared" si="32"/>
        <v>6.6560892663960119E-2</v>
      </c>
      <c r="S63" s="2"/>
      <c r="T63" s="6">
        <v>406895.16</v>
      </c>
      <c r="U63" s="2"/>
      <c r="V63" s="7">
        <f t="shared" si="33"/>
        <v>7.6922163973212651E-2</v>
      </c>
      <c r="W63" s="2"/>
      <c r="X63" s="6">
        <f t="shared" si="34"/>
        <v>-370192.08999999997</v>
      </c>
      <c r="Y63" s="2"/>
      <c r="Z63" s="7">
        <f t="shared" si="35"/>
        <v>-0.90979723130646228</v>
      </c>
    </row>
    <row r="64" spans="1:26" s="26" customFormat="1" outlineLevel="1" collapsed="1" x14ac:dyDescent="0.25">
      <c r="A64" s="27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SUM(OSRRefD22_12x_0)</f>
        <v>1083.72</v>
      </c>
      <c r="E64" s="1"/>
      <c r="F64" s="5">
        <f t="shared" si="28"/>
        <v>1.0056873133916993E-2</v>
      </c>
      <c r="G64" s="1"/>
      <c r="H64" s="1">
        <f>SUM(OSRRefH22_12x_0)</f>
        <v>16550.36</v>
      </c>
      <c r="I64" s="1"/>
      <c r="J64" s="5">
        <f t="shared" si="29"/>
        <v>1.44704520365092E-2</v>
      </c>
      <c r="K64" s="1"/>
      <c r="L64" s="1">
        <f t="shared" si="30"/>
        <v>-15466.640000000001</v>
      </c>
      <c r="M64" s="1"/>
      <c r="N64" s="5">
        <f t="shared" si="31"/>
        <v>-0.93451985334457988</v>
      </c>
      <c r="O64" s="13"/>
      <c r="P64" s="1">
        <f>SUM(OSRRefP22_12x_0)</f>
        <v>4411.6400000000003</v>
      </c>
      <c r="Q64" s="1"/>
      <c r="R64" s="5">
        <f t="shared" si="32"/>
        <v>8.0004941415536372E-3</v>
      </c>
      <c r="S64" s="1"/>
      <c r="T64" s="1">
        <f>SUM(OSRRefT22_12x_0)</f>
        <v>23398.719999999998</v>
      </c>
      <c r="U64" s="1"/>
      <c r="V64" s="5">
        <f t="shared" si="33"/>
        <v>4.4234494620267548E-3</v>
      </c>
      <c r="W64" s="1"/>
      <c r="X64" s="1">
        <f t="shared" si="34"/>
        <v>-18987.079999999998</v>
      </c>
      <c r="Y64" s="1"/>
      <c r="Z64" s="5">
        <f t="shared" si="35"/>
        <v>-0.81145806266325682</v>
      </c>
    </row>
    <row r="65" spans="1:26" s="24" customFormat="1" hidden="1" outlineLevel="2" x14ac:dyDescent="0.25">
      <c r="A65" s="25"/>
      <c r="B65" s="11" t="str">
        <f>CONCATENATE("          ", "6371", " - ", "COMPUTER SOFTWARE MAINTENANCE")</f>
        <v xml:space="preserve">          6371 - COMPUTER SOFTWARE MAINTENANCE</v>
      </c>
      <c r="C65" s="11"/>
      <c r="D65" s="6"/>
      <c r="E65" s="2"/>
      <c r="F65" s="7">
        <f t="shared" si="28"/>
        <v>0</v>
      </c>
      <c r="G65" s="2"/>
      <c r="H65" s="6">
        <v>16477.5</v>
      </c>
      <c r="I65" s="2"/>
      <c r="J65" s="7">
        <f t="shared" si="29"/>
        <v>1.4406748459343503E-2</v>
      </c>
      <c r="K65" s="2"/>
      <c r="L65" s="6">
        <f t="shared" si="30"/>
        <v>-16477.5</v>
      </c>
      <c r="M65" s="2"/>
      <c r="N65" s="7">
        <f t="shared" si="31"/>
        <v>-1</v>
      </c>
      <c r="O65" s="11"/>
      <c r="P65" s="6"/>
      <c r="Q65" s="2"/>
      <c r="R65" s="7">
        <f t="shared" si="32"/>
        <v>0</v>
      </c>
      <c r="S65" s="2"/>
      <c r="T65" s="6">
        <v>22817.929999999997</v>
      </c>
      <c r="U65" s="2"/>
      <c r="V65" s="7">
        <f t="shared" si="33"/>
        <v>4.3136530623497414E-3</v>
      </c>
      <c r="W65" s="2"/>
      <c r="X65" s="6">
        <f t="shared" si="34"/>
        <v>-22817.929999999997</v>
      </c>
      <c r="Y65" s="2"/>
      <c r="Z65" s="7">
        <f t="shared" si="35"/>
        <v>-1</v>
      </c>
    </row>
    <row r="66" spans="1:26" s="24" customFormat="1" hidden="1" outlineLevel="2" x14ac:dyDescent="0.25">
      <c r="A66" s="25"/>
      <c r="B66" s="11" t="str">
        <f>CONCATENATE("          ", "6373", " - ", "MAINTENANCE CONTRACTS")</f>
        <v xml:space="preserve">          6373 - MAINTENANCE CONTRACTS</v>
      </c>
      <c r="C66" s="11"/>
      <c r="D66" s="6">
        <v>8.52</v>
      </c>
      <c r="E66" s="2"/>
      <c r="F66" s="7">
        <f t="shared" si="28"/>
        <v>7.9065218968896742E-5</v>
      </c>
      <c r="G66" s="2"/>
      <c r="H66" s="6">
        <v>9.73</v>
      </c>
      <c r="I66" s="2"/>
      <c r="J66" s="7">
        <f t="shared" si="29"/>
        <v>8.5072166596517843E-6</v>
      </c>
      <c r="K66" s="2"/>
      <c r="L66" s="6">
        <f t="shared" si="30"/>
        <v>-1.2100000000000009</v>
      </c>
      <c r="M66" s="2"/>
      <c r="N66" s="7">
        <f t="shared" si="31"/>
        <v>-0.12435765673175753</v>
      </c>
      <c r="O66" s="11"/>
      <c r="P66" s="6">
        <v>2734.82</v>
      </c>
      <c r="Q66" s="2"/>
      <c r="R66" s="7">
        <f t="shared" si="32"/>
        <v>4.9595867723122734E-3</v>
      </c>
      <c r="S66" s="2"/>
      <c r="T66" s="6">
        <v>260.39</v>
      </c>
      <c r="U66" s="2"/>
      <c r="V66" s="7">
        <f t="shared" si="33"/>
        <v>4.922585532102383E-5</v>
      </c>
      <c r="W66" s="2"/>
      <c r="X66" s="6">
        <f t="shared" si="34"/>
        <v>2474.4300000000003</v>
      </c>
      <c r="Y66" s="2"/>
      <c r="Z66" s="7">
        <f t="shared" si="35"/>
        <v>9.5027842851107973</v>
      </c>
    </row>
    <row r="67" spans="1:26" s="24" customFormat="1" hidden="1" outlineLevel="2" x14ac:dyDescent="0.25">
      <c r="A67" s="25"/>
      <c r="B67" s="11" t="str">
        <f>CONCATENATE("          ", "6375", " - ", "OUTSIDE REPAIRS &amp; MAINTENANCE")</f>
        <v xml:space="preserve">          6375 - OUTSIDE REPAIRS &amp; MAINTENANCE</v>
      </c>
      <c r="C67" s="11"/>
      <c r="D67" s="6">
        <v>1075.2</v>
      </c>
      <c r="E67" s="2"/>
      <c r="F67" s="7">
        <f t="shared" si="28"/>
        <v>9.9778079149480964E-3</v>
      </c>
      <c r="G67" s="2"/>
      <c r="H67" s="6">
        <v>63.13</v>
      </c>
      <c r="I67" s="2"/>
      <c r="J67" s="7">
        <f t="shared" si="29"/>
        <v>5.5196360506044929E-5</v>
      </c>
      <c r="K67" s="2"/>
      <c r="L67" s="6">
        <f t="shared" si="30"/>
        <v>1012.07</v>
      </c>
      <c r="M67" s="2"/>
      <c r="N67" s="7">
        <f t="shared" si="31"/>
        <v>16.031522255662917</v>
      </c>
      <c r="O67" s="11"/>
      <c r="P67" s="6">
        <v>1676.82</v>
      </c>
      <c r="Q67" s="2"/>
      <c r="R67" s="7">
        <f t="shared" si="32"/>
        <v>3.0409073692413634E-3</v>
      </c>
      <c r="S67" s="2"/>
      <c r="T67" s="6">
        <v>320.39999999999998</v>
      </c>
      <c r="U67" s="2"/>
      <c r="V67" s="7">
        <f t="shared" si="33"/>
        <v>6.0570544355989231E-5</v>
      </c>
      <c r="W67" s="2"/>
      <c r="X67" s="6">
        <f t="shared" si="34"/>
        <v>1356.42</v>
      </c>
      <c r="Y67" s="2"/>
      <c r="Z67" s="7">
        <f t="shared" si="35"/>
        <v>4.2335205992509373</v>
      </c>
    </row>
    <row r="68" spans="1:26" s="26" customFormat="1" outlineLevel="1" collapsed="1" x14ac:dyDescent="0.25">
      <c r="A68" s="27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SUM(OSRRefD22_13x_0)</f>
        <v>9251.5300000000007</v>
      </c>
      <c r="E68" s="1"/>
      <c r="F68" s="5">
        <f t="shared" ref="F68:F71" si="36">IF(D$12=0,0,D68/D$12)</f>
        <v>8.5853784653440998E-2</v>
      </c>
      <c r="G68" s="1"/>
      <c r="H68" s="1">
        <f>SUM(OSRRefH22_13x_0)</f>
        <v>17052.95</v>
      </c>
      <c r="I68" s="1"/>
      <c r="J68" s="5">
        <f t="shared" ref="J68:J71" si="37">IF(H$12=0,0,H68/H$12)</f>
        <v>1.4909880815643258E-2</v>
      </c>
      <c r="K68" s="1"/>
      <c r="L68" s="1">
        <f t="shared" ref="L68:L71" si="38">+D68-H68</f>
        <v>-7801.42</v>
      </c>
      <c r="M68" s="1"/>
      <c r="N68" s="5">
        <f t="shared" ref="N68:N71" si="39">IF(H68=0,0,L68/H68)</f>
        <v>-0.45748213652183345</v>
      </c>
      <c r="O68" s="13"/>
      <c r="P68" s="1">
        <f>SUM(OSRRefP22_13x_0)</f>
        <v>52915.880000000005</v>
      </c>
      <c r="Q68" s="1"/>
      <c r="R68" s="5">
        <f t="shared" ref="R68:R71" si="40">IF(P$12=0,0,P68/P$12)</f>
        <v>9.596276847955755E-2</v>
      </c>
      <c r="S68" s="1"/>
      <c r="T68" s="1">
        <f>SUM(OSRRefT22_13x_0)</f>
        <v>95142.73000000001</v>
      </c>
      <c r="U68" s="1"/>
      <c r="V68" s="5">
        <f t="shared" ref="V68:V71" si="41">IF(T$12=0,0,T68/T$12)</f>
        <v>1.7986413694178863E-2</v>
      </c>
      <c r="W68" s="1"/>
      <c r="X68" s="1">
        <f t="shared" ref="X68:X71" si="42">+P68-T68</f>
        <v>-42226.850000000006</v>
      </c>
      <c r="Y68" s="1"/>
      <c r="Z68" s="5">
        <f t="shared" ref="Z68:Z71" si="43">IF(T68=0,0,X68/T68)</f>
        <v>-0.44382634385202108</v>
      </c>
    </row>
    <row r="69" spans="1:26" s="24" customFormat="1" hidden="1" outlineLevel="2" x14ac:dyDescent="0.25">
      <c r="A69" s="25"/>
      <c r="B69" s="11" t="str">
        <f>CONCATENATE("          ", "6282", " - ", "JANITORIAL/EXTERMINATOR EXPENS")</f>
        <v xml:space="preserve">          6282 - JANITORIAL/EXTERMINATOR EXPENS</v>
      </c>
      <c r="C69" s="11"/>
      <c r="D69" s="6">
        <v>130.69999999999999</v>
      </c>
      <c r="E69" s="2"/>
      <c r="F69" s="7">
        <f t="shared" si="36"/>
        <v>1.2128901548397657E-3</v>
      </c>
      <c r="G69" s="2"/>
      <c r="H69" s="6">
        <v>1508.3</v>
      </c>
      <c r="I69" s="2"/>
      <c r="J69" s="7">
        <f t="shared" si="37"/>
        <v>1.3187497315264938E-3</v>
      </c>
      <c r="K69" s="2"/>
      <c r="L69" s="6">
        <f t="shared" si="38"/>
        <v>-1377.6</v>
      </c>
      <c r="M69" s="2"/>
      <c r="N69" s="7">
        <f t="shared" si="39"/>
        <v>-0.91334615129616126</v>
      </c>
      <c r="O69" s="11"/>
      <c r="P69" s="6">
        <v>3888.71</v>
      </c>
      <c r="Q69" s="2"/>
      <c r="R69" s="7">
        <f t="shared" si="40"/>
        <v>7.0521623643817364E-3</v>
      </c>
      <c r="S69" s="2"/>
      <c r="T69" s="6">
        <v>7811.5</v>
      </c>
      <c r="U69" s="2"/>
      <c r="V69" s="7">
        <f t="shared" si="41"/>
        <v>1.4767378503021532E-3</v>
      </c>
      <c r="W69" s="2"/>
      <c r="X69" s="6">
        <f t="shared" si="42"/>
        <v>-3922.79</v>
      </c>
      <c r="Y69" s="2"/>
      <c r="Z69" s="7">
        <f t="shared" si="43"/>
        <v>-0.50218139921909999</v>
      </c>
    </row>
    <row r="70" spans="1:26" s="24" customFormat="1" hidden="1" outlineLevel="2" x14ac:dyDescent="0.25">
      <c r="A70" s="25"/>
      <c r="B70" s="11" t="str">
        <f>CONCATENATE("          ", "6285", " - ", "JANITORIAL SERVICES")</f>
        <v xml:space="preserve">          6285 - JANITORIAL SERVICES</v>
      </c>
      <c r="C70" s="11"/>
      <c r="D70" s="6">
        <v>8351.15</v>
      </c>
      <c r="E70" s="2"/>
      <c r="F70" s="7">
        <f t="shared" si="36"/>
        <v>7.7498298520199765E-2</v>
      </c>
      <c r="G70" s="2"/>
      <c r="H70" s="6">
        <v>11438.01</v>
      </c>
      <c r="I70" s="2"/>
      <c r="J70" s="7">
        <f t="shared" si="37"/>
        <v>1.000057854319257E-2</v>
      </c>
      <c r="K70" s="2"/>
      <c r="L70" s="6">
        <f t="shared" si="38"/>
        <v>-3086.8600000000006</v>
      </c>
      <c r="M70" s="2"/>
      <c r="N70" s="7">
        <f t="shared" si="39"/>
        <v>-0.26987736503115495</v>
      </c>
      <c r="O70" s="11"/>
      <c r="P70" s="6">
        <v>40950.83</v>
      </c>
      <c r="Q70" s="2"/>
      <c r="R70" s="7">
        <f t="shared" si="40"/>
        <v>7.4264190982663805E-2</v>
      </c>
      <c r="S70" s="2"/>
      <c r="T70" s="6">
        <v>62647.01</v>
      </c>
      <c r="U70" s="2"/>
      <c r="V70" s="7">
        <f t="shared" si="41"/>
        <v>1.1843206922519042E-2</v>
      </c>
      <c r="W70" s="2"/>
      <c r="X70" s="6">
        <f t="shared" si="42"/>
        <v>-21696.18</v>
      </c>
      <c r="Y70" s="2"/>
      <c r="Z70" s="7">
        <f t="shared" si="43"/>
        <v>-0.34632426990529952</v>
      </c>
    </row>
    <row r="71" spans="1:26" s="24" customFormat="1" hidden="1" outlineLevel="2" x14ac:dyDescent="0.25">
      <c r="A71" s="25"/>
      <c r="B71" s="11" t="str">
        <f>CONCATENATE("          ", "6286", " - ", "LAUNDRY EXPENSE")</f>
        <v xml:space="preserve">          6286 - LAUNDRY EXPENSE</v>
      </c>
      <c r="C71" s="11"/>
      <c r="D71" s="6">
        <v>769.68</v>
      </c>
      <c r="E71" s="2"/>
      <c r="F71" s="7">
        <f t="shared" si="36"/>
        <v>7.1425959784014604E-3</v>
      </c>
      <c r="G71" s="2"/>
      <c r="H71" s="6">
        <v>4106.6400000000003</v>
      </c>
      <c r="I71" s="2"/>
      <c r="J71" s="7">
        <f t="shared" si="37"/>
        <v>3.5905525409241938E-3</v>
      </c>
      <c r="K71" s="2"/>
      <c r="L71" s="6">
        <f t="shared" si="38"/>
        <v>-3336.9600000000005</v>
      </c>
      <c r="M71" s="2"/>
      <c r="N71" s="7">
        <f t="shared" si="39"/>
        <v>-0.81257670504353929</v>
      </c>
      <c r="O71" s="11"/>
      <c r="P71" s="6">
        <v>8076.34</v>
      </c>
      <c r="Q71" s="2"/>
      <c r="R71" s="7">
        <f t="shared" si="40"/>
        <v>1.4646415132512015E-2</v>
      </c>
      <c r="S71" s="2"/>
      <c r="T71" s="6">
        <v>24684.22</v>
      </c>
      <c r="U71" s="2"/>
      <c r="V71" s="7">
        <f t="shared" si="41"/>
        <v>4.6664689213576672E-3</v>
      </c>
      <c r="W71" s="2"/>
      <c r="X71" s="6">
        <f t="shared" si="42"/>
        <v>-16607.88</v>
      </c>
      <c r="Y71" s="2"/>
      <c r="Z71" s="7">
        <f t="shared" si="43"/>
        <v>-0.67281364369625618</v>
      </c>
    </row>
    <row r="72" spans="1:26" s="26" customFormat="1" outlineLevel="1" collapsed="1" x14ac:dyDescent="0.25">
      <c r="A72" s="27"/>
      <c r="B72" s="13" t="str">
        <f>CONCATENATE("     ","Subscriptions &amp; Dues                              ")</f>
        <v xml:space="preserve">     Subscriptions &amp; Dues                              </v>
      </c>
      <c r="C72" s="13"/>
      <c r="D72" s="1">
        <f>SUM(OSRRefD22_14x_0)</f>
        <v>795</v>
      </c>
      <c r="E72" s="1"/>
      <c r="F72" s="5">
        <f t="shared" ref="F72:F83" si="44">IF(D$12=0,0,D72/D$12)</f>
        <v>7.3775644460414213E-3</v>
      </c>
      <c r="G72" s="1"/>
      <c r="H72" s="1">
        <f>SUM(OSRRefH22_14x_0)</f>
        <v>0</v>
      </c>
      <c r="I72" s="1"/>
      <c r="J72" s="5">
        <f t="shared" ref="J72:J83" si="45">IF(H$12=0,0,H72/H$12)</f>
        <v>0</v>
      </c>
      <c r="K72" s="1"/>
      <c r="L72" s="1">
        <f t="shared" ref="L72:L83" si="46">+D72-H72</f>
        <v>795</v>
      </c>
      <c r="M72" s="1"/>
      <c r="N72" s="5">
        <f t="shared" ref="N72:N83" si="47">IF(H72=0,0,L72/H72)</f>
        <v>0</v>
      </c>
      <c r="O72" s="13"/>
      <c r="P72" s="1">
        <f>SUM(OSRRefP22_14x_0)</f>
        <v>795</v>
      </c>
      <c r="Q72" s="1"/>
      <c r="R72" s="5">
        <f t="shared" ref="R72:R83" si="48">IF(P$12=0,0,P72/P$12)</f>
        <v>1.4417297972035663E-3</v>
      </c>
      <c r="S72" s="1"/>
      <c r="T72" s="1">
        <f>SUM(OSRRefT22_14x_0)</f>
        <v>0</v>
      </c>
      <c r="U72" s="1"/>
      <c r="V72" s="5">
        <f t="shared" ref="V72:V83" si="49">IF(T$12=0,0,T72/T$12)</f>
        <v>0</v>
      </c>
      <c r="W72" s="1"/>
      <c r="X72" s="1">
        <f t="shared" ref="X72:X83" si="50">+P72-T72</f>
        <v>795</v>
      </c>
      <c r="Y72" s="1"/>
      <c r="Z72" s="5">
        <f t="shared" ref="Z72:Z83" si="51">IF(T72=0,0,X72/T72)</f>
        <v>0</v>
      </c>
    </row>
    <row r="73" spans="1:26" s="24" customFormat="1" hidden="1" outlineLevel="2" x14ac:dyDescent="0.25">
      <c r="A73" s="25"/>
      <c r="B73" s="11" t="str">
        <f>CONCATENATE("          ", "6258", " - ", "MEMBERSHIP DUES")</f>
        <v xml:space="preserve">          6258 - MEMBERSHIP DUES</v>
      </c>
      <c r="C73" s="11"/>
      <c r="D73" s="6">
        <v>795</v>
      </c>
      <c r="E73" s="2"/>
      <c r="F73" s="7">
        <f t="shared" si="44"/>
        <v>7.3775644460414213E-3</v>
      </c>
      <c r="G73" s="2"/>
      <c r="H73" s="6"/>
      <c r="I73" s="2"/>
      <c r="J73" s="7">
        <f t="shared" si="45"/>
        <v>0</v>
      </c>
      <c r="K73" s="2"/>
      <c r="L73" s="6">
        <f t="shared" si="46"/>
        <v>795</v>
      </c>
      <c r="M73" s="2"/>
      <c r="N73" s="7">
        <f t="shared" si="47"/>
        <v>0</v>
      </c>
      <c r="O73" s="11"/>
      <c r="P73" s="6">
        <v>795</v>
      </c>
      <c r="Q73" s="2"/>
      <c r="R73" s="7">
        <f t="shared" si="48"/>
        <v>1.4417297972035663E-3</v>
      </c>
      <c r="S73" s="2"/>
      <c r="T73" s="6"/>
      <c r="U73" s="2"/>
      <c r="V73" s="7">
        <f t="shared" si="49"/>
        <v>0</v>
      </c>
      <c r="W73" s="2"/>
      <c r="X73" s="6">
        <f t="shared" si="50"/>
        <v>795</v>
      </c>
      <c r="Y73" s="2"/>
      <c r="Z73" s="7">
        <f t="shared" si="51"/>
        <v>0</v>
      </c>
    </row>
    <row r="74" spans="1:26" s="26" customFormat="1" outlineLevel="1" collapsed="1" x14ac:dyDescent="0.25">
      <c r="A74" s="27"/>
      <c r="B74" s="13" t="str">
        <f>CONCATENATE("     ","Supplies                                          ")</f>
        <v xml:space="preserve">     Supplies                                          </v>
      </c>
      <c r="C74" s="13"/>
      <c r="D74" s="1">
        <f>SUM(OSRRefD22_15x_0)</f>
        <v>21390.29</v>
      </c>
      <c r="E74" s="1"/>
      <c r="F74" s="5">
        <f t="shared" si="44"/>
        <v>0.19850093458429607</v>
      </c>
      <c r="G74" s="1"/>
      <c r="H74" s="1">
        <f>SUM(OSRRefH22_15x_0)</f>
        <v>17665.93</v>
      </c>
      <c r="I74" s="1"/>
      <c r="J74" s="5">
        <f t="shared" si="45"/>
        <v>1.5445826721915955E-2</v>
      </c>
      <c r="K74" s="1"/>
      <c r="L74" s="1">
        <f t="shared" si="46"/>
        <v>3724.3600000000006</v>
      </c>
      <c r="M74" s="1"/>
      <c r="N74" s="5">
        <f t="shared" si="47"/>
        <v>0.21082162105250052</v>
      </c>
      <c r="O74" s="13"/>
      <c r="P74" s="1">
        <f>SUM(OSRRefP22_15x_0)</f>
        <v>76003.199999999997</v>
      </c>
      <c r="Q74" s="1"/>
      <c r="R74" s="5">
        <f t="shared" si="48"/>
        <v>0.13783154480858123</v>
      </c>
      <c r="S74" s="1"/>
      <c r="T74" s="1">
        <f>SUM(OSRRefT22_15x_0)</f>
        <v>124328.77</v>
      </c>
      <c r="U74" s="1"/>
      <c r="V74" s="5">
        <f t="shared" si="49"/>
        <v>2.3503936573066739E-2</v>
      </c>
      <c r="W74" s="1"/>
      <c r="X74" s="1">
        <f t="shared" si="50"/>
        <v>-48325.570000000007</v>
      </c>
      <c r="Y74" s="1"/>
      <c r="Z74" s="5">
        <f t="shared" si="51"/>
        <v>-0.38869177262833055</v>
      </c>
    </row>
    <row r="75" spans="1:26" s="24" customFormat="1" hidden="1" outlineLevel="2" x14ac:dyDescent="0.25">
      <c r="A75" s="25"/>
      <c r="B75" s="11" t="str">
        <f>CONCATENATE("          ", "6234", " - ", "EXPENDABLE SUPPLIES &amp; EQUIPMEN")</f>
        <v xml:space="preserve">          6234 - EXPENDABLE SUPPLIES &amp; EQUIPMEN</v>
      </c>
      <c r="C75" s="11"/>
      <c r="D75" s="6"/>
      <c r="E75" s="2"/>
      <c r="F75" s="7">
        <f t="shared" si="44"/>
        <v>0</v>
      </c>
      <c r="G75" s="2"/>
      <c r="H75" s="6"/>
      <c r="I75" s="2"/>
      <c r="J75" s="7">
        <f t="shared" si="45"/>
        <v>0</v>
      </c>
      <c r="K75" s="2"/>
      <c r="L75" s="6">
        <f t="shared" si="46"/>
        <v>0</v>
      </c>
      <c r="M75" s="2"/>
      <c r="N75" s="7">
        <f t="shared" si="47"/>
        <v>0</v>
      </c>
      <c r="O75" s="11"/>
      <c r="P75" s="6"/>
      <c r="Q75" s="2"/>
      <c r="R75" s="7">
        <f t="shared" si="48"/>
        <v>0</v>
      </c>
      <c r="S75" s="2"/>
      <c r="T75" s="6">
        <v>100</v>
      </c>
      <c r="U75" s="2"/>
      <c r="V75" s="7">
        <f t="shared" si="49"/>
        <v>1.8904664280895516E-5</v>
      </c>
      <c r="W75" s="2"/>
      <c r="X75" s="6">
        <f t="shared" si="50"/>
        <v>-100</v>
      </c>
      <c r="Y75" s="2"/>
      <c r="Z75" s="7">
        <f t="shared" si="51"/>
        <v>-1</v>
      </c>
    </row>
    <row r="76" spans="1:26" s="24" customFormat="1" hidden="1" outlineLevel="2" x14ac:dyDescent="0.25">
      <c r="A76" s="25"/>
      <c r="B76" s="11" t="str">
        <f>CONCATENATE("          ", "6235", " - ", "COVID-19 EXPENSES")</f>
        <v xml:space="preserve">          6235 - COVID-19 EXPENSES</v>
      </c>
      <c r="C76" s="11"/>
      <c r="D76" s="6">
        <v>11925.52</v>
      </c>
      <c r="E76" s="2"/>
      <c r="F76" s="7">
        <f t="shared" si="44"/>
        <v>0.11066829226736591</v>
      </c>
      <c r="G76" s="2"/>
      <c r="H76" s="6"/>
      <c r="I76" s="2"/>
      <c r="J76" s="7">
        <f t="shared" si="45"/>
        <v>0</v>
      </c>
      <c r="K76" s="2"/>
      <c r="L76" s="6">
        <f t="shared" si="46"/>
        <v>11925.52</v>
      </c>
      <c r="M76" s="2"/>
      <c r="N76" s="7">
        <f t="shared" si="47"/>
        <v>0</v>
      </c>
      <c r="O76" s="11"/>
      <c r="P76" s="6">
        <v>43012.17</v>
      </c>
      <c r="Q76" s="2"/>
      <c r="R76" s="7">
        <f t="shared" si="48"/>
        <v>7.8002424064635617E-2</v>
      </c>
      <c r="S76" s="2"/>
      <c r="T76" s="6"/>
      <c r="U76" s="2"/>
      <c r="V76" s="7">
        <f t="shared" si="49"/>
        <v>0</v>
      </c>
      <c r="W76" s="2"/>
      <c r="X76" s="6">
        <f t="shared" si="50"/>
        <v>43012.17</v>
      </c>
      <c r="Y76" s="2"/>
      <c r="Z76" s="7">
        <f t="shared" si="51"/>
        <v>0</v>
      </c>
    </row>
    <row r="77" spans="1:26" s="24" customFormat="1" hidden="1" outlineLevel="2" x14ac:dyDescent="0.25">
      <c r="A77" s="25"/>
      <c r="B77" s="11" t="str">
        <f>CONCATENATE("          ", "6237", " - ", "JANITORIAL SUPPLIES")</f>
        <v xml:space="preserve">          6237 - JANITORIAL SUPPLIES</v>
      </c>
      <c r="C77" s="11"/>
      <c r="D77" s="6">
        <v>390.1</v>
      </c>
      <c r="E77" s="2"/>
      <c r="F77" s="7">
        <f t="shared" si="44"/>
        <v>3.6201105539632188E-3</v>
      </c>
      <c r="G77" s="2"/>
      <c r="H77" s="6">
        <v>8070.32</v>
      </c>
      <c r="I77" s="2"/>
      <c r="J77" s="7">
        <f t="shared" si="45"/>
        <v>7.056111074277594E-3</v>
      </c>
      <c r="K77" s="2"/>
      <c r="L77" s="6">
        <f t="shared" si="46"/>
        <v>-7680.2199999999993</v>
      </c>
      <c r="M77" s="2"/>
      <c r="N77" s="7">
        <f t="shared" si="47"/>
        <v>-0.95166238761288269</v>
      </c>
      <c r="O77" s="11"/>
      <c r="P77" s="6">
        <v>8282.26</v>
      </c>
      <c r="Q77" s="2"/>
      <c r="R77" s="7">
        <f t="shared" si="48"/>
        <v>1.5019850352436741E-2</v>
      </c>
      <c r="S77" s="2"/>
      <c r="T77" s="6">
        <v>45216.72</v>
      </c>
      <c r="U77" s="2"/>
      <c r="V77" s="7">
        <f t="shared" si="49"/>
        <v>8.5480691148325395E-3</v>
      </c>
      <c r="W77" s="2"/>
      <c r="X77" s="6">
        <f t="shared" si="50"/>
        <v>-36934.46</v>
      </c>
      <c r="Y77" s="2"/>
      <c r="Z77" s="7">
        <f t="shared" si="51"/>
        <v>-0.81683191527381904</v>
      </c>
    </row>
    <row r="78" spans="1:26" s="24" customFormat="1" hidden="1" outlineLevel="2" x14ac:dyDescent="0.25">
      <c r="A78" s="25"/>
      <c r="B78" s="11" t="str">
        <f>CONCATENATE("          ", "6239", " - ", "KITCHEN SUPPLIES")</f>
        <v xml:space="preserve">          6239 - KITCHEN SUPPLIES</v>
      </c>
      <c r="C78" s="11"/>
      <c r="D78" s="6">
        <v>1494.83</v>
      </c>
      <c r="E78" s="2"/>
      <c r="F78" s="7">
        <f t="shared" si="44"/>
        <v>1.387195554827182E-2</v>
      </c>
      <c r="G78" s="2"/>
      <c r="H78" s="6">
        <v>2302.39</v>
      </c>
      <c r="I78" s="2"/>
      <c r="J78" s="7">
        <f t="shared" si="45"/>
        <v>2.0130452790355262E-3</v>
      </c>
      <c r="K78" s="2"/>
      <c r="L78" s="6">
        <f t="shared" si="46"/>
        <v>-807.56</v>
      </c>
      <c r="M78" s="2"/>
      <c r="N78" s="7">
        <f t="shared" si="47"/>
        <v>-0.35074856996425452</v>
      </c>
      <c r="O78" s="11"/>
      <c r="P78" s="6">
        <v>5666.51</v>
      </c>
      <c r="Q78" s="2"/>
      <c r="R78" s="7">
        <f t="shared" si="48"/>
        <v>1.0276196620316957E-2</v>
      </c>
      <c r="S78" s="2"/>
      <c r="T78" s="6">
        <v>21270.83</v>
      </c>
      <c r="U78" s="2"/>
      <c r="V78" s="7">
        <f t="shared" si="49"/>
        <v>4.0211790012600083E-3</v>
      </c>
      <c r="W78" s="2"/>
      <c r="X78" s="6">
        <f t="shared" si="50"/>
        <v>-15604.320000000002</v>
      </c>
      <c r="Y78" s="2"/>
      <c r="Z78" s="7">
        <f t="shared" si="51"/>
        <v>-0.73360183876228624</v>
      </c>
    </row>
    <row r="79" spans="1:26" s="24" customFormat="1" hidden="1" outlineLevel="2" x14ac:dyDescent="0.25">
      <c r="A79" s="25"/>
      <c r="B79" s="11" t="str">
        <f>CONCATENATE("          ", "6241", " - ", "OFFICE EXPENSE")</f>
        <v xml:space="preserve">          6241 - OFFICE EXPENSE</v>
      </c>
      <c r="C79" s="11"/>
      <c r="D79" s="6">
        <v>1207.05</v>
      </c>
      <c r="E79" s="2"/>
      <c r="F79" s="7">
        <f t="shared" si="44"/>
        <v>1.1201370018357608E-2</v>
      </c>
      <c r="G79" s="2"/>
      <c r="H79" s="6">
        <v>1545.58</v>
      </c>
      <c r="I79" s="2"/>
      <c r="J79" s="7">
        <f t="shared" si="45"/>
        <v>1.3513446993653241E-3</v>
      </c>
      <c r="K79" s="2"/>
      <c r="L79" s="6">
        <f t="shared" si="46"/>
        <v>-338.53</v>
      </c>
      <c r="M79" s="2"/>
      <c r="N79" s="7">
        <f t="shared" si="47"/>
        <v>-0.21903104336236234</v>
      </c>
      <c r="O79" s="11"/>
      <c r="P79" s="6">
        <v>2561.98</v>
      </c>
      <c r="Q79" s="2"/>
      <c r="R79" s="7">
        <f t="shared" si="48"/>
        <v>4.6461420199240162E-3</v>
      </c>
      <c r="S79" s="2"/>
      <c r="T79" s="6">
        <v>26094.69</v>
      </c>
      <c r="U79" s="2"/>
      <c r="V79" s="7">
        <f t="shared" si="49"/>
        <v>4.9331135396404142E-3</v>
      </c>
      <c r="W79" s="2"/>
      <c r="X79" s="6">
        <f t="shared" si="50"/>
        <v>-23532.71</v>
      </c>
      <c r="Y79" s="2"/>
      <c r="Z79" s="7">
        <f t="shared" si="51"/>
        <v>-0.90181987216556325</v>
      </c>
    </row>
    <row r="80" spans="1:26" s="24" customFormat="1" hidden="1" outlineLevel="2" x14ac:dyDescent="0.25">
      <c r="A80" s="25"/>
      <c r="B80" s="11" t="str">
        <f>CONCATENATE("          ", "6243", " - ", "PAPER SUPPLIES")</f>
        <v xml:space="preserve">          6243 - PAPER SUPPLIES</v>
      </c>
      <c r="C80" s="11"/>
      <c r="D80" s="6">
        <v>5686.88</v>
      </c>
      <c r="E80" s="2"/>
      <c r="F80" s="7">
        <f t="shared" si="44"/>
        <v>5.2773992071577409E-2</v>
      </c>
      <c r="G80" s="2"/>
      <c r="H80" s="6">
        <v>5034.5600000000004</v>
      </c>
      <c r="I80" s="2"/>
      <c r="J80" s="7">
        <f t="shared" si="45"/>
        <v>4.4018594764662373E-3</v>
      </c>
      <c r="K80" s="2"/>
      <c r="L80" s="6">
        <f t="shared" si="46"/>
        <v>652.31999999999971</v>
      </c>
      <c r="M80" s="2"/>
      <c r="N80" s="7">
        <f t="shared" si="47"/>
        <v>0.12956842305981053</v>
      </c>
      <c r="O80" s="11"/>
      <c r="P80" s="6">
        <v>11979.69</v>
      </c>
      <c r="Q80" s="2"/>
      <c r="R80" s="7">
        <f t="shared" si="48"/>
        <v>2.1725127087121501E-2</v>
      </c>
      <c r="S80" s="2"/>
      <c r="T80" s="6">
        <v>33521.03</v>
      </c>
      <c r="U80" s="2"/>
      <c r="V80" s="7">
        <f t="shared" si="49"/>
        <v>6.3370381849982699E-3</v>
      </c>
      <c r="W80" s="2"/>
      <c r="X80" s="6">
        <f t="shared" si="50"/>
        <v>-21541.339999999997</v>
      </c>
      <c r="Y80" s="2"/>
      <c r="Z80" s="7">
        <f t="shared" si="51"/>
        <v>-0.64262166168521662</v>
      </c>
    </row>
    <row r="81" spans="1:26" s="24" customFormat="1" hidden="1" outlineLevel="2" x14ac:dyDescent="0.25">
      <c r="A81" s="25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44"/>
        <v>0</v>
      </c>
      <c r="G81" s="2"/>
      <c r="H81" s="6"/>
      <c r="I81" s="2"/>
      <c r="J81" s="7">
        <f t="shared" si="45"/>
        <v>0</v>
      </c>
      <c r="K81" s="2"/>
      <c r="L81" s="6">
        <f t="shared" si="46"/>
        <v>0</v>
      </c>
      <c r="M81" s="2"/>
      <c r="N81" s="7">
        <f t="shared" si="47"/>
        <v>0</v>
      </c>
      <c r="O81" s="11"/>
      <c r="P81" s="6"/>
      <c r="Q81" s="2"/>
      <c r="R81" s="7">
        <f t="shared" si="48"/>
        <v>0</v>
      </c>
      <c r="S81" s="2"/>
      <c r="T81" s="6">
        <v>1351.44</v>
      </c>
      <c r="U81" s="2"/>
      <c r="V81" s="7">
        <f t="shared" si="49"/>
        <v>2.5548519495773437E-4</v>
      </c>
      <c r="W81" s="2"/>
      <c r="X81" s="6">
        <f t="shared" si="50"/>
        <v>-1351.44</v>
      </c>
      <c r="Y81" s="2"/>
      <c r="Z81" s="7">
        <f t="shared" si="51"/>
        <v>-1</v>
      </c>
    </row>
    <row r="82" spans="1:26" s="24" customFormat="1" hidden="1" outlineLevel="2" x14ac:dyDescent="0.25">
      <c r="A82" s="25"/>
      <c r="B82" s="11" t="str">
        <f>CONCATENATE("          ", "6247", " - ", "STORE SUPPLIES")</f>
        <v xml:space="preserve">          6247 - STORE SUPPLIES</v>
      </c>
      <c r="C82" s="11"/>
      <c r="D82" s="6"/>
      <c r="E82" s="2"/>
      <c r="F82" s="7">
        <f t="shared" si="44"/>
        <v>0</v>
      </c>
      <c r="G82" s="2"/>
      <c r="H82" s="6">
        <v>142.68</v>
      </c>
      <c r="I82" s="2"/>
      <c r="J82" s="7">
        <f t="shared" si="45"/>
        <v>1.2474919558058754E-4</v>
      </c>
      <c r="K82" s="2"/>
      <c r="L82" s="6">
        <f t="shared" si="46"/>
        <v>-142.68</v>
      </c>
      <c r="M82" s="2"/>
      <c r="N82" s="7">
        <f t="shared" si="47"/>
        <v>-1</v>
      </c>
      <c r="O82" s="11"/>
      <c r="P82" s="6"/>
      <c r="Q82" s="2"/>
      <c r="R82" s="7">
        <f t="shared" si="48"/>
        <v>0</v>
      </c>
      <c r="S82" s="2"/>
      <c r="T82" s="6">
        <v>659.41</v>
      </c>
      <c r="U82" s="2"/>
      <c r="V82" s="7">
        <f t="shared" si="49"/>
        <v>1.2465924673465311E-4</v>
      </c>
      <c r="W82" s="2"/>
      <c r="X82" s="6">
        <f t="shared" si="50"/>
        <v>-659.41</v>
      </c>
      <c r="Y82" s="2"/>
      <c r="Z82" s="7">
        <f t="shared" si="51"/>
        <v>-1</v>
      </c>
    </row>
    <row r="83" spans="1:26" s="24" customFormat="1" hidden="1" outlineLevel="2" x14ac:dyDescent="0.25">
      <c r="A83" s="25"/>
      <c r="B83" s="11" t="str">
        <f>CONCATENATE("          ", "6248", " - ", "UNIFORMS")</f>
        <v xml:space="preserve">          6248 - UNIFORMS</v>
      </c>
      <c r="C83" s="11"/>
      <c r="D83" s="6">
        <v>685.91</v>
      </c>
      <c r="E83" s="2"/>
      <c r="F83" s="7">
        <f t="shared" si="44"/>
        <v>6.3652141247600895E-3</v>
      </c>
      <c r="G83" s="2"/>
      <c r="H83" s="6">
        <v>570.4</v>
      </c>
      <c r="I83" s="2"/>
      <c r="J83" s="7">
        <f t="shared" si="45"/>
        <v>4.9871699719068632E-4</v>
      </c>
      <c r="K83" s="2"/>
      <c r="L83" s="6">
        <f t="shared" si="46"/>
        <v>115.50999999999999</v>
      </c>
      <c r="M83" s="2"/>
      <c r="N83" s="7">
        <f t="shared" si="47"/>
        <v>0.20250701262272089</v>
      </c>
      <c r="O83" s="11"/>
      <c r="P83" s="6">
        <v>4500.59</v>
      </c>
      <c r="Q83" s="2"/>
      <c r="R83" s="7">
        <f t="shared" si="48"/>
        <v>8.1618046641464131E-3</v>
      </c>
      <c r="S83" s="2"/>
      <c r="T83" s="6">
        <v>-3885.35</v>
      </c>
      <c r="U83" s="2"/>
      <c r="V83" s="7">
        <f t="shared" si="49"/>
        <v>-7.3451237363777392E-4</v>
      </c>
      <c r="W83" s="2"/>
      <c r="X83" s="6">
        <f t="shared" si="50"/>
        <v>8385.94</v>
      </c>
      <c r="Y83" s="2"/>
      <c r="Z83" s="7">
        <f t="shared" si="51"/>
        <v>-2.1583486687171041</v>
      </c>
    </row>
    <row r="84" spans="1:26" s="26" customFormat="1" outlineLevel="1" collapsed="1" x14ac:dyDescent="0.25">
      <c r="A84" s="27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SUM(OSRRefD22_16x_0)</f>
        <v>498</v>
      </c>
      <c r="E84" s="1"/>
      <c r="F84" s="5">
        <f t="shared" ref="F84:F89" si="52">IF(D$12=0,0,D84/D$12)</f>
        <v>4.6214177284636827E-3</v>
      </c>
      <c r="G84" s="1"/>
      <c r="H84" s="1">
        <f>SUM(OSRRefH22_16x_0)</f>
        <v>740.1</v>
      </c>
      <c r="I84" s="1"/>
      <c r="J84" s="5">
        <f t="shared" ref="J84:J89" si="53">IF(H$12=0,0,H84/H$12)</f>
        <v>6.4709054982613418E-4</v>
      </c>
      <c r="K84" s="1"/>
      <c r="L84" s="1">
        <f t="shared" ref="L84:L89" si="54">+D84-H84</f>
        <v>-242.10000000000002</v>
      </c>
      <c r="M84" s="1"/>
      <c r="N84" s="5">
        <f t="shared" ref="N84:N89" si="55">IF(H84=0,0,L84/H84)</f>
        <v>-0.32711795703283342</v>
      </c>
      <c r="O84" s="13"/>
      <c r="P84" s="1">
        <f>SUM(OSRRefP22_16x_0)</f>
        <v>3285.32</v>
      </c>
      <c r="Q84" s="1"/>
      <c r="R84" s="5">
        <f t="shared" ref="R84:R89" si="56">IF(P$12=0,0,P84/P$12)</f>
        <v>5.957916650753234E-3</v>
      </c>
      <c r="S84" s="1"/>
      <c r="T84" s="1">
        <f>SUM(OSRRefT22_16x_0)</f>
        <v>2952.5</v>
      </c>
      <c r="U84" s="1"/>
      <c r="V84" s="5">
        <f t="shared" ref="V84:V89" si="57">IF(T$12=0,0,T84/T$12)</f>
        <v>5.5816021289344011E-4</v>
      </c>
      <c r="W84" s="1"/>
      <c r="X84" s="1">
        <f t="shared" ref="X84:X89" si="58">+P84-T84</f>
        <v>332.82000000000016</v>
      </c>
      <c r="Y84" s="1"/>
      <c r="Z84" s="5">
        <f t="shared" ref="Z84:Z89" si="59">IF(T84=0,0,X84/T84)</f>
        <v>0.11272480948348862</v>
      </c>
    </row>
    <row r="85" spans="1:26" s="24" customFormat="1" hidden="1" outlineLevel="2" x14ac:dyDescent="0.25">
      <c r="A85" s="25"/>
      <c r="B85" s="11" t="str">
        <f>CONCATENATE("          ", "6309", " - ", "TELEPHONE")</f>
        <v xml:space="preserve">          6309 - TELEPHONE</v>
      </c>
      <c r="C85" s="11"/>
      <c r="D85" s="6">
        <v>498</v>
      </c>
      <c r="E85" s="2"/>
      <c r="F85" s="7">
        <f t="shared" si="52"/>
        <v>4.6214177284636827E-3</v>
      </c>
      <c r="G85" s="2"/>
      <c r="H85" s="6">
        <v>740.1</v>
      </c>
      <c r="I85" s="2"/>
      <c r="J85" s="7">
        <f t="shared" si="53"/>
        <v>6.4709054982613418E-4</v>
      </c>
      <c r="K85" s="2"/>
      <c r="L85" s="6">
        <f t="shared" si="54"/>
        <v>-242.10000000000002</v>
      </c>
      <c r="M85" s="2"/>
      <c r="N85" s="7">
        <f t="shared" si="55"/>
        <v>-0.32711795703283342</v>
      </c>
      <c r="O85" s="11"/>
      <c r="P85" s="6">
        <v>3285.32</v>
      </c>
      <c r="Q85" s="2"/>
      <c r="R85" s="7">
        <f t="shared" si="56"/>
        <v>5.957916650753234E-3</v>
      </c>
      <c r="S85" s="2"/>
      <c r="T85" s="6">
        <v>2952.5</v>
      </c>
      <c r="U85" s="2"/>
      <c r="V85" s="7">
        <f t="shared" si="57"/>
        <v>5.5816021289344011E-4</v>
      </c>
      <c r="W85" s="2"/>
      <c r="X85" s="6">
        <f t="shared" si="58"/>
        <v>332.82000000000016</v>
      </c>
      <c r="Y85" s="2"/>
      <c r="Z85" s="7">
        <f t="shared" si="59"/>
        <v>0.11272480948348862</v>
      </c>
    </row>
    <row r="86" spans="1:26" s="26" customFormat="1" outlineLevel="1" collapsed="1" x14ac:dyDescent="0.25">
      <c r="A86" s="27"/>
      <c r="B86" s="13" t="str">
        <f>CONCATENATE("     ","Training                                          ")</f>
        <v xml:space="preserve">     Training                                          </v>
      </c>
      <c r="C86" s="13"/>
      <c r="D86" s="1">
        <f>SUM(OSRRefD22_17x_0)</f>
        <v>0</v>
      </c>
      <c r="E86" s="1"/>
      <c r="F86" s="5">
        <f t="shared" si="52"/>
        <v>0</v>
      </c>
      <c r="G86" s="1"/>
      <c r="H86" s="1">
        <f>SUM(OSRRefH22_17x_0)</f>
        <v>525</v>
      </c>
      <c r="I86" s="1"/>
      <c r="J86" s="5">
        <f t="shared" si="53"/>
        <v>4.5902248163588765E-4</v>
      </c>
      <c r="K86" s="1"/>
      <c r="L86" s="1">
        <f t="shared" si="54"/>
        <v>-525</v>
      </c>
      <c r="M86" s="1"/>
      <c r="N86" s="5">
        <f t="shared" si="55"/>
        <v>-1</v>
      </c>
      <c r="O86" s="13"/>
      <c r="P86" s="1">
        <f>SUM(OSRRefP22_17x_0)</f>
        <v>735</v>
      </c>
      <c r="Q86" s="1"/>
      <c r="R86" s="5">
        <f t="shared" si="56"/>
        <v>1.3329200011882028E-3</v>
      </c>
      <c r="S86" s="1"/>
      <c r="T86" s="1">
        <f>SUM(OSRRefT22_17x_0)</f>
        <v>4257.2700000000004</v>
      </c>
      <c r="U86" s="1"/>
      <c r="V86" s="5">
        <f t="shared" si="57"/>
        <v>8.0482260103128059E-4</v>
      </c>
      <c r="W86" s="1"/>
      <c r="X86" s="1">
        <f t="shared" si="58"/>
        <v>-3522.2700000000004</v>
      </c>
      <c r="Y86" s="1"/>
      <c r="Z86" s="5">
        <f t="shared" si="59"/>
        <v>-0.82735414949016628</v>
      </c>
    </row>
    <row r="87" spans="1:26" s="24" customFormat="1" hidden="1" outlineLevel="2" x14ac:dyDescent="0.25">
      <c r="A87" s="25"/>
      <c r="B87" s="11" t="str">
        <f>CONCATENATE("          ", "6376", " - ", "TRAINING")</f>
        <v xml:space="preserve">          6376 - TRAINING</v>
      </c>
      <c r="C87" s="11"/>
      <c r="D87" s="6"/>
      <c r="E87" s="2"/>
      <c r="F87" s="7">
        <f t="shared" si="52"/>
        <v>0</v>
      </c>
      <c r="G87" s="2"/>
      <c r="H87" s="6">
        <v>525</v>
      </c>
      <c r="I87" s="2"/>
      <c r="J87" s="7">
        <f t="shared" si="53"/>
        <v>4.5902248163588765E-4</v>
      </c>
      <c r="K87" s="2"/>
      <c r="L87" s="6">
        <f t="shared" si="54"/>
        <v>-525</v>
      </c>
      <c r="M87" s="2"/>
      <c r="N87" s="7">
        <f t="shared" si="55"/>
        <v>-1</v>
      </c>
      <c r="O87" s="11"/>
      <c r="P87" s="6">
        <v>735</v>
      </c>
      <c r="Q87" s="2"/>
      <c r="R87" s="7">
        <f t="shared" si="56"/>
        <v>1.3329200011882028E-3</v>
      </c>
      <c r="S87" s="2"/>
      <c r="T87" s="6">
        <v>4257.2700000000004</v>
      </c>
      <c r="U87" s="2"/>
      <c r="V87" s="7">
        <f t="shared" si="57"/>
        <v>8.0482260103128059E-4</v>
      </c>
      <c r="W87" s="2"/>
      <c r="X87" s="6">
        <f t="shared" si="58"/>
        <v>-3522.2700000000004</v>
      </c>
      <c r="Y87" s="2"/>
      <c r="Z87" s="7">
        <f t="shared" si="59"/>
        <v>-0.82735414949016628</v>
      </c>
    </row>
    <row r="88" spans="1:26" s="26" customFormat="1" outlineLevel="1" collapsed="1" x14ac:dyDescent="0.25">
      <c r="A88" s="27"/>
      <c r="B88" s="13" t="str">
        <f>CONCATENATE("     ","Travel                                            ")</f>
        <v xml:space="preserve">     Travel                                            </v>
      </c>
      <c r="C88" s="13"/>
      <c r="D88" s="1">
        <f>SUM(OSRRefD22_18x_0)</f>
        <v>0</v>
      </c>
      <c r="E88" s="1"/>
      <c r="F88" s="5">
        <f t="shared" si="52"/>
        <v>0</v>
      </c>
      <c r="G88" s="1"/>
      <c r="H88" s="1">
        <f>SUM(OSRRefH22_18x_0)</f>
        <v>26.89</v>
      </c>
      <c r="I88" s="1"/>
      <c r="J88" s="5">
        <f t="shared" si="53"/>
        <v>2.351069434512194E-5</v>
      </c>
      <c r="K88" s="1"/>
      <c r="L88" s="1">
        <f t="shared" si="54"/>
        <v>-26.89</v>
      </c>
      <c r="M88" s="1"/>
      <c r="N88" s="5">
        <f t="shared" si="55"/>
        <v>-1</v>
      </c>
      <c r="O88" s="13"/>
      <c r="P88" s="1">
        <f>SUM(OSRRefP22_18x_0)</f>
        <v>0</v>
      </c>
      <c r="Q88" s="1"/>
      <c r="R88" s="5">
        <f t="shared" si="56"/>
        <v>0</v>
      </c>
      <c r="S88" s="1"/>
      <c r="T88" s="1">
        <f>SUM(OSRRefT22_18x_0)</f>
        <v>2006.56</v>
      </c>
      <c r="U88" s="1"/>
      <c r="V88" s="5">
        <f t="shared" si="57"/>
        <v>3.7933343159473704E-4</v>
      </c>
      <c r="W88" s="1"/>
      <c r="X88" s="1">
        <f t="shared" si="58"/>
        <v>-2006.56</v>
      </c>
      <c r="Y88" s="1"/>
      <c r="Z88" s="5">
        <f t="shared" si="59"/>
        <v>-1</v>
      </c>
    </row>
    <row r="89" spans="1:26" s="24" customFormat="1" hidden="1" outlineLevel="2" x14ac:dyDescent="0.25">
      <c r="A89" s="25"/>
      <c r="B89" s="11" t="str">
        <f>CONCATENATE("          ", "6292", " - ", "TRAVEL/CONFERENCE")</f>
        <v xml:space="preserve">          6292 - TRAVEL/CONFERENCE</v>
      </c>
      <c r="C89" s="11"/>
      <c r="D89" s="6"/>
      <c r="E89" s="2"/>
      <c r="F89" s="7">
        <f t="shared" si="52"/>
        <v>0</v>
      </c>
      <c r="G89" s="2"/>
      <c r="H89" s="6">
        <v>26.89</v>
      </c>
      <c r="I89" s="2"/>
      <c r="J89" s="7">
        <f t="shared" si="53"/>
        <v>2.351069434512194E-5</v>
      </c>
      <c r="K89" s="2"/>
      <c r="L89" s="6">
        <f t="shared" si="54"/>
        <v>-26.89</v>
      </c>
      <c r="M89" s="2"/>
      <c r="N89" s="7">
        <f t="shared" si="55"/>
        <v>-1</v>
      </c>
      <c r="O89" s="11"/>
      <c r="P89" s="6"/>
      <c r="Q89" s="2"/>
      <c r="R89" s="7">
        <f t="shared" si="56"/>
        <v>0</v>
      </c>
      <c r="S89" s="2"/>
      <c r="T89" s="6">
        <v>2006.56</v>
      </c>
      <c r="U89" s="2"/>
      <c r="V89" s="7">
        <f t="shared" si="57"/>
        <v>3.7933343159473704E-4</v>
      </c>
      <c r="W89" s="2"/>
      <c r="X89" s="6">
        <f t="shared" si="58"/>
        <v>-2006.56</v>
      </c>
      <c r="Y89" s="2"/>
      <c r="Z89" s="7">
        <f t="shared" si="59"/>
        <v>-1</v>
      </c>
    </row>
    <row r="90" spans="1:26" s="53" customFormat="1" x14ac:dyDescent="0.25">
      <c r="A90" s="37"/>
      <c r="B90" s="37"/>
      <c r="C90" s="37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7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x14ac:dyDescent="0.25">
      <c r="A91" s="10"/>
      <c r="B91" s="29" t="s">
        <v>0</v>
      </c>
      <c r="C91" s="10"/>
      <c r="D91" s="4">
        <f>SUM(0)</f>
        <v>0</v>
      </c>
      <c r="E91" s="4"/>
      <c r="F91" s="12">
        <f>IF(D$12=0,0,D91/D$12)</f>
        <v>0</v>
      </c>
      <c r="G91" s="4"/>
      <c r="H91" s="4">
        <f>SUM(0)</f>
        <v>0</v>
      </c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>
        <f>SUM(0)</f>
        <v>0</v>
      </c>
      <c r="Q91" s="4"/>
      <c r="R91" s="12">
        <f>IF(P$12=0,0,P91/P$12)</f>
        <v>0</v>
      </c>
      <c r="S91" s="4"/>
      <c r="T91" s="4">
        <f>SUM(0)</f>
        <v>0</v>
      </c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8" t="s">
        <v>3</v>
      </c>
      <c r="C93" s="28"/>
      <c r="D93" s="20">
        <f>+D23-D25+D91</f>
        <v>-174656.75999999995</v>
      </c>
      <c r="E93" s="14"/>
      <c r="F93" s="22">
        <f>IF(D$12=0,0,D93/D$12)</f>
        <v>-1.620806921807282</v>
      </c>
      <c r="G93" s="14"/>
      <c r="H93" s="20">
        <f>+H23-H25+H91</f>
        <v>373095.10999999981</v>
      </c>
      <c r="I93" s="14"/>
      <c r="J93" s="22">
        <f>IF(H$12=0,0,H93/H$12)</f>
        <v>0.32620770148269407</v>
      </c>
      <c r="K93" s="15"/>
      <c r="L93" s="20">
        <f>+D93-H93</f>
        <v>-547751.86999999976</v>
      </c>
      <c r="M93" s="15"/>
      <c r="N93" s="22">
        <f>IF(H93=0,0,L93/H93)</f>
        <v>-1.4681293196257652</v>
      </c>
      <c r="O93" s="29"/>
      <c r="P93" s="20">
        <f>+P23-P25+P91</f>
        <v>-819825.16999999981</v>
      </c>
      <c r="Q93" s="14"/>
      <c r="R93" s="22">
        <f>IF(P$12=0,0,P93/P$12)</f>
        <v>-1.4867501585993446</v>
      </c>
      <c r="S93" s="14"/>
      <c r="T93" s="20">
        <f>+T23-T25+T91</f>
        <v>1493606.3199999994</v>
      </c>
      <c r="U93" s="14"/>
      <c r="V93" s="22">
        <f>IF(T$12=0,0,T93/T$12)</f>
        <v>0.28236126047423787</v>
      </c>
      <c r="W93" s="15"/>
      <c r="X93" s="20">
        <f>+P93-T93</f>
        <v>-2313431.4899999993</v>
      </c>
      <c r="Y93" s="15"/>
      <c r="Z93" s="22">
        <f>IF(T93=0,0,X93/T93)</f>
        <v>-1.548889730193429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1"/>
      <c r="B95" s="10" t="s">
        <v>13</v>
      </c>
      <c r="C95" s="10"/>
      <c r="D95" s="4">
        <v>-8485.89</v>
      </c>
      <c r="E95" s="4"/>
      <c r="F95" s="12">
        <f>IF(D$12=0,0,D95/D$12)</f>
        <v>-7.8748679694362805E-2</v>
      </c>
      <c r="G95" s="4"/>
      <c r="H95" s="4">
        <v>142799.98000000001</v>
      </c>
      <c r="I95" s="4"/>
      <c r="J95" s="12">
        <f>IF(H$12=0,0,H95/H$12)</f>
        <v>0.12485409751839072</v>
      </c>
      <c r="K95" s="4"/>
      <c r="L95" s="4">
        <f>+D95-H95</f>
        <v>-151285.87</v>
      </c>
      <c r="M95" s="4"/>
      <c r="N95" s="12">
        <f>IF(H95=0,0,L95/H95)</f>
        <v>-1.0594250083228303</v>
      </c>
      <c r="O95" s="10"/>
      <c r="P95" s="4">
        <v>87620.800000000003</v>
      </c>
      <c r="Q95" s="4"/>
      <c r="R95" s="12">
        <f>IF(P$12=0,0,P95/P$12)</f>
        <v>0.15890002291171604</v>
      </c>
      <c r="S95" s="4"/>
      <c r="T95" s="4">
        <v>560143.41</v>
      </c>
      <c r="U95" s="4"/>
      <c r="V95" s="12">
        <f>IF(T$12=0,0,T95/T$12)</f>
        <v>0.10589323115206013</v>
      </c>
      <c r="W95" s="4"/>
      <c r="X95" s="4">
        <f>+P95-T95</f>
        <v>-472522.61000000004</v>
      </c>
      <c r="Y95" s="4"/>
      <c r="Z95" s="12">
        <f>IF(T95=0,0,X95/T95)</f>
        <v>-0.84357434464863201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4</v>
      </c>
      <c r="C97" s="28"/>
      <c r="D97" s="31">
        <f>+D93-D95</f>
        <v>-166170.86999999994</v>
      </c>
      <c r="E97" s="14"/>
      <c r="F97" s="34">
        <f>IF(D$12=0,0,D97/D$12)</f>
        <v>-1.542058242112919</v>
      </c>
      <c r="G97" s="14"/>
      <c r="H97" s="31">
        <f>+H93-H95</f>
        <v>230295.1299999998</v>
      </c>
      <c r="I97" s="14"/>
      <c r="J97" s="34">
        <f>IF(H$12=0,0,H97/H$12)</f>
        <v>0.20135360396430335</v>
      </c>
      <c r="K97" s="15"/>
      <c r="L97" s="31">
        <f>D97-H97</f>
        <v>-396465.99999999977</v>
      </c>
      <c r="M97" s="15"/>
      <c r="N97" s="34">
        <f>IF(H97=0,0,L97/H97)</f>
        <v>-1.721556161435112</v>
      </c>
      <c r="O97" s="29"/>
      <c r="P97" s="31">
        <f>+P93-P95</f>
        <v>-907445.96999999986</v>
      </c>
      <c r="Q97" s="14"/>
      <c r="R97" s="34">
        <f>IF(P$12=0,0,P97/P$12)</f>
        <v>-1.6456501815110607</v>
      </c>
      <c r="S97" s="14"/>
      <c r="T97" s="31">
        <f>+T93-T95</f>
        <v>933462.90999999933</v>
      </c>
      <c r="U97" s="14"/>
      <c r="V97" s="34">
        <f>IF(T$12=0,0,T97/T$12)</f>
        <v>0.17646802932217773</v>
      </c>
      <c r="W97" s="15"/>
      <c r="X97" s="31">
        <f>P97-T97</f>
        <v>-1840908.8799999992</v>
      </c>
      <c r="Y97" s="15"/>
      <c r="Z97" s="34">
        <f>IF(T97=0,0,X97/T97)</f>
        <v>-1.9721285765922938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5</v>
      </c>
      <c r="C100" s="28"/>
      <c r="D100" s="32">
        <f>SUM(D97:D99)</f>
        <v>-166170.86999999994</v>
      </c>
      <c r="E100" s="14"/>
      <c r="F100" s="30">
        <f>IF(D$12=0,0,D100/D$12)</f>
        <v>-1.542058242112919</v>
      </c>
      <c r="G100" s="14"/>
      <c r="H100" s="32">
        <f>SUM(H97:H99)</f>
        <v>230295.1299999998</v>
      </c>
      <c r="I100" s="14"/>
      <c r="J100" s="30">
        <f>IF(H$12=0,0,H100/H$12)</f>
        <v>0.20135360396430335</v>
      </c>
      <c r="K100" s="15"/>
      <c r="L100" s="32">
        <f>+D100-H100</f>
        <v>-396465.99999999977</v>
      </c>
      <c r="M100" s="15"/>
      <c r="N100" s="30">
        <f>IF(H100=0,0,L100/H100)</f>
        <v>-1.721556161435112</v>
      </c>
      <c r="O100" s="29"/>
      <c r="P100" s="32">
        <f>SUM(P97:P99)</f>
        <v>-907445.96999999986</v>
      </c>
      <c r="Q100" s="14"/>
      <c r="R100" s="30">
        <f>IF(P$12=0,0,P100/P$12)</f>
        <v>-1.6456501815110607</v>
      </c>
      <c r="S100" s="14"/>
      <c r="T100" s="32">
        <f>SUM(T97:T99)</f>
        <v>933462.90999999933</v>
      </c>
      <c r="U100" s="14"/>
      <c r="V100" s="30">
        <f>IF(T$12=0,0,T100/T$12)</f>
        <v>0.17646802932217773</v>
      </c>
      <c r="W100" s="15"/>
      <c r="X100" s="32">
        <f>+P100-T100</f>
        <v>-1840908.8799999992</v>
      </c>
      <c r="Y100" s="15"/>
      <c r="Z100" s="30">
        <f>IF(T100=0,0,X100/T100)</f>
        <v>-1.9721285765922938</v>
      </c>
    </row>
    <row r="101" spans="1:26" ht="15.75" thickTop="1" x14ac:dyDescent="0.25">
      <c r="A101" s="9"/>
      <c r="C101" s="9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54">
        <v>44174.68526820602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56" t="s">
        <v>313</v>
      </c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61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","430", " - ", "Res Hall Management")</f>
        <v>Department 430 - Res Hall Management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14697.869999999999</v>
      </c>
      <c r="E18" s="21"/>
      <c r="F18" s="35">
        <f t="shared" ref="F18:F27" si="0">IF(D$12=0,0,D18/D$12)</f>
        <v>0</v>
      </c>
      <c r="G18" s="21"/>
      <c r="H18" s="21">
        <f>SUM(OSRRefH22x_0)</f>
        <v>13750.539999999999</v>
      </c>
      <c r="I18" s="21"/>
      <c r="J18" s="35">
        <f t="shared" ref="J18:J27" si="1">IF(H$12=0,0,H18/H$12)</f>
        <v>0</v>
      </c>
      <c r="K18" s="4"/>
      <c r="L18" s="21">
        <f t="shared" ref="L18:L27" si="2">+D18-H18</f>
        <v>947.32999999999993</v>
      </c>
      <c r="M18" s="4"/>
      <c r="N18" s="35">
        <f t="shared" ref="N18:N27" si="3">IF(H18=0,0,L18/H18)</f>
        <v>6.88940216166056E-2</v>
      </c>
      <c r="O18" s="10"/>
      <c r="P18" s="21">
        <f>SUM(OSRRefP22x_0)</f>
        <v>80153.219999999987</v>
      </c>
      <c r="Q18" s="21"/>
      <c r="R18" s="35">
        <f t="shared" ref="R18:R27" si="4">IF(P$12=0,0,P18/P$12)</f>
        <v>0</v>
      </c>
      <c r="S18" s="21"/>
      <c r="T18" s="21">
        <f>SUM(OSRRefT22x_0)</f>
        <v>77759.539999999994</v>
      </c>
      <c r="U18" s="21"/>
      <c r="V18" s="35">
        <f t="shared" ref="V18:V27" si="5">IF(T$12=0,0,T18/T$12)</f>
        <v>0</v>
      </c>
      <c r="W18" s="4"/>
      <c r="X18" s="21">
        <f t="shared" ref="X18:X27" si="6">+P18-T18</f>
        <v>2393.679999999993</v>
      </c>
      <c r="Y18" s="4"/>
      <c r="Z18" s="35">
        <f t="shared" ref="Z18:Z27" si="7">IF(T18=0,0,X18/T18)</f>
        <v>3.0783103912394458E-2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6136.31</v>
      </c>
      <c r="E19" s="1"/>
      <c r="F19" s="5">
        <f t="shared" si="0"/>
        <v>0</v>
      </c>
      <c r="G19" s="1"/>
      <c r="H19" s="1">
        <f>SUM(OSRRefH22_0x_0)</f>
        <v>5441.61</v>
      </c>
      <c r="I19" s="1"/>
      <c r="J19" s="5">
        <f t="shared" si="1"/>
        <v>0</v>
      </c>
      <c r="K19" s="1"/>
      <c r="L19" s="1">
        <f t="shared" si="2"/>
        <v>694.70000000000073</v>
      </c>
      <c r="M19" s="1"/>
      <c r="N19" s="5">
        <f t="shared" si="3"/>
        <v>0.12766442284544477</v>
      </c>
      <c r="O19" s="13"/>
      <c r="P19" s="1">
        <f>SUM(OSRRefP22_0x_0)</f>
        <v>29616.699999999997</v>
      </c>
      <c r="Q19" s="1"/>
      <c r="R19" s="5">
        <f t="shared" si="4"/>
        <v>0</v>
      </c>
      <c r="S19" s="1"/>
      <c r="T19" s="1">
        <f>SUM(OSRRefT22_0x_0)</f>
        <v>29742.659999999996</v>
      </c>
      <c r="U19" s="1"/>
      <c r="V19" s="5">
        <f t="shared" si="5"/>
        <v>0</v>
      </c>
      <c r="W19" s="1"/>
      <c r="X19" s="1">
        <f t="shared" si="6"/>
        <v>-125.95999999999913</v>
      </c>
      <c r="Y19" s="1"/>
      <c r="Z19" s="5">
        <f t="shared" si="7"/>
        <v>-4.2349944490505942E-3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702.21</v>
      </c>
      <c r="E20" s="2"/>
      <c r="F20" s="7">
        <f t="shared" si="0"/>
        <v>0</v>
      </c>
      <c r="G20" s="2"/>
      <c r="H20" s="6">
        <v>623.1</v>
      </c>
      <c r="I20" s="2"/>
      <c r="J20" s="7">
        <f t="shared" si="1"/>
        <v>0</v>
      </c>
      <c r="K20" s="2"/>
      <c r="L20" s="6">
        <f t="shared" si="2"/>
        <v>79.110000000000014</v>
      </c>
      <c r="M20" s="2"/>
      <c r="N20" s="7">
        <f t="shared" si="3"/>
        <v>0.12696196437168997</v>
      </c>
      <c r="O20" s="11"/>
      <c r="P20" s="6">
        <v>3987.08</v>
      </c>
      <c r="Q20" s="2"/>
      <c r="R20" s="7">
        <f t="shared" si="4"/>
        <v>0</v>
      </c>
      <c r="S20" s="2"/>
      <c r="T20" s="6">
        <v>4277.57</v>
      </c>
      <c r="U20" s="2"/>
      <c r="V20" s="7">
        <f t="shared" si="5"/>
        <v>0</v>
      </c>
      <c r="W20" s="2"/>
      <c r="X20" s="6">
        <f t="shared" si="6"/>
        <v>-290.48999999999978</v>
      </c>
      <c r="Y20" s="2"/>
      <c r="Z20" s="7">
        <f t="shared" si="7"/>
        <v>-6.7910051734980326E-2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688.97</v>
      </c>
      <c r="E21" s="2"/>
      <c r="F21" s="7">
        <f t="shared" si="0"/>
        <v>0</v>
      </c>
      <c r="G21" s="2"/>
      <c r="H21" s="6">
        <v>316.02999999999997</v>
      </c>
      <c r="I21" s="2"/>
      <c r="J21" s="7">
        <f t="shared" si="1"/>
        <v>0</v>
      </c>
      <c r="K21" s="2"/>
      <c r="L21" s="6">
        <f t="shared" si="2"/>
        <v>372.94000000000005</v>
      </c>
      <c r="M21" s="2"/>
      <c r="N21" s="7">
        <f t="shared" si="3"/>
        <v>1.180077840711325</v>
      </c>
      <c r="O21" s="11"/>
      <c r="P21" s="6">
        <v>2226.41</v>
      </c>
      <c r="Q21" s="2"/>
      <c r="R21" s="7">
        <f t="shared" si="4"/>
        <v>0</v>
      </c>
      <c r="S21" s="2"/>
      <c r="T21" s="6">
        <v>1428.71</v>
      </c>
      <c r="U21" s="2"/>
      <c r="V21" s="7">
        <f t="shared" si="5"/>
        <v>0</v>
      </c>
      <c r="W21" s="2"/>
      <c r="X21" s="6">
        <f t="shared" si="6"/>
        <v>797.69999999999982</v>
      </c>
      <c r="Y21" s="2"/>
      <c r="Z21" s="7">
        <f t="shared" si="7"/>
        <v>0.55833584142338177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2737.9</v>
      </c>
      <c r="E22" s="2"/>
      <c r="F22" s="7">
        <f t="shared" si="0"/>
        <v>0</v>
      </c>
      <c r="G22" s="2"/>
      <c r="H22" s="6">
        <v>2730.6</v>
      </c>
      <c r="I22" s="2"/>
      <c r="J22" s="7">
        <f t="shared" si="1"/>
        <v>0</v>
      </c>
      <c r="K22" s="2"/>
      <c r="L22" s="6">
        <f t="shared" si="2"/>
        <v>7.3000000000001819</v>
      </c>
      <c r="M22" s="2"/>
      <c r="N22" s="7">
        <f t="shared" si="3"/>
        <v>2.6734051124295694E-3</v>
      </c>
      <c r="O22" s="11"/>
      <c r="P22" s="6">
        <v>13689.5</v>
      </c>
      <c r="Q22" s="2"/>
      <c r="R22" s="7">
        <f t="shared" si="4"/>
        <v>0</v>
      </c>
      <c r="S22" s="2"/>
      <c r="T22" s="6">
        <v>13653</v>
      </c>
      <c r="U22" s="2"/>
      <c r="V22" s="7">
        <f t="shared" si="5"/>
        <v>0</v>
      </c>
      <c r="W22" s="2"/>
      <c r="X22" s="6">
        <f t="shared" si="6"/>
        <v>36.5</v>
      </c>
      <c r="Y22" s="2"/>
      <c r="Z22" s="7">
        <f t="shared" si="7"/>
        <v>2.6734051124295026E-3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41.76</v>
      </c>
      <c r="E23" s="2"/>
      <c r="F23" s="7">
        <f t="shared" si="0"/>
        <v>0</v>
      </c>
      <c r="G23" s="2"/>
      <c r="H23" s="6">
        <v>21.18</v>
      </c>
      <c r="I23" s="2"/>
      <c r="J23" s="7">
        <f t="shared" si="1"/>
        <v>0</v>
      </c>
      <c r="K23" s="2"/>
      <c r="L23" s="6">
        <f t="shared" si="2"/>
        <v>20.58</v>
      </c>
      <c r="M23" s="2"/>
      <c r="N23" s="7">
        <f t="shared" si="3"/>
        <v>0.97167138810198295</v>
      </c>
      <c r="O23" s="11"/>
      <c r="P23" s="6">
        <v>134.91999999999999</v>
      </c>
      <c r="Q23" s="2"/>
      <c r="R23" s="7">
        <f t="shared" si="4"/>
        <v>0</v>
      </c>
      <c r="S23" s="2"/>
      <c r="T23" s="6">
        <v>134.80000000000001</v>
      </c>
      <c r="U23" s="2"/>
      <c r="V23" s="7">
        <f t="shared" si="5"/>
        <v>0</v>
      </c>
      <c r="W23" s="2"/>
      <c r="X23" s="6">
        <f t="shared" si="6"/>
        <v>0.11999999999997613</v>
      </c>
      <c r="Y23" s="2"/>
      <c r="Z23" s="7">
        <f t="shared" si="7"/>
        <v>8.9020771513335397E-4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692.57</v>
      </c>
      <c r="E24" s="2"/>
      <c r="F24" s="7">
        <f t="shared" si="0"/>
        <v>0</v>
      </c>
      <c r="G24" s="2"/>
      <c r="H24" s="6">
        <v>568.92999999999995</v>
      </c>
      <c r="I24" s="2"/>
      <c r="J24" s="7">
        <f t="shared" si="1"/>
        <v>0</v>
      </c>
      <c r="K24" s="2"/>
      <c r="L24" s="6">
        <f t="shared" si="2"/>
        <v>123.6400000000001</v>
      </c>
      <c r="M24" s="2"/>
      <c r="N24" s="7">
        <f t="shared" si="3"/>
        <v>0.21732023271755771</v>
      </c>
      <c r="O24" s="11"/>
      <c r="P24" s="6">
        <v>3809.14</v>
      </c>
      <c r="Q24" s="2"/>
      <c r="R24" s="7">
        <f t="shared" si="4"/>
        <v>0</v>
      </c>
      <c r="S24" s="2"/>
      <c r="T24" s="6">
        <v>2844.65</v>
      </c>
      <c r="U24" s="2"/>
      <c r="V24" s="7">
        <f t="shared" si="5"/>
        <v>0</v>
      </c>
      <c r="W24" s="2"/>
      <c r="X24" s="6">
        <f t="shared" si="6"/>
        <v>964.48999999999978</v>
      </c>
      <c r="Y24" s="2"/>
      <c r="Z24" s="7">
        <f t="shared" si="7"/>
        <v>0.33905401367479293</v>
      </c>
    </row>
    <row r="25" spans="1:26" s="24" customFormat="1" hidden="1" outlineLevel="2" x14ac:dyDescent="0.25">
      <c r="A25" s="25"/>
      <c r="B25" s="11" t="str">
        <f>CONCATENATE("          ", "6118", " - ", "VACATION")</f>
        <v xml:space="preserve">          6118 - VACATION</v>
      </c>
      <c r="C25" s="11"/>
      <c r="D25" s="6">
        <v>827.64</v>
      </c>
      <c r="E25" s="2"/>
      <c r="F25" s="7">
        <f t="shared" si="0"/>
        <v>0</v>
      </c>
      <c r="G25" s="2"/>
      <c r="H25" s="6">
        <v>752.4</v>
      </c>
      <c r="I25" s="2"/>
      <c r="J25" s="7">
        <f t="shared" si="1"/>
        <v>0</v>
      </c>
      <c r="K25" s="2"/>
      <c r="L25" s="6">
        <f t="shared" si="2"/>
        <v>75.240000000000009</v>
      </c>
      <c r="M25" s="2"/>
      <c r="N25" s="7">
        <f t="shared" si="3"/>
        <v>0.10000000000000002</v>
      </c>
      <c r="O25" s="11"/>
      <c r="P25" s="6">
        <v>3344.72</v>
      </c>
      <c r="Q25" s="2"/>
      <c r="R25" s="7">
        <f t="shared" si="4"/>
        <v>0</v>
      </c>
      <c r="S25" s="2"/>
      <c r="T25" s="6">
        <v>4478.6499999999996</v>
      </c>
      <c r="U25" s="2"/>
      <c r="V25" s="7">
        <f t="shared" si="5"/>
        <v>0</v>
      </c>
      <c r="W25" s="2"/>
      <c r="X25" s="6">
        <f t="shared" si="6"/>
        <v>-1133.9299999999998</v>
      </c>
      <c r="Y25" s="2"/>
      <c r="Z25" s="7">
        <f t="shared" si="7"/>
        <v>-0.25318566978888724</v>
      </c>
    </row>
    <row r="26" spans="1:26" s="24" customFormat="1" hidden="1" outlineLevel="2" x14ac:dyDescent="0.25">
      <c r="A26" s="25"/>
      <c r="B26" s="11" t="str">
        <f>CONCATENATE("          ", "6119", " - ", "SICK LEAVE")</f>
        <v xml:space="preserve">          6119 - SICK LEAVE</v>
      </c>
      <c r="C26" s="11"/>
      <c r="D26" s="6">
        <v>413.26</v>
      </c>
      <c r="E26" s="2"/>
      <c r="F26" s="7">
        <f t="shared" si="0"/>
        <v>0</v>
      </c>
      <c r="G26" s="2"/>
      <c r="H26" s="6">
        <v>375.68</v>
      </c>
      <c r="I26" s="2"/>
      <c r="J26" s="7">
        <f t="shared" si="1"/>
        <v>0</v>
      </c>
      <c r="K26" s="2"/>
      <c r="L26" s="6">
        <f t="shared" si="2"/>
        <v>37.579999999999984</v>
      </c>
      <c r="M26" s="2"/>
      <c r="N26" s="7">
        <f t="shared" si="3"/>
        <v>0.10003194207836452</v>
      </c>
      <c r="O26" s="11"/>
      <c r="P26" s="6">
        <v>2272.9299999999998</v>
      </c>
      <c r="Q26" s="2"/>
      <c r="R26" s="7">
        <f t="shared" si="4"/>
        <v>0</v>
      </c>
      <c r="S26" s="2"/>
      <c r="T26" s="6">
        <v>2296.7399999999998</v>
      </c>
      <c r="U26" s="2"/>
      <c r="V26" s="7">
        <f t="shared" si="5"/>
        <v>0</v>
      </c>
      <c r="W26" s="2"/>
      <c r="X26" s="6">
        <f t="shared" si="6"/>
        <v>-23.809999999999945</v>
      </c>
      <c r="Y26" s="2"/>
      <c r="Z26" s="7">
        <f t="shared" si="7"/>
        <v>-1.0366867821346756E-2</v>
      </c>
    </row>
    <row r="27" spans="1:26" s="24" customFormat="1" hidden="1" outlineLevel="2" x14ac:dyDescent="0.25">
      <c r="A27" s="25"/>
      <c r="B27" s="11" t="str">
        <f>CONCATENATE("          ", "6156", " - ", "EMPLOYEE MEALS")</f>
        <v xml:space="preserve">          6156 - EMPLOYEE MEALS</v>
      </c>
      <c r="C27" s="11"/>
      <c r="D27" s="6">
        <v>32</v>
      </c>
      <c r="E27" s="2"/>
      <c r="F27" s="7">
        <f t="shared" si="0"/>
        <v>0</v>
      </c>
      <c r="G27" s="2"/>
      <c r="H27" s="6">
        <v>53.69</v>
      </c>
      <c r="I27" s="2"/>
      <c r="J27" s="7">
        <f t="shared" si="1"/>
        <v>0</v>
      </c>
      <c r="K27" s="2"/>
      <c r="L27" s="6">
        <f t="shared" si="2"/>
        <v>-21.689999999999998</v>
      </c>
      <c r="M27" s="2"/>
      <c r="N27" s="7">
        <f t="shared" si="3"/>
        <v>-0.40398584466381077</v>
      </c>
      <c r="O27" s="11"/>
      <c r="P27" s="6">
        <v>152</v>
      </c>
      <c r="Q27" s="2"/>
      <c r="R27" s="7">
        <f t="shared" si="4"/>
        <v>0</v>
      </c>
      <c r="S27" s="2"/>
      <c r="T27" s="6">
        <v>628.54</v>
      </c>
      <c r="U27" s="2"/>
      <c r="V27" s="7">
        <f t="shared" si="5"/>
        <v>0</v>
      </c>
      <c r="W27" s="2"/>
      <c r="X27" s="6">
        <f t="shared" si="6"/>
        <v>-476.53999999999996</v>
      </c>
      <c r="Y27" s="2"/>
      <c r="Z27" s="7">
        <f t="shared" si="7"/>
        <v>-0.75816972666815152</v>
      </c>
    </row>
    <row r="28" spans="1:26" s="26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8511.56</v>
      </c>
      <c r="E28" s="1"/>
      <c r="F28" s="5">
        <f t="shared" ref="F28:F36" si="8">IF(D$12=0,0,D28/D$12)</f>
        <v>0</v>
      </c>
      <c r="G28" s="1"/>
      <c r="H28" s="1">
        <f>SUM(OSRRefH22_1x_0)</f>
        <v>8145.04</v>
      </c>
      <c r="I28" s="1"/>
      <c r="J28" s="5">
        <f t="shared" ref="J28:J36" si="9">IF(H$12=0,0,H28/H$12)</f>
        <v>0</v>
      </c>
      <c r="K28" s="1"/>
      <c r="L28" s="1">
        <f t="shared" ref="L28:L36" si="10">+D28-H28</f>
        <v>366.51999999999953</v>
      </c>
      <c r="M28" s="1"/>
      <c r="N28" s="5">
        <f t="shared" ref="N28:N36" si="11">IF(H28=0,0,L28/H28)</f>
        <v>4.4999165136082764E-2</v>
      </c>
      <c r="O28" s="13"/>
      <c r="P28" s="1">
        <f>SUM(OSRRefP22_1x_0)</f>
        <v>45245.67</v>
      </c>
      <c r="Q28" s="1"/>
      <c r="R28" s="5">
        <f t="shared" ref="R28:R36" si="12">IF(P$12=0,0,P28/P$12)</f>
        <v>0</v>
      </c>
      <c r="S28" s="1"/>
      <c r="T28" s="1">
        <f>SUM(OSRRefT22_1x_0)</f>
        <v>38281.699999999997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6963.9700000000012</v>
      </c>
      <c r="Y28" s="1"/>
      <c r="Z28" s="5">
        <f t="shared" ref="Z28:Z36" si="15">IF(T28=0,0,X28/T28)</f>
        <v>0.18191381260497841</v>
      </c>
    </row>
    <row r="29" spans="1:26" s="24" customFormat="1" hidden="1" outlineLevel="2" x14ac:dyDescent="0.25">
      <c r="A29" s="25"/>
      <c r="B29" s="11" t="str">
        <f>CONCATENATE("          ", "6001", " - ", "ADMINISTRATIVE SALARIES")</f>
        <v xml:space="preserve">          6001 - ADMINISTRATIVE SALARIES</v>
      </c>
      <c r="C29" s="11"/>
      <c r="D29" s="6">
        <v>8511.56</v>
      </c>
      <c r="E29" s="2"/>
      <c r="F29" s="7">
        <f t="shared" si="8"/>
        <v>0</v>
      </c>
      <c r="G29" s="2"/>
      <c r="H29" s="6">
        <v>8145.04</v>
      </c>
      <c r="I29" s="2"/>
      <c r="J29" s="7">
        <f t="shared" si="9"/>
        <v>0</v>
      </c>
      <c r="K29" s="2"/>
      <c r="L29" s="6">
        <f t="shared" si="10"/>
        <v>366.51999999999953</v>
      </c>
      <c r="M29" s="2"/>
      <c r="N29" s="7">
        <f t="shared" si="11"/>
        <v>4.4999165136082764E-2</v>
      </c>
      <c r="O29" s="11"/>
      <c r="P29" s="6">
        <v>45245.67</v>
      </c>
      <c r="Q29" s="2"/>
      <c r="R29" s="7">
        <f t="shared" si="12"/>
        <v>0</v>
      </c>
      <c r="S29" s="2"/>
      <c r="T29" s="6">
        <v>38281.699999999997</v>
      </c>
      <c r="U29" s="2"/>
      <c r="V29" s="7">
        <f t="shared" si="13"/>
        <v>0</v>
      </c>
      <c r="W29" s="2"/>
      <c r="X29" s="6">
        <f t="shared" si="14"/>
        <v>6963.9700000000012</v>
      </c>
      <c r="Y29" s="2"/>
      <c r="Z29" s="7">
        <f t="shared" si="15"/>
        <v>0.18191381260497841</v>
      </c>
    </row>
    <row r="30" spans="1:26" s="26" customFormat="1" outlineLevel="1" collapsed="1" x14ac:dyDescent="0.25">
      <c r="A30" s="27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87</v>
      </c>
      <c r="I30" s="1"/>
      <c r="J30" s="5">
        <f t="shared" si="9"/>
        <v>0</v>
      </c>
      <c r="K30" s="1"/>
      <c r="L30" s="1">
        <f t="shared" si="10"/>
        <v>-87</v>
      </c>
      <c r="M30" s="1"/>
      <c r="N30" s="5">
        <f t="shared" si="11"/>
        <v>-1</v>
      </c>
      <c r="O30" s="13"/>
      <c r="P30" s="1">
        <f>SUM(OSRRefP22_2x_0)</f>
        <v>1.65</v>
      </c>
      <c r="Q30" s="1"/>
      <c r="R30" s="5">
        <f t="shared" si="12"/>
        <v>0</v>
      </c>
      <c r="S30" s="1"/>
      <c r="T30" s="1">
        <f>SUM(OSRRefT22_2x_0)</f>
        <v>214.55</v>
      </c>
      <c r="U30" s="1"/>
      <c r="V30" s="5">
        <f t="shared" si="13"/>
        <v>0</v>
      </c>
      <c r="W30" s="1"/>
      <c r="X30" s="1">
        <f t="shared" si="14"/>
        <v>-212.9</v>
      </c>
      <c r="Y30" s="1"/>
      <c r="Z30" s="5">
        <f t="shared" si="15"/>
        <v>-0.99230948496853877</v>
      </c>
    </row>
    <row r="31" spans="1:26" s="24" customFormat="1" hidden="1" outlineLevel="2" x14ac:dyDescent="0.25">
      <c r="A31" s="25"/>
      <c r="B31" s="11" t="str">
        <f>CONCATENATE("          ", "6279", " - ", "GENERAL EXPENSE")</f>
        <v xml:space="preserve">          6279 - GENERAL EXPENSE</v>
      </c>
      <c r="C31" s="11"/>
      <c r="D31" s="6"/>
      <c r="E31" s="2"/>
      <c r="F31" s="7">
        <f t="shared" si="8"/>
        <v>0</v>
      </c>
      <c r="G31" s="2"/>
      <c r="H31" s="6">
        <v>87</v>
      </c>
      <c r="I31" s="2"/>
      <c r="J31" s="7">
        <f t="shared" si="9"/>
        <v>0</v>
      </c>
      <c r="K31" s="2"/>
      <c r="L31" s="6">
        <f t="shared" si="10"/>
        <v>-87</v>
      </c>
      <c r="M31" s="2"/>
      <c r="N31" s="7">
        <f t="shared" si="11"/>
        <v>-1</v>
      </c>
      <c r="O31" s="11"/>
      <c r="P31" s="6">
        <v>1.65</v>
      </c>
      <c r="Q31" s="2"/>
      <c r="R31" s="7">
        <f t="shared" si="12"/>
        <v>0</v>
      </c>
      <c r="S31" s="2"/>
      <c r="T31" s="6">
        <v>214.55</v>
      </c>
      <c r="U31" s="2"/>
      <c r="V31" s="7">
        <f t="shared" si="13"/>
        <v>0</v>
      </c>
      <c r="W31" s="2"/>
      <c r="X31" s="6">
        <f t="shared" si="14"/>
        <v>-212.9</v>
      </c>
      <c r="Y31" s="2"/>
      <c r="Z31" s="7">
        <f t="shared" si="15"/>
        <v>-0.99230948496853877</v>
      </c>
    </row>
    <row r="32" spans="1:26" s="26" customFormat="1" outlineLevel="1" collapsed="1" x14ac:dyDescent="0.25">
      <c r="A32" s="27"/>
      <c r="B32" s="13" t="str">
        <f>CONCATENATE("     ","Repair and Maintenance                            ")</f>
        <v xml:space="preserve">     Repair and Maintenance                            </v>
      </c>
      <c r="C32" s="13"/>
      <c r="D32" s="1">
        <f>SUM(OSRRefD22_3x_0)</f>
        <v>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3"/>
      <c r="P32" s="1">
        <f>SUM(OSRRefP22_3x_0)</f>
        <v>0</v>
      </c>
      <c r="Q32" s="1"/>
      <c r="R32" s="5">
        <f t="shared" si="12"/>
        <v>0</v>
      </c>
      <c r="S32" s="1"/>
      <c r="T32" s="1">
        <f>SUM(OSRRefT22_3x_0)</f>
        <v>6340.43</v>
      </c>
      <c r="U32" s="1"/>
      <c r="V32" s="5">
        <f t="shared" si="13"/>
        <v>0</v>
      </c>
      <c r="W32" s="1"/>
      <c r="X32" s="1">
        <f t="shared" si="14"/>
        <v>-6340.43</v>
      </c>
      <c r="Y32" s="1"/>
      <c r="Z32" s="5">
        <f t="shared" si="15"/>
        <v>-1</v>
      </c>
    </row>
    <row r="33" spans="1:26" s="24" customFormat="1" hidden="1" outlineLevel="2" x14ac:dyDescent="0.25">
      <c r="A33" s="25"/>
      <c r="B33" s="11" t="str">
        <f>CONCATENATE("          ", "6371", " - ", "COMPUTER SOFTWARE MAINTENANCE")</f>
        <v xml:space="preserve">          6371 - COMPUTER SOFTWARE MAINTENANCE</v>
      </c>
      <c r="C33" s="11"/>
      <c r="D33" s="6"/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6340.43</v>
      </c>
      <c r="U33" s="2"/>
      <c r="V33" s="7">
        <f t="shared" si="13"/>
        <v>0</v>
      </c>
      <c r="W33" s="2"/>
      <c r="X33" s="6">
        <f t="shared" si="14"/>
        <v>-6340.43</v>
      </c>
      <c r="Y33" s="2"/>
      <c r="Z33" s="7">
        <f t="shared" si="15"/>
        <v>-1</v>
      </c>
    </row>
    <row r="34" spans="1:26" s="26" customFormat="1" outlineLevel="1" collapsed="1" x14ac:dyDescent="0.25">
      <c r="A34" s="27"/>
      <c r="B34" s="13" t="str">
        <f>CONCATENATE("     ","Supplies                                          ")</f>
        <v xml:space="preserve">     Supplies                                          </v>
      </c>
      <c r="C34" s="13"/>
      <c r="D34" s="1">
        <f>SUM(OSRRefD22_4x_0)</f>
        <v>0</v>
      </c>
      <c r="E34" s="1"/>
      <c r="F34" s="5">
        <f t="shared" si="8"/>
        <v>0</v>
      </c>
      <c r="G34" s="1"/>
      <c r="H34" s="1">
        <f>SUM(OSRRefH22_4x_0)</f>
        <v>0</v>
      </c>
      <c r="I34" s="1"/>
      <c r="J34" s="5">
        <f t="shared" si="9"/>
        <v>0</v>
      </c>
      <c r="K34" s="1"/>
      <c r="L34" s="1">
        <f t="shared" si="10"/>
        <v>0</v>
      </c>
      <c r="M34" s="1"/>
      <c r="N34" s="5">
        <f t="shared" si="11"/>
        <v>0</v>
      </c>
      <c r="O34" s="13"/>
      <c r="P34" s="1">
        <f>SUM(OSRRefP22_4x_0)</f>
        <v>4939.2</v>
      </c>
      <c r="Q34" s="1"/>
      <c r="R34" s="5">
        <f t="shared" si="12"/>
        <v>0</v>
      </c>
      <c r="S34" s="1"/>
      <c r="T34" s="1">
        <f>SUM(OSRRefT22_4x_0)</f>
        <v>2338.31</v>
      </c>
      <c r="U34" s="1"/>
      <c r="V34" s="5">
        <f t="shared" si="13"/>
        <v>0</v>
      </c>
      <c r="W34" s="1"/>
      <c r="X34" s="1">
        <f t="shared" si="14"/>
        <v>2600.89</v>
      </c>
      <c r="Y34" s="1"/>
      <c r="Z34" s="5">
        <f t="shared" si="15"/>
        <v>1.1122947769970619</v>
      </c>
    </row>
    <row r="35" spans="1:26" s="24" customFormat="1" hidden="1" outlineLevel="2" x14ac:dyDescent="0.25">
      <c r="A35" s="25"/>
      <c r="B35" s="11" t="str">
        <f>CONCATENATE("          ", "6235", " - ", "COVID-19 EXPENSES")</f>
        <v xml:space="preserve">          6235 - COVID-19 EXPENSES</v>
      </c>
      <c r="C35" s="11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4939.2</v>
      </c>
      <c r="Q35" s="2"/>
      <c r="R35" s="7">
        <f t="shared" si="12"/>
        <v>0</v>
      </c>
      <c r="S35" s="2"/>
      <c r="T35" s="6"/>
      <c r="U35" s="2"/>
      <c r="V35" s="7">
        <f t="shared" si="13"/>
        <v>0</v>
      </c>
      <c r="W35" s="2"/>
      <c r="X35" s="6">
        <f t="shared" si="14"/>
        <v>4939.2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"6241", " - ", "OFFICE EXPENSE")</f>
        <v xml:space="preserve">          6241 - OFFICE EXPENSE</v>
      </c>
      <c r="C36" s="11"/>
      <c r="D36" s="6"/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2338.31</v>
      </c>
      <c r="U36" s="2"/>
      <c r="V36" s="7">
        <f t="shared" si="13"/>
        <v>0</v>
      </c>
      <c r="W36" s="2"/>
      <c r="X36" s="6">
        <f t="shared" si="14"/>
        <v>-2338.31</v>
      </c>
      <c r="Y36" s="2"/>
      <c r="Z36" s="7">
        <f t="shared" si="15"/>
        <v>-1</v>
      </c>
    </row>
    <row r="37" spans="1:26" s="26" customFormat="1" outlineLevel="1" collapsed="1" x14ac:dyDescent="0.25">
      <c r="A37" s="27"/>
      <c r="B37" s="13" t="str">
        <f>CONCATENATE("     ","Telephone/Data Lines                              ")</f>
        <v xml:space="preserve">     Telephone/Data Lines                              </v>
      </c>
      <c r="C37" s="13"/>
      <c r="D37" s="1">
        <f>SUM(OSRRefD22_5x_0)</f>
        <v>50</v>
      </c>
      <c r="E37" s="1"/>
      <c r="F37" s="5">
        <f t="shared" ref="F37:F42" si="16">IF(D$12=0,0,D37/D$12)</f>
        <v>0</v>
      </c>
      <c r="G37" s="1"/>
      <c r="H37" s="1">
        <f>SUM(OSRRefH22_5x_0)</f>
        <v>50</v>
      </c>
      <c r="I37" s="1"/>
      <c r="J37" s="5">
        <f t="shared" ref="J37:J42" si="17">IF(H$12=0,0,H37/H$12)</f>
        <v>0</v>
      </c>
      <c r="K37" s="1"/>
      <c r="L37" s="1">
        <f t="shared" ref="L37:L42" si="18">+D37-H37</f>
        <v>0</v>
      </c>
      <c r="M37" s="1"/>
      <c r="N37" s="5">
        <f t="shared" ref="N37:N42" si="19">IF(H37=0,0,L37/H37)</f>
        <v>0</v>
      </c>
      <c r="O37" s="13"/>
      <c r="P37" s="1">
        <f>SUM(OSRRefP22_5x_0)</f>
        <v>350</v>
      </c>
      <c r="Q37" s="1"/>
      <c r="R37" s="5">
        <f t="shared" ref="R37:R42" si="20">IF(P$12=0,0,P37/P$12)</f>
        <v>0</v>
      </c>
      <c r="S37" s="1"/>
      <c r="T37" s="1">
        <f>SUM(OSRRefT22_5x_0)</f>
        <v>-650</v>
      </c>
      <c r="U37" s="1"/>
      <c r="V37" s="5">
        <f t="shared" ref="V37:V42" si="21">IF(T$12=0,0,T37/T$12)</f>
        <v>0</v>
      </c>
      <c r="W37" s="1"/>
      <c r="X37" s="1">
        <f t="shared" ref="X37:X42" si="22">+P37-T37</f>
        <v>1000</v>
      </c>
      <c r="Y37" s="1"/>
      <c r="Z37" s="5">
        <f t="shared" ref="Z37:Z42" si="23">IF(T37=0,0,X37/T37)</f>
        <v>-1.5384615384615385</v>
      </c>
    </row>
    <row r="38" spans="1:26" s="24" customFormat="1" hidden="1" outlineLevel="2" x14ac:dyDescent="0.25">
      <c r="A38" s="25"/>
      <c r="B38" s="11" t="str">
        <f>CONCATENATE("          ", "6309", " - ", "TELEPHONE")</f>
        <v xml:space="preserve">          6309 - TELEPHONE</v>
      </c>
      <c r="C38" s="11"/>
      <c r="D38" s="6">
        <v>50</v>
      </c>
      <c r="E38" s="2"/>
      <c r="F38" s="7">
        <f t="shared" si="16"/>
        <v>0</v>
      </c>
      <c r="G38" s="2"/>
      <c r="H38" s="6">
        <v>50</v>
      </c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>
        <v>350</v>
      </c>
      <c r="Q38" s="2"/>
      <c r="R38" s="7">
        <f t="shared" si="20"/>
        <v>0</v>
      </c>
      <c r="S38" s="2"/>
      <c r="T38" s="6">
        <v>-650</v>
      </c>
      <c r="U38" s="2"/>
      <c r="V38" s="7">
        <f t="shared" si="21"/>
        <v>0</v>
      </c>
      <c r="W38" s="2"/>
      <c r="X38" s="6">
        <f t="shared" si="22"/>
        <v>1000</v>
      </c>
      <c r="Y38" s="2"/>
      <c r="Z38" s="7">
        <f t="shared" si="23"/>
        <v>-1.5384615384615385</v>
      </c>
    </row>
    <row r="39" spans="1:26" s="26" customFormat="1" outlineLevel="1" collapsed="1" x14ac:dyDescent="0.25">
      <c r="A39" s="27"/>
      <c r="B39" s="13" t="str">
        <f>CONCATENATE("     ","Training                                          ")</f>
        <v xml:space="preserve">     Training                                          </v>
      </c>
      <c r="C39" s="13"/>
      <c r="D39" s="1">
        <f>SUM(OSRRefD22_6x_0)</f>
        <v>0</v>
      </c>
      <c r="E39" s="1"/>
      <c r="F39" s="5">
        <f t="shared" si="16"/>
        <v>0</v>
      </c>
      <c r="G39" s="1"/>
      <c r="H39" s="1">
        <f>SUM(OSRRefH22_6x_0)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3"/>
      <c r="P39" s="1">
        <f>SUM(OSRRefP22_6x_0)</f>
        <v>0</v>
      </c>
      <c r="Q39" s="1"/>
      <c r="R39" s="5">
        <f t="shared" si="20"/>
        <v>0</v>
      </c>
      <c r="S39" s="1"/>
      <c r="T39" s="1">
        <f>SUM(OSRRefT22_6x_0)</f>
        <v>1321.12</v>
      </c>
      <c r="U39" s="1"/>
      <c r="V39" s="5">
        <f t="shared" si="21"/>
        <v>0</v>
      </c>
      <c r="W39" s="1"/>
      <c r="X39" s="1">
        <f t="shared" si="22"/>
        <v>-1321.12</v>
      </c>
      <c r="Y39" s="1"/>
      <c r="Z39" s="5">
        <f t="shared" si="23"/>
        <v>-1</v>
      </c>
    </row>
    <row r="40" spans="1:26" s="24" customFormat="1" hidden="1" outlineLevel="2" x14ac:dyDescent="0.25">
      <c r="A40" s="25"/>
      <c r="B40" s="11" t="str">
        <f>CONCATENATE("          ", "6376", " - ", "TRAINING")</f>
        <v xml:space="preserve">          6376 - TRAINING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1321.12</v>
      </c>
      <c r="U40" s="2"/>
      <c r="V40" s="7">
        <f t="shared" si="21"/>
        <v>0</v>
      </c>
      <c r="W40" s="2"/>
      <c r="X40" s="6">
        <f t="shared" si="22"/>
        <v>-1321.12</v>
      </c>
      <c r="Y40" s="2"/>
      <c r="Z40" s="7">
        <f t="shared" si="23"/>
        <v>-1</v>
      </c>
    </row>
    <row r="41" spans="1:26" s="26" customFormat="1" outlineLevel="1" collapsed="1" x14ac:dyDescent="0.25">
      <c r="A41" s="27"/>
      <c r="B41" s="13" t="str">
        <f>CONCATENATE("     ","Travel                                            ")</f>
        <v xml:space="preserve">     Travel                                            </v>
      </c>
      <c r="C41" s="13"/>
      <c r="D41" s="1">
        <f>SUM(OSRRefD22_7x_0)</f>
        <v>0</v>
      </c>
      <c r="E41" s="1"/>
      <c r="F41" s="5">
        <f t="shared" si="16"/>
        <v>0</v>
      </c>
      <c r="G41" s="1"/>
      <c r="H41" s="1">
        <f>SUM(OSRRefH22_7x_0)</f>
        <v>26.89</v>
      </c>
      <c r="I41" s="1"/>
      <c r="J41" s="5">
        <f t="shared" si="17"/>
        <v>0</v>
      </c>
      <c r="K41" s="1"/>
      <c r="L41" s="1">
        <f t="shared" si="18"/>
        <v>-26.89</v>
      </c>
      <c r="M41" s="1"/>
      <c r="N41" s="5">
        <f t="shared" si="19"/>
        <v>-1</v>
      </c>
      <c r="O41" s="13"/>
      <c r="P41" s="1">
        <f>SUM(OSRRefP22_7x_0)</f>
        <v>0</v>
      </c>
      <c r="Q41" s="1"/>
      <c r="R41" s="5">
        <f t="shared" si="20"/>
        <v>0</v>
      </c>
      <c r="S41" s="1"/>
      <c r="T41" s="1">
        <f>SUM(OSRRefT22_7x_0)</f>
        <v>170.77</v>
      </c>
      <c r="U41" s="1"/>
      <c r="V41" s="5">
        <f t="shared" si="21"/>
        <v>0</v>
      </c>
      <c r="W41" s="1"/>
      <c r="X41" s="1">
        <f t="shared" si="22"/>
        <v>-170.77</v>
      </c>
      <c r="Y41" s="1"/>
      <c r="Z41" s="5">
        <f t="shared" si="23"/>
        <v>-1</v>
      </c>
    </row>
    <row r="42" spans="1:26" s="24" customFormat="1" hidden="1" outlineLevel="2" x14ac:dyDescent="0.25">
      <c r="A42" s="25"/>
      <c r="B42" s="11" t="str">
        <f>CONCATENATE("          ", "6292", " - ", "TRAVEL/CONFERENCE")</f>
        <v xml:space="preserve">          6292 - TRAVEL/CONFERENCE</v>
      </c>
      <c r="C42" s="11"/>
      <c r="D42" s="6"/>
      <c r="E42" s="2"/>
      <c r="F42" s="7">
        <f t="shared" si="16"/>
        <v>0</v>
      </c>
      <c r="G42" s="2"/>
      <c r="H42" s="6">
        <v>26.89</v>
      </c>
      <c r="I42" s="2"/>
      <c r="J42" s="7">
        <f t="shared" si="17"/>
        <v>0</v>
      </c>
      <c r="K42" s="2"/>
      <c r="L42" s="6">
        <f t="shared" si="18"/>
        <v>-26.89</v>
      </c>
      <c r="M42" s="2"/>
      <c r="N42" s="7">
        <f t="shared" si="19"/>
        <v>-1</v>
      </c>
      <c r="O42" s="11"/>
      <c r="P42" s="6"/>
      <c r="Q42" s="2"/>
      <c r="R42" s="7">
        <f t="shared" si="20"/>
        <v>0</v>
      </c>
      <c r="S42" s="2"/>
      <c r="T42" s="6">
        <v>170.77</v>
      </c>
      <c r="U42" s="2"/>
      <c r="V42" s="7">
        <f t="shared" si="21"/>
        <v>0</v>
      </c>
      <c r="W42" s="2"/>
      <c r="X42" s="6">
        <f t="shared" si="22"/>
        <v>-170.77</v>
      </c>
      <c r="Y42" s="2"/>
      <c r="Z42" s="7">
        <f t="shared" si="23"/>
        <v>-1</v>
      </c>
    </row>
    <row r="43" spans="1:26" s="53" customFormat="1" x14ac:dyDescent="0.25">
      <c r="A43" s="37"/>
      <c r="B43" s="37"/>
      <c r="C43" s="37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25">
      <c r="A44" s="10"/>
      <c r="B44" s="29" t="s">
        <v>0</v>
      </c>
      <c r="C44" s="10"/>
      <c r="D44" s="4">
        <f>SUM(0)</f>
        <v>0</v>
      </c>
      <c r="E44" s="4"/>
      <c r="F44" s="12">
        <f>IF(D$12=0,0,D44/D$12)</f>
        <v>0</v>
      </c>
      <c r="G44" s="4"/>
      <c r="H44" s="4">
        <f>SUM(0)</f>
        <v>0</v>
      </c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>
        <f>SUM(0)</f>
        <v>0</v>
      </c>
      <c r="Q44" s="4"/>
      <c r="R44" s="12">
        <f>IF(P$12=0,0,P44/P$12)</f>
        <v>0</v>
      </c>
      <c r="S44" s="4"/>
      <c r="T44" s="4">
        <f>SUM(0)</f>
        <v>0</v>
      </c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8" t="s">
        <v>3</v>
      </c>
      <c r="C46" s="28"/>
      <c r="D46" s="20">
        <f>+D16-D18+D44</f>
        <v>-14697.869999999999</v>
      </c>
      <c r="E46" s="14"/>
      <c r="F46" s="22">
        <f>IF(D$12=0,0,D46/D$12)</f>
        <v>0</v>
      </c>
      <c r="G46" s="14"/>
      <c r="H46" s="20">
        <f>+H16-H18+H44</f>
        <v>-13750.539999999999</v>
      </c>
      <c r="I46" s="14"/>
      <c r="J46" s="22">
        <f>IF(H$12=0,0,H46/H$12)</f>
        <v>0</v>
      </c>
      <c r="K46" s="15"/>
      <c r="L46" s="20">
        <f>+D46-H46</f>
        <v>-947.32999999999993</v>
      </c>
      <c r="M46" s="15"/>
      <c r="N46" s="22">
        <f>IF(H46=0,0,L46/H46)</f>
        <v>6.88940216166056E-2</v>
      </c>
      <c r="O46" s="29"/>
      <c r="P46" s="20">
        <f>+P16-P18+P44</f>
        <v>-80153.219999999987</v>
      </c>
      <c r="Q46" s="14"/>
      <c r="R46" s="22">
        <f>IF(P$12=0,0,P46/P$12)</f>
        <v>0</v>
      </c>
      <c r="S46" s="14"/>
      <c r="T46" s="20">
        <f>+T16-T18+T44</f>
        <v>-77759.539999999994</v>
      </c>
      <c r="U46" s="14"/>
      <c r="V46" s="22">
        <f>IF(T$12=0,0,T46/T$12)</f>
        <v>0</v>
      </c>
      <c r="W46" s="15"/>
      <c r="X46" s="20">
        <f>+P46-T46</f>
        <v>-2393.679999999993</v>
      </c>
      <c r="Y46" s="15"/>
      <c r="Z46" s="22">
        <f>IF(T46=0,0,X46/T46)</f>
        <v>3.0783103912394458E-2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1"/>
      <c r="B48" s="10" t="s">
        <v>13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8" t="s">
        <v>4</v>
      </c>
      <c r="C50" s="28"/>
      <c r="D50" s="31">
        <f>+D46-D48</f>
        <v>-14697.869999999999</v>
      </c>
      <c r="E50" s="14"/>
      <c r="F50" s="34">
        <f>IF(D$12=0,0,D50/D$12)</f>
        <v>0</v>
      </c>
      <c r="G50" s="14"/>
      <c r="H50" s="31">
        <f>+H46-H48</f>
        <v>-13750.539999999999</v>
      </c>
      <c r="I50" s="14"/>
      <c r="J50" s="34">
        <f>IF(H$12=0,0,H50/H$12)</f>
        <v>0</v>
      </c>
      <c r="K50" s="15"/>
      <c r="L50" s="31">
        <f>D50-H50</f>
        <v>-947.32999999999993</v>
      </c>
      <c r="M50" s="15"/>
      <c r="N50" s="34">
        <f>IF(H50=0,0,L50/H50)</f>
        <v>6.88940216166056E-2</v>
      </c>
      <c r="O50" s="29"/>
      <c r="P50" s="31">
        <f>+P46-P48</f>
        <v>-80153.219999999987</v>
      </c>
      <c r="Q50" s="14"/>
      <c r="R50" s="34">
        <f>IF(P$12=0,0,P50/P$12)</f>
        <v>0</v>
      </c>
      <c r="S50" s="14"/>
      <c r="T50" s="31">
        <f>+T46-T48</f>
        <v>-77759.539999999994</v>
      </c>
      <c r="U50" s="14"/>
      <c r="V50" s="34">
        <f>IF(T$12=0,0,T50/T$12)</f>
        <v>0</v>
      </c>
      <c r="W50" s="15"/>
      <c r="X50" s="31">
        <f>P50-T50</f>
        <v>-2393.679999999993</v>
      </c>
      <c r="Y50" s="15"/>
      <c r="Z50" s="34">
        <f>IF(T50=0,0,X50/T50)</f>
        <v>3.0783103912394458E-2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8" t="s">
        <v>5</v>
      </c>
      <c r="C53" s="28"/>
      <c r="D53" s="32">
        <f>SUM(D50:D52)</f>
        <v>-14697.869999999999</v>
      </c>
      <c r="E53" s="14"/>
      <c r="F53" s="30">
        <f>IF(D$12=0,0,D53/D$12)</f>
        <v>0</v>
      </c>
      <c r="G53" s="14"/>
      <c r="H53" s="32">
        <f>SUM(H50:H52)</f>
        <v>-13750.539999999999</v>
      </c>
      <c r="I53" s="14"/>
      <c r="J53" s="30">
        <f>IF(H$12=0,0,H53/H$12)</f>
        <v>0</v>
      </c>
      <c r="K53" s="15"/>
      <c r="L53" s="32">
        <f>+D53-H53</f>
        <v>-947.32999999999993</v>
      </c>
      <c r="M53" s="15"/>
      <c r="N53" s="30">
        <f>IF(H53=0,0,L53/H53)</f>
        <v>6.88940216166056E-2</v>
      </c>
      <c r="O53" s="29"/>
      <c r="P53" s="32">
        <f>SUM(P50:P52)</f>
        <v>-80153.219999999987</v>
      </c>
      <c r="Q53" s="14"/>
      <c r="R53" s="30">
        <f>IF(P$12=0,0,P53/P$12)</f>
        <v>0</v>
      </c>
      <c r="S53" s="14"/>
      <c r="T53" s="32">
        <f>SUM(T50:T52)</f>
        <v>-77759.539999999994</v>
      </c>
      <c r="U53" s="14"/>
      <c r="V53" s="30">
        <f>IF(T$12=0,0,T53/T$12)</f>
        <v>0</v>
      </c>
      <c r="W53" s="15"/>
      <c r="X53" s="32">
        <f>+P53-T53</f>
        <v>-2393.679999999993</v>
      </c>
      <c r="Y53" s="15"/>
      <c r="Z53" s="30">
        <f>IF(T53=0,0,X53/T53)</f>
        <v>3.0783103912394458E-2</v>
      </c>
    </row>
    <row r="54" spans="1:26" ht="15.75" thickTop="1" x14ac:dyDescent="0.25">
      <c r="A54" s="9"/>
      <c r="C54" s="9"/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25">
      <c r="A55" s="9"/>
      <c r="B55" s="54">
        <v>44174.686186886574</v>
      </c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  <row r="56" spans="1:26" x14ac:dyDescent="0.25">
      <c r="A56" s="9"/>
      <c r="B56" s="56" t="s">
        <v>313</v>
      </c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  <row r="57" spans="1:26" x14ac:dyDescent="0.25">
      <c r="A57" s="9"/>
      <c r="B57" s="61"/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25"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","433", " - ", "Hillside Dining Hall")</f>
        <v>Department 433 - Hillside Dining Hall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457808.34</v>
      </c>
      <c r="I12" s="4"/>
      <c r="J12" s="12"/>
      <c r="K12" s="4"/>
      <c r="L12" s="4">
        <f t="shared" ref="L12:L15" si="0">+D12-H12</f>
        <v>-457808.34</v>
      </c>
      <c r="M12" s="4"/>
      <c r="N12" s="12">
        <f t="shared" ref="N12:N15" si="1">IF(H12=0,0,L12/H12)</f>
        <v>-1</v>
      </c>
      <c r="O12" s="10"/>
      <c r="P12" s="4">
        <f>SUM(OSRRefP13x_0)</f>
        <v>23802.12</v>
      </c>
      <c r="Q12" s="4"/>
      <c r="R12" s="12"/>
      <c r="S12" s="4"/>
      <c r="T12" s="4">
        <f>SUM(OSRRefT13x_0)</f>
        <v>2179314.9899999998</v>
      </c>
      <c r="U12" s="4"/>
      <c r="V12" s="12"/>
      <c r="W12" s="4"/>
      <c r="X12" s="4">
        <f t="shared" ref="X12:X15" si="2">+P12-T12</f>
        <v>-2155512.8699999996</v>
      </c>
      <c r="Y12" s="4"/>
      <c r="Z12" s="12">
        <f t="shared" ref="Z12:Z15" si="3">IF(T12=0,0,X12/T12)</f>
        <v>-0.98907816441899477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5" si="4">0</f>
        <v>0</v>
      </c>
      <c r="E13" s="2"/>
      <c r="F13" s="19"/>
      <c r="G13" s="2"/>
      <c r="H13" s="2">
        <f>--10005.46</f>
        <v>10005.459999999999</v>
      </c>
      <c r="I13" s="2"/>
      <c r="J13" s="19"/>
      <c r="K13" s="2"/>
      <c r="L13" s="2">
        <f t="shared" si="0"/>
        <v>-10005.459999999999</v>
      </c>
      <c r="M13" s="2"/>
      <c r="N13" s="19">
        <f t="shared" si="1"/>
        <v>-1</v>
      </c>
      <c r="O13" s="11"/>
      <c r="P13" s="2">
        <f>--217.65</f>
        <v>217.65</v>
      </c>
      <c r="Q13" s="2"/>
      <c r="R13" s="19"/>
      <c r="S13" s="2"/>
      <c r="T13" s="2">
        <f>--17530.41</f>
        <v>17530.41</v>
      </c>
      <c r="U13" s="2"/>
      <c r="V13" s="19"/>
      <c r="W13" s="2"/>
      <c r="X13" s="2">
        <f t="shared" si="2"/>
        <v>-17312.759999999998</v>
      </c>
      <c r="Y13" s="2"/>
      <c r="Z13" s="19">
        <f t="shared" si="3"/>
        <v>-0.98758443185299138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--432271.64</f>
        <v>432271.64</v>
      </c>
      <c r="I14" s="2"/>
      <c r="J14" s="19"/>
      <c r="K14" s="2"/>
      <c r="L14" s="2">
        <f t="shared" si="0"/>
        <v>-432271.64</v>
      </c>
      <c r="M14" s="2"/>
      <c r="N14" s="19">
        <f t="shared" si="1"/>
        <v>-1</v>
      </c>
      <c r="O14" s="11"/>
      <c r="P14" s="2">
        <f>--16096</f>
        <v>16096</v>
      </c>
      <c r="Q14" s="2"/>
      <c r="R14" s="19"/>
      <c r="S14" s="2"/>
      <c r="T14" s="2">
        <f>--1990440.43</f>
        <v>1990440.43</v>
      </c>
      <c r="U14" s="2"/>
      <c r="V14" s="19"/>
      <c r="W14" s="2"/>
      <c r="X14" s="2">
        <f t="shared" si="2"/>
        <v>-1974344.43</v>
      </c>
      <c r="Y14" s="2"/>
      <c r="Z14" s="19">
        <f t="shared" si="3"/>
        <v>-0.99191334753987082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>
        <f>--15531.24</f>
        <v>15531.24</v>
      </c>
      <c r="I15" s="2"/>
      <c r="J15" s="19"/>
      <c r="K15" s="2"/>
      <c r="L15" s="2">
        <f t="shared" si="0"/>
        <v>-15531.24</v>
      </c>
      <c r="M15" s="2"/>
      <c r="N15" s="19">
        <f t="shared" si="1"/>
        <v>-1</v>
      </c>
      <c r="O15" s="11"/>
      <c r="P15" s="2">
        <f>--7488.47</f>
        <v>7488.47</v>
      </c>
      <c r="Q15" s="2"/>
      <c r="R15" s="19"/>
      <c r="S15" s="2"/>
      <c r="T15" s="2">
        <f>--171344.15</f>
        <v>171344.15</v>
      </c>
      <c r="U15" s="2"/>
      <c r="V15" s="19"/>
      <c r="W15" s="2"/>
      <c r="X15" s="2">
        <f t="shared" si="2"/>
        <v>-163855.67999999999</v>
      </c>
      <c r="Y15" s="2"/>
      <c r="Z15" s="19">
        <f t="shared" si="3"/>
        <v>-0.95629573580422789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0</v>
      </c>
      <c r="E17" s="4"/>
      <c r="F17" s="12">
        <f t="shared" ref="F17:F19" si="5">IF(D$12=0,0,D17/D$12)</f>
        <v>0</v>
      </c>
      <c r="G17" s="4"/>
      <c r="H17" s="4">
        <f>SUM(OSRRefH16x_0)</f>
        <v>106831.43</v>
      </c>
      <c r="I17" s="4"/>
      <c r="J17" s="12">
        <f t="shared" ref="J17:J19" si="6">IF(H$12=0,0,H17/H$12)</f>
        <v>0.23335404942601087</v>
      </c>
      <c r="K17" s="4"/>
      <c r="L17" s="4">
        <f t="shared" ref="L17:L19" si="7">+D17-H17</f>
        <v>-106831.43</v>
      </c>
      <c r="M17" s="4"/>
      <c r="N17" s="12">
        <f t="shared" ref="N17:N19" si="8">IF(H17=0,0,L17/H17)</f>
        <v>-1</v>
      </c>
      <c r="O17" s="10"/>
      <c r="P17" s="4">
        <f>SUM(OSRRefP16x_0)</f>
        <v>25322.92</v>
      </c>
      <c r="Q17" s="4"/>
      <c r="R17" s="12">
        <f t="shared" ref="R17:R19" si="9">IF(P$12=0,0,P17/P$12)</f>
        <v>1.0638934683129067</v>
      </c>
      <c r="S17" s="4"/>
      <c r="T17" s="4">
        <f>SUM(OSRRefT16x_0)</f>
        <v>515571.61000000004</v>
      </c>
      <c r="U17" s="4"/>
      <c r="V17" s="12">
        <f t="shared" ref="V17:V19" si="10">IF(T$12=0,0,T17/T$12)</f>
        <v>0.23657507628119426</v>
      </c>
      <c r="W17" s="4"/>
      <c r="X17" s="4">
        <f t="shared" ref="X17:X19" si="11">+P17-T17</f>
        <v>-490248.69000000006</v>
      </c>
      <c r="Y17" s="4"/>
      <c r="Z17" s="12">
        <f t="shared" ref="Z17:Z19" si="12">IF(T17=0,0,X17/T17)</f>
        <v>-0.95088379672418355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5"/>
        <v>0</v>
      </c>
      <c r="G18" s="2"/>
      <c r="H18" s="2">
        <v>95573.68</v>
      </c>
      <c r="I18" s="2"/>
      <c r="J18" s="19">
        <f t="shared" si="6"/>
        <v>0.20876351881226102</v>
      </c>
      <c r="K18" s="2"/>
      <c r="L18" s="2">
        <f t="shared" si="7"/>
        <v>-95573.68</v>
      </c>
      <c r="M18" s="2"/>
      <c r="N18" s="19">
        <f t="shared" si="8"/>
        <v>-1</v>
      </c>
      <c r="O18" s="11"/>
      <c r="P18" s="2">
        <v>14410.92</v>
      </c>
      <c r="Q18" s="2"/>
      <c r="R18" s="19">
        <f t="shared" si="9"/>
        <v>0.60544690977106241</v>
      </c>
      <c r="S18" s="2"/>
      <c r="T18" s="2">
        <v>513464.61000000004</v>
      </c>
      <c r="U18" s="2"/>
      <c r="V18" s="19">
        <f t="shared" si="10"/>
        <v>0.23560825872170049</v>
      </c>
      <c r="W18" s="2"/>
      <c r="X18" s="2">
        <f t="shared" si="11"/>
        <v>-499053.69000000006</v>
      </c>
      <c r="Y18" s="2"/>
      <c r="Z18" s="19">
        <f t="shared" si="12"/>
        <v>-0.971933956655747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5"/>
        <v>0</v>
      </c>
      <c r="G19" s="2"/>
      <c r="H19" s="2">
        <v>11257.75</v>
      </c>
      <c r="I19" s="2"/>
      <c r="J19" s="19">
        <f t="shared" si="6"/>
        <v>2.4590530613749849E-2</v>
      </c>
      <c r="K19" s="2"/>
      <c r="L19" s="2">
        <f t="shared" si="7"/>
        <v>-11257.75</v>
      </c>
      <c r="M19" s="2"/>
      <c r="N19" s="19">
        <f t="shared" si="8"/>
        <v>-1</v>
      </c>
      <c r="O19" s="11"/>
      <c r="P19" s="2">
        <v>10912</v>
      </c>
      <c r="Q19" s="2"/>
      <c r="R19" s="19">
        <f t="shared" si="9"/>
        <v>0.45844655854184418</v>
      </c>
      <c r="S19" s="2"/>
      <c r="T19" s="2">
        <v>2107</v>
      </c>
      <c r="U19" s="2"/>
      <c r="V19" s="19">
        <f t="shared" si="10"/>
        <v>9.6681755949377479E-4</v>
      </c>
      <c r="W19" s="2"/>
      <c r="X19" s="2">
        <f t="shared" si="11"/>
        <v>8805</v>
      </c>
      <c r="Y19" s="2"/>
      <c r="Z19" s="19">
        <f t="shared" si="12"/>
        <v>4.1789273849074515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0">
        <f>D12-D17</f>
        <v>0</v>
      </c>
      <c r="E21" s="14"/>
      <c r="F21" s="22">
        <f>IF(D$12=0,0,D21/D$12)</f>
        <v>0</v>
      </c>
      <c r="G21" s="14"/>
      <c r="H21" s="20">
        <f>H12-H17</f>
        <v>350976.91000000003</v>
      </c>
      <c r="I21" s="14"/>
      <c r="J21" s="22">
        <f>IF(H$12=0,0,H21/H$12)</f>
        <v>0.7666459505739891</v>
      </c>
      <c r="K21" s="15"/>
      <c r="L21" s="20">
        <f>+D21-H21</f>
        <v>-350976.91000000003</v>
      </c>
      <c r="M21" s="15"/>
      <c r="N21" s="22">
        <f>IF(H21=0,0,L21/H21)</f>
        <v>-1</v>
      </c>
      <c r="O21" s="29"/>
      <c r="P21" s="20">
        <f>P12-P17</f>
        <v>-1520.7999999999993</v>
      </c>
      <c r="Q21" s="14"/>
      <c r="R21" s="22">
        <f>IF(P$12=0,0,P21/P$12)</f>
        <v>-6.3893468312906557E-2</v>
      </c>
      <c r="S21" s="14"/>
      <c r="T21" s="20">
        <f>T12-T17</f>
        <v>1663743.3799999997</v>
      </c>
      <c r="U21" s="14"/>
      <c r="V21" s="22">
        <f>IF(T$12=0,0,T21/T$12)</f>
        <v>0.76342492371880577</v>
      </c>
      <c r="W21" s="15"/>
      <c r="X21" s="20">
        <f>+P21-T21</f>
        <v>-1665264.1799999997</v>
      </c>
      <c r="Y21" s="15"/>
      <c r="Z21" s="22">
        <f>IF(T21=0,0,X21/T21)</f>
        <v>-1.0009140832764727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1">
        <f>SUM(OSRRefD22x_0)</f>
        <v>49295.869999999995</v>
      </c>
      <c r="E23" s="21"/>
      <c r="F23" s="35">
        <f t="shared" ref="F23:F33" si="13">IF(D$12=0,0,D23/D$12)</f>
        <v>0</v>
      </c>
      <c r="G23" s="21"/>
      <c r="H23" s="21">
        <f>SUM(OSRRefH22x_0)</f>
        <v>180209.03999999998</v>
      </c>
      <c r="I23" s="21"/>
      <c r="J23" s="35">
        <f t="shared" ref="J23:J33" si="14">IF(H$12=0,0,H23/H$12)</f>
        <v>0.3936342444089157</v>
      </c>
      <c r="K23" s="4"/>
      <c r="L23" s="21">
        <f t="shared" ref="L23:L33" si="15">+D23-H23</f>
        <v>-130913.16999999998</v>
      </c>
      <c r="M23" s="4"/>
      <c r="N23" s="35">
        <f t="shared" ref="N23:N33" si="16">IF(H23=0,0,L23/H23)</f>
        <v>-0.72645173627249771</v>
      </c>
      <c r="O23" s="10"/>
      <c r="P23" s="21">
        <f>SUM(OSRRefP22x_0)</f>
        <v>270602.15999999997</v>
      </c>
      <c r="Q23" s="21"/>
      <c r="R23" s="35">
        <f t="shared" ref="R23:R33" si="17">IF(P$12=0,0,P23/P$12)</f>
        <v>11.36882597012367</v>
      </c>
      <c r="S23" s="21"/>
      <c r="T23" s="21">
        <f>SUM(OSRRefT22x_0)</f>
        <v>871380.25000000012</v>
      </c>
      <c r="U23" s="21"/>
      <c r="V23" s="35">
        <f t="shared" ref="V23:V33" si="18">IF(T$12=0,0,T23/T$12)</f>
        <v>0.39984135106600638</v>
      </c>
      <c r="W23" s="4"/>
      <c r="X23" s="21">
        <f t="shared" ref="X23:X33" si="19">+P23-T23</f>
        <v>-600778.09000000008</v>
      </c>
      <c r="Y23" s="4"/>
      <c r="Z23" s="35">
        <f t="shared" ref="Z23:Z33" si="20">IF(T23=0,0,X23/T23)</f>
        <v>-0.68945571121218319</v>
      </c>
    </row>
    <row r="24" spans="1:26" s="26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21880.16</v>
      </c>
      <c r="E24" s="1"/>
      <c r="F24" s="5">
        <f t="shared" si="13"/>
        <v>0</v>
      </c>
      <c r="G24" s="1"/>
      <c r="H24" s="1">
        <f>SUM(OSRRefH22_0x_0)</f>
        <v>27696.140000000007</v>
      </c>
      <c r="I24" s="1"/>
      <c r="J24" s="5">
        <f t="shared" si="14"/>
        <v>6.0497237774217928E-2</v>
      </c>
      <c r="K24" s="1"/>
      <c r="L24" s="1">
        <f t="shared" si="15"/>
        <v>-5815.9800000000068</v>
      </c>
      <c r="M24" s="1"/>
      <c r="N24" s="5">
        <f t="shared" si="16"/>
        <v>-0.20999243937963938</v>
      </c>
      <c r="O24" s="13"/>
      <c r="P24" s="1">
        <f>SUM(OSRRefP22_0x_0)</f>
        <v>105569.42</v>
      </c>
      <c r="Q24" s="1"/>
      <c r="R24" s="5">
        <f t="shared" si="17"/>
        <v>4.4352948392832232</v>
      </c>
      <c r="S24" s="1"/>
      <c r="T24" s="1">
        <f>SUM(OSRRefT22_0x_0)</f>
        <v>140333.37999999998</v>
      </c>
      <c r="U24" s="1"/>
      <c r="V24" s="5">
        <f t="shared" si="18"/>
        <v>6.4393344075516126E-2</v>
      </c>
      <c r="W24" s="1"/>
      <c r="X24" s="1">
        <f t="shared" si="19"/>
        <v>-34763.959999999977</v>
      </c>
      <c r="Y24" s="1"/>
      <c r="Z24" s="5">
        <f t="shared" si="20"/>
        <v>-0.24772409814400526</v>
      </c>
    </row>
    <row r="25" spans="1:26" s="24" customFormat="1" hidden="1" outlineLevel="2" x14ac:dyDescent="0.25">
      <c r="A25" s="25"/>
      <c r="B25" s="11" t="str">
        <f>CONCATENATE("          ", "6111", " - ", "F.I.C.A.")</f>
        <v xml:space="preserve">          6111 - F.I.C.A.</v>
      </c>
      <c r="C25" s="11"/>
      <c r="D25" s="6">
        <v>1886.12</v>
      </c>
      <c r="E25" s="2"/>
      <c r="F25" s="7">
        <f t="shared" si="13"/>
        <v>0</v>
      </c>
      <c r="G25" s="2"/>
      <c r="H25" s="6">
        <v>4008.53</v>
      </c>
      <c r="I25" s="2"/>
      <c r="J25" s="7">
        <f t="shared" si="14"/>
        <v>8.7559130093610785E-3</v>
      </c>
      <c r="K25" s="2"/>
      <c r="L25" s="6">
        <f t="shared" si="15"/>
        <v>-2122.4100000000003</v>
      </c>
      <c r="M25" s="2"/>
      <c r="N25" s="7">
        <f t="shared" si="16"/>
        <v>-0.52947339797881021</v>
      </c>
      <c r="O25" s="11"/>
      <c r="P25" s="6">
        <v>10801.68</v>
      </c>
      <c r="Q25" s="2"/>
      <c r="R25" s="7">
        <f t="shared" si="17"/>
        <v>0.45381167727916677</v>
      </c>
      <c r="S25" s="2"/>
      <c r="T25" s="6">
        <v>23808.3</v>
      </c>
      <c r="U25" s="2"/>
      <c r="V25" s="7">
        <f t="shared" si="18"/>
        <v>1.0924671334454503E-2</v>
      </c>
      <c r="W25" s="2"/>
      <c r="X25" s="6">
        <f t="shared" si="19"/>
        <v>-13006.619999999999</v>
      </c>
      <c r="Y25" s="2"/>
      <c r="Z25" s="7">
        <f t="shared" si="20"/>
        <v>-0.54630612013457491</v>
      </c>
    </row>
    <row r="26" spans="1:26" s="24" customFormat="1" hidden="1" outlineLevel="2" x14ac:dyDescent="0.25">
      <c r="A26" s="25"/>
      <c r="B26" s="11" t="str">
        <f>CONCATENATE("          ", "6112", " - ", "COMPENSATION INSURANCE")</f>
        <v xml:space="preserve">          6112 - COMPENSATION INSURANCE</v>
      </c>
      <c r="C26" s="11"/>
      <c r="D26" s="6">
        <v>1717.48</v>
      </c>
      <c r="E26" s="2"/>
      <c r="F26" s="7">
        <f t="shared" si="13"/>
        <v>0</v>
      </c>
      <c r="G26" s="2"/>
      <c r="H26" s="6">
        <v>3832.56</v>
      </c>
      <c r="I26" s="2"/>
      <c r="J26" s="7">
        <f t="shared" si="14"/>
        <v>8.3715381856084136E-3</v>
      </c>
      <c r="K26" s="2"/>
      <c r="L26" s="6">
        <f t="shared" si="15"/>
        <v>-2115.08</v>
      </c>
      <c r="M26" s="2"/>
      <c r="N26" s="7">
        <f t="shared" si="16"/>
        <v>-0.55187133404304167</v>
      </c>
      <c r="O26" s="11"/>
      <c r="P26" s="6">
        <v>6091.67</v>
      </c>
      <c r="Q26" s="2"/>
      <c r="R26" s="7">
        <f t="shared" si="17"/>
        <v>0.25592972390694613</v>
      </c>
      <c r="S26" s="2"/>
      <c r="T26" s="6">
        <v>11426.93</v>
      </c>
      <c r="U26" s="2"/>
      <c r="V26" s="7">
        <f t="shared" si="18"/>
        <v>5.2433586023285239E-3</v>
      </c>
      <c r="W26" s="2"/>
      <c r="X26" s="6">
        <f t="shared" si="19"/>
        <v>-5335.26</v>
      </c>
      <c r="Y26" s="2"/>
      <c r="Z26" s="7">
        <f t="shared" si="20"/>
        <v>-0.46690230884410772</v>
      </c>
    </row>
    <row r="27" spans="1:26" s="24" customFormat="1" hidden="1" outlineLevel="2" x14ac:dyDescent="0.25">
      <c r="A27" s="25"/>
      <c r="B27" s="11" t="str">
        <f>CONCATENATE("          ", "6113", " - ", "GROUP INSURANCE")</f>
        <v xml:space="preserve">          6113 - GROUP INSURANCE</v>
      </c>
      <c r="C27" s="11"/>
      <c r="D27" s="6">
        <v>12526.51</v>
      </c>
      <c r="E27" s="2"/>
      <c r="F27" s="7">
        <f t="shared" si="13"/>
        <v>0</v>
      </c>
      <c r="G27" s="2"/>
      <c r="H27" s="6">
        <v>12745.03</v>
      </c>
      <c r="I27" s="2"/>
      <c r="J27" s="7">
        <f t="shared" si="14"/>
        <v>2.7839226345243075E-2</v>
      </c>
      <c r="K27" s="2"/>
      <c r="L27" s="6">
        <f t="shared" si="15"/>
        <v>-218.52000000000044</v>
      </c>
      <c r="M27" s="2"/>
      <c r="N27" s="7">
        <f t="shared" si="16"/>
        <v>-1.7145506915244642E-2</v>
      </c>
      <c r="O27" s="11"/>
      <c r="P27" s="6">
        <v>59932.62</v>
      </c>
      <c r="Q27" s="2"/>
      <c r="R27" s="7">
        <f t="shared" si="17"/>
        <v>2.5179530226719304</v>
      </c>
      <c r="S27" s="2"/>
      <c r="T27" s="6">
        <v>63571.14</v>
      </c>
      <c r="U27" s="2"/>
      <c r="V27" s="7">
        <f t="shared" si="18"/>
        <v>2.9170239406282432E-2</v>
      </c>
      <c r="W27" s="2"/>
      <c r="X27" s="6">
        <f t="shared" si="19"/>
        <v>-3638.5199999999968</v>
      </c>
      <c r="Y27" s="2"/>
      <c r="Z27" s="7">
        <f t="shared" si="20"/>
        <v>-5.7235405877572698E-2</v>
      </c>
    </row>
    <row r="28" spans="1:26" s="24" customFormat="1" hidden="1" outlineLevel="2" x14ac:dyDescent="0.25">
      <c r="A28" s="25"/>
      <c r="B28" s="11" t="str">
        <f>CONCATENATE("          ", "6114", " - ", "STATE UNEMPLOYMENT INSURANCE")</f>
        <v xml:space="preserve">          6114 - STATE UNEMPLOYMENT INSURANCE</v>
      </c>
      <c r="C28" s="11"/>
      <c r="D28" s="6">
        <v>104.09</v>
      </c>
      <c r="E28" s="2"/>
      <c r="F28" s="7">
        <f t="shared" si="13"/>
        <v>0</v>
      </c>
      <c r="G28" s="2"/>
      <c r="H28" s="6">
        <v>256.8</v>
      </c>
      <c r="I28" s="2"/>
      <c r="J28" s="7">
        <f t="shared" si="14"/>
        <v>5.6093342467286632E-4</v>
      </c>
      <c r="K28" s="2"/>
      <c r="L28" s="6">
        <f t="shared" si="15"/>
        <v>-152.71</v>
      </c>
      <c r="M28" s="2"/>
      <c r="N28" s="7">
        <f t="shared" si="16"/>
        <v>-0.59466510903426795</v>
      </c>
      <c r="O28" s="11"/>
      <c r="P28" s="6">
        <v>369.19</v>
      </c>
      <c r="Q28" s="2"/>
      <c r="R28" s="7">
        <f t="shared" si="17"/>
        <v>1.5510803239375317E-2</v>
      </c>
      <c r="S28" s="2"/>
      <c r="T28" s="6">
        <v>1076.93</v>
      </c>
      <c r="U28" s="2"/>
      <c r="V28" s="7">
        <f t="shared" si="18"/>
        <v>4.9415986442602326E-4</v>
      </c>
      <c r="W28" s="2"/>
      <c r="X28" s="6">
        <f t="shared" si="19"/>
        <v>-707.74</v>
      </c>
      <c r="Y28" s="2"/>
      <c r="Z28" s="7">
        <f t="shared" si="20"/>
        <v>-0.65718291810981211</v>
      </c>
    </row>
    <row r="29" spans="1:26" s="24" customFormat="1" hidden="1" outlineLevel="2" x14ac:dyDescent="0.25">
      <c r="A29" s="25"/>
      <c r="B29" s="11" t="str">
        <f>CONCATENATE("          ", "6115", " - ", "P.E.R.S.")</f>
        <v xml:space="preserve">          6115 - P.E.R.S.</v>
      </c>
      <c r="C29" s="11"/>
      <c r="D29" s="6">
        <v>1193.45</v>
      </c>
      <c r="E29" s="2"/>
      <c r="F29" s="7">
        <f t="shared" si="13"/>
        <v>0</v>
      </c>
      <c r="G29" s="2"/>
      <c r="H29" s="6">
        <v>1217.31</v>
      </c>
      <c r="I29" s="2"/>
      <c r="J29" s="7">
        <f t="shared" si="14"/>
        <v>2.6589948099241703E-3</v>
      </c>
      <c r="K29" s="2"/>
      <c r="L29" s="6">
        <f t="shared" si="15"/>
        <v>-23.8599999999999</v>
      </c>
      <c r="M29" s="2"/>
      <c r="N29" s="7">
        <f t="shared" si="16"/>
        <v>-1.9600594754006703E-2</v>
      </c>
      <c r="O29" s="11"/>
      <c r="P29" s="6">
        <v>5468.62</v>
      </c>
      <c r="Q29" s="2"/>
      <c r="R29" s="7">
        <f t="shared" si="17"/>
        <v>0.22975348414342925</v>
      </c>
      <c r="S29" s="2"/>
      <c r="T29" s="6">
        <v>6500.03</v>
      </c>
      <c r="U29" s="2"/>
      <c r="V29" s="7">
        <f t="shared" si="18"/>
        <v>2.9826023451525016E-3</v>
      </c>
      <c r="W29" s="2"/>
      <c r="X29" s="6">
        <f t="shared" si="19"/>
        <v>-1031.4099999999999</v>
      </c>
      <c r="Y29" s="2"/>
      <c r="Z29" s="7">
        <f t="shared" si="20"/>
        <v>-0.15867772917971146</v>
      </c>
    </row>
    <row r="30" spans="1:26" s="24" customFormat="1" hidden="1" outlineLevel="2" x14ac:dyDescent="0.25">
      <c r="A30" s="25"/>
      <c r="B30" s="11" t="str">
        <f>CONCATENATE("          ", "6117", " - ", "RETIREMENT STAFF HOURLY")</f>
        <v xml:space="preserve">          6117 - RETIREMENT STAFF HOURLY</v>
      </c>
      <c r="C30" s="11"/>
      <c r="D30" s="6">
        <v>381.16</v>
      </c>
      <c r="E30" s="2"/>
      <c r="F30" s="7">
        <f t="shared" si="13"/>
        <v>0</v>
      </c>
      <c r="G30" s="2"/>
      <c r="H30" s="6">
        <v>523.24</v>
      </c>
      <c r="I30" s="2"/>
      <c r="J30" s="7">
        <f t="shared" si="14"/>
        <v>1.1429236959728606E-3</v>
      </c>
      <c r="K30" s="2"/>
      <c r="L30" s="6">
        <f t="shared" si="15"/>
        <v>-142.07999999999998</v>
      </c>
      <c r="M30" s="2"/>
      <c r="N30" s="7">
        <f t="shared" si="16"/>
        <v>-0.27153887317483372</v>
      </c>
      <c r="O30" s="11"/>
      <c r="P30" s="6">
        <v>2014.37</v>
      </c>
      <c r="Q30" s="2"/>
      <c r="R30" s="7">
        <f t="shared" si="17"/>
        <v>8.4629856500177292E-2</v>
      </c>
      <c r="S30" s="2"/>
      <c r="T30" s="6">
        <v>2203.94</v>
      </c>
      <c r="U30" s="2"/>
      <c r="V30" s="7">
        <f t="shared" si="18"/>
        <v>1.0112994267065544E-3</v>
      </c>
      <c r="W30" s="2"/>
      <c r="X30" s="6">
        <f t="shared" si="19"/>
        <v>-189.57000000000016</v>
      </c>
      <c r="Y30" s="2"/>
      <c r="Z30" s="7">
        <f t="shared" si="20"/>
        <v>-8.6014138315925193E-2</v>
      </c>
    </row>
    <row r="31" spans="1:26" s="24" customFormat="1" hidden="1" outlineLevel="2" x14ac:dyDescent="0.25">
      <c r="A31" s="25"/>
      <c r="B31" s="11" t="str">
        <f>CONCATENATE("          ", "6118", " - ", "VACATION")</f>
        <v xml:space="preserve">          6118 - VACATION</v>
      </c>
      <c r="C31" s="11"/>
      <c r="D31" s="6">
        <v>1900.86</v>
      </c>
      <c r="E31" s="2"/>
      <c r="F31" s="7">
        <f t="shared" si="13"/>
        <v>0</v>
      </c>
      <c r="G31" s="2"/>
      <c r="H31" s="6">
        <v>2351.25</v>
      </c>
      <c r="I31" s="2"/>
      <c r="J31" s="7">
        <f t="shared" si="14"/>
        <v>5.1358828456467172E-3</v>
      </c>
      <c r="K31" s="2"/>
      <c r="L31" s="6">
        <f t="shared" si="15"/>
        <v>-450.3900000000001</v>
      </c>
      <c r="M31" s="2"/>
      <c r="N31" s="7">
        <f t="shared" si="16"/>
        <v>-0.19155342902711328</v>
      </c>
      <c r="O31" s="11"/>
      <c r="P31" s="6">
        <v>10084.629999999999</v>
      </c>
      <c r="Q31" s="2"/>
      <c r="R31" s="7">
        <f t="shared" si="17"/>
        <v>0.42368620946369484</v>
      </c>
      <c r="S31" s="2"/>
      <c r="T31" s="6">
        <v>13638.27</v>
      </c>
      <c r="U31" s="2"/>
      <c r="V31" s="7">
        <f t="shared" si="18"/>
        <v>6.2580535914177338E-3</v>
      </c>
      <c r="W31" s="2"/>
      <c r="X31" s="6">
        <f t="shared" si="19"/>
        <v>-3553.6400000000012</v>
      </c>
      <c r="Y31" s="2"/>
      <c r="Z31" s="7">
        <f t="shared" si="20"/>
        <v>-0.26056383984185688</v>
      </c>
    </row>
    <row r="32" spans="1:26" s="24" customFormat="1" hidden="1" outlineLevel="2" x14ac:dyDescent="0.25">
      <c r="A32" s="25"/>
      <c r="B32" s="11" t="str">
        <f>CONCATENATE("          ", "6119", " - ", "SICK LEAVE")</f>
        <v xml:space="preserve">          6119 - SICK LEAVE</v>
      </c>
      <c r="C32" s="11"/>
      <c r="D32" s="6">
        <v>1214.78</v>
      </c>
      <c r="E32" s="2"/>
      <c r="F32" s="7">
        <f t="shared" si="13"/>
        <v>0</v>
      </c>
      <c r="G32" s="2"/>
      <c r="H32" s="6">
        <v>1608.68</v>
      </c>
      <c r="I32" s="2"/>
      <c r="J32" s="7">
        <f t="shared" si="14"/>
        <v>3.5138722025029076E-3</v>
      </c>
      <c r="K32" s="2"/>
      <c r="L32" s="6">
        <f t="shared" si="15"/>
        <v>-393.90000000000009</v>
      </c>
      <c r="M32" s="2"/>
      <c r="N32" s="7">
        <f t="shared" si="16"/>
        <v>-0.24485913917000279</v>
      </c>
      <c r="O32" s="11"/>
      <c r="P32" s="6">
        <v>6545.13</v>
      </c>
      <c r="Q32" s="2"/>
      <c r="R32" s="7">
        <f t="shared" si="17"/>
        <v>0.27498096808183475</v>
      </c>
      <c r="S32" s="2"/>
      <c r="T32" s="6">
        <v>13075.66</v>
      </c>
      <c r="U32" s="2"/>
      <c r="V32" s="7">
        <f t="shared" si="18"/>
        <v>5.9998944897818561E-3</v>
      </c>
      <c r="W32" s="2"/>
      <c r="X32" s="6">
        <f t="shared" si="19"/>
        <v>-6530.53</v>
      </c>
      <c r="Y32" s="2"/>
      <c r="Z32" s="7">
        <f t="shared" si="20"/>
        <v>-0.49944171078171196</v>
      </c>
    </row>
    <row r="33" spans="1:26" s="24" customFormat="1" hidden="1" outlineLevel="2" x14ac:dyDescent="0.25">
      <c r="A33" s="25"/>
      <c r="B33" s="11" t="str">
        <f>CONCATENATE("          ", "6156", " - ", "EMPLOYEE MEALS")</f>
        <v xml:space="preserve">          6156 - EMPLOYEE MEALS</v>
      </c>
      <c r="C33" s="11"/>
      <c r="D33" s="6">
        <v>955.71</v>
      </c>
      <c r="E33" s="2"/>
      <c r="F33" s="7">
        <f t="shared" si="13"/>
        <v>0</v>
      </c>
      <c r="G33" s="2"/>
      <c r="H33" s="6">
        <v>1152.74</v>
      </c>
      <c r="I33" s="2"/>
      <c r="J33" s="7">
        <f t="shared" si="14"/>
        <v>2.5179532552858253E-3</v>
      </c>
      <c r="K33" s="2"/>
      <c r="L33" s="6">
        <f t="shared" si="15"/>
        <v>-197.02999999999997</v>
      </c>
      <c r="M33" s="2"/>
      <c r="N33" s="7">
        <f t="shared" si="16"/>
        <v>-0.17092319169977616</v>
      </c>
      <c r="O33" s="11"/>
      <c r="P33" s="6">
        <v>4261.51</v>
      </c>
      <c r="Q33" s="2"/>
      <c r="R33" s="7">
        <f t="shared" si="17"/>
        <v>0.17903909399666923</v>
      </c>
      <c r="S33" s="2"/>
      <c r="T33" s="6">
        <v>5032.18</v>
      </c>
      <c r="U33" s="2"/>
      <c r="V33" s="7">
        <f t="shared" si="18"/>
        <v>2.3090650149660105E-3</v>
      </c>
      <c r="W33" s="2"/>
      <c r="X33" s="6">
        <f t="shared" si="19"/>
        <v>-770.67000000000007</v>
      </c>
      <c r="Y33" s="2"/>
      <c r="Z33" s="7">
        <f t="shared" si="20"/>
        <v>-0.15314833730112992</v>
      </c>
    </row>
    <row r="34" spans="1:26" s="26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22335.09</v>
      </c>
      <c r="E34" s="1"/>
      <c r="F34" s="5">
        <f t="shared" ref="F34:F40" si="21">IF(D$12=0,0,D34/D$12)</f>
        <v>0</v>
      </c>
      <c r="G34" s="1"/>
      <c r="H34" s="1">
        <f>SUM(OSRRefH22_1x_0)</f>
        <v>88740.62</v>
      </c>
      <c r="I34" s="1"/>
      <c r="J34" s="5">
        <f t="shared" ref="J34:J40" si="22">IF(H$12=0,0,H34/H$12)</f>
        <v>0.1938379278979496</v>
      </c>
      <c r="K34" s="1"/>
      <c r="L34" s="1">
        <f t="shared" ref="L34:L40" si="23">+D34-H34</f>
        <v>-66405.53</v>
      </c>
      <c r="M34" s="1"/>
      <c r="N34" s="5">
        <f t="shared" ref="N34:N40" si="24">IF(H34=0,0,L34/H34)</f>
        <v>-0.74831041297660528</v>
      </c>
      <c r="O34" s="13"/>
      <c r="P34" s="1">
        <f>SUM(OSRRefP22_1x_0)</f>
        <v>117121.55</v>
      </c>
      <c r="Q34" s="1"/>
      <c r="R34" s="5">
        <f t="shared" ref="R34:R40" si="25">IF(P$12=0,0,P34/P$12)</f>
        <v>4.9206352207282382</v>
      </c>
      <c r="S34" s="1"/>
      <c r="T34" s="1">
        <f>SUM(OSRRefT22_1x_0)</f>
        <v>439822.2</v>
      </c>
      <c r="U34" s="1"/>
      <c r="V34" s="5">
        <f t="shared" ref="V34:V40" si="26">IF(T$12=0,0,T34/T$12)</f>
        <v>0.20181671856439626</v>
      </c>
      <c r="W34" s="1"/>
      <c r="X34" s="1">
        <f t="shared" ref="X34:X40" si="27">+P34-T34</f>
        <v>-322700.65000000002</v>
      </c>
      <c r="Y34" s="1"/>
      <c r="Z34" s="5">
        <f t="shared" ref="Z34:Z40" si="28">IF(T34=0,0,X34/T34)</f>
        <v>-0.73370705253168211</v>
      </c>
    </row>
    <row r="35" spans="1:26" s="24" customFormat="1" hidden="1" outlineLevel="2" x14ac:dyDescent="0.25">
      <c r="A35" s="25"/>
      <c r="B35" s="11" t="str">
        <f>CONCATENATE("          ", "6002", " - ", "STAFF SALARIES")</f>
        <v xml:space="preserve">          6002 - STAFF SALARIES</v>
      </c>
      <c r="C35" s="11"/>
      <c r="D35" s="6">
        <v>8392.92</v>
      </c>
      <c r="E35" s="2"/>
      <c r="F35" s="7">
        <f t="shared" si="21"/>
        <v>0</v>
      </c>
      <c r="G35" s="2"/>
      <c r="H35" s="6">
        <v>14556.54</v>
      </c>
      <c r="I35" s="2"/>
      <c r="J35" s="7">
        <f t="shared" si="22"/>
        <v>3.1796144211789591E-2</v>
      </c>
      <c r="K35" s="2"/>
      <c r="L35" s="6">
        <f t="shared" si="23"/>
        <v>-6163.6200000000008</v>
      </c>
      <c r="M35" s="2"/>
      <c r="N35" s="7">
        <f t="shared" si="24"/>
        <v>-0.42342617132917576</v>
      </c>
      <c r="O35" s="11"/>
      <c r="P35" s="6">
        <v>48465.81</v>
      </c>
      <c r="Q35" s="2"/>
      <c r="R35" s="7">
        <f t="shared" si="25"/>
        <v>2.0361971958800309</v>
      </c>
      <c r="S35" s="2"/>
      <c r="T35" s="6">
        <v>75224.13</v>
      </c>
      <c r="U35" s="2"/>
      <c r="V35" s="7">
        <f t="shared" si="26"/>
        <v>3.4517327850803255E-2</v>
      </c>
      <c r="W35" s="2"/>
      <c r="X35" s="6">
        <f t="shared" si="27"/>
        <v>-26758.320000000007</v>
      </c>
      <c r="Y35" s="2"/>
      <c r="Z35" s="7">
        <f t="shared" si="28"/>
        <v>-0.35571458254153293</v>
      </c>
    </row>
    <row r="36" spans="1:26" s="24" customFormat="1" hidden="1" outlineLevel="2" x14ac:dyDescent="0.25">
      <c r="A36" s="25"/>
      <c r="B36" s="11" t="str">
        <f>CONCATENATE("          ", "6004", " - ", "STAFF HOURLY")</f>
        <v xml:space="preserve">          6004 - STAFF HOURLY</v>
      </c>
      <c r="C36" s="11"/>
      <c r="D36" s="6">
        <v>13942.17</v>
      </c>
      <c r="E36" s="2"/>
      <c r="F36" s="7">
        <f t="shared" si="21"/>
        <v>0</v>
      </c>
      <c r="G36" s="2"/>
      <c r="H36" s="6">
        <v>18165.390000000003</v>
      </c>
      <c r="I36" s="2"/>
      <c r="J36" s="7">
        <f t="shared" si="22"/>
        <v>3.9679028127796889E-2</v>
      </c>
      <c r="K36" s="2"/>
      <c r="L36" s="6">
        <f t="shared" si="23"/>
        <v>-4223.220000000003</v>
      </c>
      <c r="M36" s="2"/>
      <c r="N36" s="7">
        <f t="shared" si="24"/>
        <v>-0.23248716377683068</v>
      </c>
      <c r="O36" s="11"/>
      <c r="P36" s="6">
        <v>68655.740000000005</v>
      </c>
      <c r="Q36" s="2"/>
      <c r="R36" s="7">
        <f t="shared" si="25"/>
        <v>2.8844380248482073</v>
      </c>
      <c r="S36" s="2"/>
      <c r="T36" s="6">
        <v>90784.2</v>
      </c>
      <c r="U36" s="2"/>
      <c r="V36" s="7">
        <f t="shared" si="26"/>
        <v>4.1657218170192099E-2</v>
      </c>
      <c r="W36" s="2"/>
      <c r="X36" s="6">
        <f t="shared" si="27"/>
        <v>-22128.459999999992</v>
      </c>
      <c r="Y36" s="2"/>
      <c r="Z36" s="7">
        <f t="shared" si="28"/>
        <v>-0.24374792089372371</v>
      </c>
    </row>
    <row r="37" spans="1:26" s="24" customFormat="1" hidden="1" outlineLevel="2" x14ac:dyDescent="0.25">
      <c r="A37" s="25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1"/>
        <v>0</v>
      </c>
      <c r="G37" s="2"/>
      <c r="H37" s="6">
        <v>14975.54</v>
      </c>
      <c r="I37" s="2"/>
      <c r="J37" s="7">
        <f t="shared" si="22"/>
        <v>3.2711374371205207E-2</v>
      </c>
      <c r="K37" s="2"/>
      <c r="L37" s="6">
        <f t="shared" si="23"/>
        <v>-14975.54</v>
      </c>
      <c r="M37" s="2"/>
      <c r="N37" s="7">
        <f t="shared" si="24"/>
        <v>-1</v>
      </c>
      <c r="O37" s="11"/>
      <c r="P37" s="6"/>
      <c r="Q37" s="2"/>
      <c r="R37" s="7">
        <f t="shared" si="25"/>
        <v>0</v>
      </c>
      <c r="S37" s="2"/>
      <c r="T37" s="6">
        <v>76869.549999999988</v>
      </c>
      <c r="U37" s="2"/>
      <c r="V37" s="7">
        <f t="shared" si="26"/>
        <v>3.5272344912380009E-2</v>
      </c>
      <c r="W37" s="2"/>
      <c r="X37" s="6">
        <f t="shared" si="27"/>
        <v>-76869.549999999988</v>
      </c>
      <c r="Y37" s="2"/>
      <c r="Z37" s="7">
        <f t="shared" si="28"/>
        <v>-1</v>
      </c>
    </row>
    <row r="38" spans="1:26" s="24" customFormat="1" hidden="1" outlineLevel="2" x14ac:dyDescent="0.25">
      <c r="A38" s="25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1"/>
        <v>0</v>
      </c>
      <c r="G38" s="2"/>
      <c r="H38" s="6">
        <v>960</v>
      </c>
      <c r="I38" s="2"/>
      <c r="J38" s="7">
        <f t="shared" si="22"/>
        <v>2.0969473819546407E-3</v>
      </c>
      <c r="K38" s="2"/>
      <c r="L38" s="6">
        <f t="shared" si="23"/>
        <v>-960</v>
      </c>
      <c r="M38" s="2"/>
      <c r="N38" s="7">
        <f t="shared" si="24"/>
        <v>-1</v>
      </c>
      <c r="O38" s="11"/>
      <c r="P38" s="6"/>
      <c r="Q38" s="2"/>
      <c r="R38" s="7">
        <f t="shared" si="25"/>
        <v>0</v>
      </c>
      <c r="S38" s="2"/>
      <c r="T38" s="6">
        <v>9473.07</v>
      </c>
      <c r="U38" s="2"/>
      <c r="V38" s="7">
        <f t="shared" si="26"/>
        <v>4.3468108297644486E-3</v>
      </c>
      <c r="W38" s="2"/>
      <c r="X38" s="6">
        <f t="shared" si="27"/>
        <v>-9473.07</v>
      </c>
      <c r="Y38" s="2"/>
      <c r="Z38" s="7">
        <f t="shared" si="28"/>
        <v>-1</v>
      </c>
    </row>
    <row r="39" spans="1:26" s="24" customFormat="1" hidden="1" outlineLevel="2" x14ac:dyDescent="0.25">
      <c r="A39" s="25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21"/>
        <v>0</v>
      </c>
      <c r="G39" s="2"/>
      <c r="H39" s="6">
        <v>36201.15</v>
      </c>
      <c r="I39" s="2"/>
      <c r="J39" s="7">
        <f t="shared" si="22"/>
        <v>7.9074902829424212E-2</v>
      </c>
      <c r="K39" s="2"/>
      <c r="L39" s="6">
        <f t="shared" si="23"/>
        <v>-36201.15</v>
      </c>
      <c r="M39" s="2"/>
      <c r="N39" s="7">
        <f t="shared" si="24"/>
        <v>-1</v>
      </c>
      <c r="O39" s="11"/>
      <c r="P39" s="6">
        <v>0</v>
      </c>
      <c r="Q39" s="2"/>
      <c r="R39" s="7">
        <f t="shared" si="25"/>
        <v>0</v>
      </c>
      <c r="S39" s="2"/>
      <c r="T39" s="6">
        <v>172222.25</v>
      </c>
      <c r="U39" s="2"/>
      <c r="V39" s="7">
        <f t="shared" si="26"/>
        <v>7.9025863994080098E-2</v>
      </c>
      <c r="W39" s="2"/>
      <c r="X39" s="6">
        <f t="shared" si="27"/>
        <v>-172222.25</v>
      </c>
      <c r="Y39" s="2"/>
      <c r="Z39" s="7">
        <f t="shared" si="28"/>
        <v>-1</v>
      </c>
    </row>
    <row r="40" spans="1:26" s="24" customFormat="1" hidden="1" outlineLevel="2" x14ac:dyDescent="0.25">
      <c r="A40" s="25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1"/>
        <v>0</v>
      </c>
      <c r="G40" s="2"/>
      <c r="H40" s="6">
        <v>3882</v>
      </c>
      <c r="I40" s="2"/>
      <c r="J40" s="7">
        <f t="shared" si="22"/>
        <v>8.4795309757790781E-3</v>
      </c>
      <c r="K40" s="2"/>
      <c r="L40" s="6">
        <f t="shared" si="23"/>
        <v>-3882</v>
      </c>
      <c r="M40" s="2"/>
      <c r="N40" s="7">
        <f t="shared" si="24"/>
        <v>-1</v>
      </c>
      <c r="O40" s="11"/>
      <c r="P40" s="6"/>
      <c r="Q40" s="2"/>
      <c r="R40" s="7">
        <f t="shared" si="25"/>
        <v>0</v>
      </c>
      <c r="S40" s="2"/>
      <c r="T40" s="6">
        <v>15249</v>
      </c>
      <c r="U40" s="2"/>
      <c r="V40" s="7">
        <f t="shared" si="26"/>
        <v>6.9971528071763513E-3</v>
      </c>
      <c r="W40" s="2"/>
      <c r="X40" s="6">
        <f t="shared" si="27"/>
        <v>-15249</v>
      </c>
      <c r="Y40" s="2"/>
      <c r="Z40" s="7">
        <f t="shared" si="28"/>
        <v>-1</v>
      </c>
    </row>
    <row r="41" spans="1:26" s="26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2" si="29">IF(D$12=0,0,D41/D$12)</f>
        <v>0</v>
      </c>
      <c r="G41" s="1"/>
      <c r="H41" s="1">
        <f>SUM(OSRRefH22_2x_0)</f>
        <v>139.5</v>
      </c>
      <c r="I41" s="1"/>
      <c r="J41" s="5">
        <f t="shared" ref="J41:J62" si="30">IF(H$12=0,0,H41/H$12)</f>
        <v>3.0471266644028372E-4</v>
      </c>
      <c r="K41" s="1"/>
      <c r="L41" s="1">
        <f t="shared" ref="L41:L62" si="31">+D41-H41</f>
        <v>-139.5</v>
      </c>
      <c r="M41" s="1"/>
      <c r="N41" s="5">
        <f t="shared" ref="N41:N62" si="32">IF(H41=0,0,L41/H41)</f>
        <v>-1</v>
      </c>
      <c r="O41" s="13"/>
      <c r="P41" s="1">
        <f>SUM(OSRRefP22_2x_0)</f>
        <v>204.75</v>
      </c>
      <c r="Q41" s="1"/>
      <c r="R41" s="5">
        <f t="shared" ref="R41:R62" si="33">IF(P$12=0,0,P41/P$12)</f>
        <v>8.6021749323169534E-3</v>
      </c>
      <c r="S41" s="1"/>
      <c r="T41" s="1">
        <f>SUM(OSRRefT22_2x_0)</f>
        <v>2683.18</v>
      </c>
      <c r="U41" s="1"/>
      <c r="V41" s="5">
        <f t="shared" ref="V41:V62" si="34">IF(T$12=0,0,T41/T$12)</f>
        <v>1.2312033883637905E-3</v>
      </c>
      <c r="W41" s="1"/>
      <c r="X41" s="1">
        <f t="shared" ref="X41:X62" si="35">+P41-T41</f>
        <v>-2478.4299999999998</v>
      </c>
      <c r="Y41" s="1"/>
      <c r="Z41" s="5">
        <f t="shared" ref="Z41:Z62" si="36">IF(T41=0,0,X41/T41)</f>
        <v>-0.92369129167629449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9"/>
        <v>0</v>
      </c>
      <c r="G42" s="2"/>
      <c r="H42" s="6">
        <v>139.5</v>
      </c>
      <c r="I42" s="2"/>
      <c r="J42" s="7">
        <f t="shared" si="30"/>
        <v>3.0471266644028372E-4</v>
      </c>
      <c r="K42" s="2"/>
      <c r="L42" s="6">
        <f t="shared" si="31"/>
        <v>-139.5</v>
      </c>
      <c r="M42" s="2"/>
      <c r="N42" s="7">
        <f t="shared" si="32"/>
        <v>-1</v>
      </c>
      <c r="O42" s="11"/>
      <c r="P42" s="6">
        <v>204.75</v>
      </c>
      <c r="Q42" s="2"/>
      <c r="R42" s="7">
        <f t="shared" si="33"/>
        <v>8.6021749323169534E-3</v>
      </c>
      <c r="S42" s="2"/>
      <c r="T42" s="6">
        <v>2683.18</v>
      </c>
      <c r="U42" s="2"/>
      <c r="V42" s="7">
        <f t="shared" si="34"/>
        <v>1.2312033883637905E-3</v>
      </c>
      <c r="W42" s="2"/>
      <c r="X42" s="6">
        <f t="shared" si="35"/>
        <v>-2478.4299999999998</v>
      </c>
      <c r="Y42" s="2"/>
      <c r="Z42" s="7">
        <f t="shared" si="36"/>
        <v>-0.92369129167629449</v>
      </c>
    </row>
    <row r="43" spans="1:26" s="26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29"/>
        <v>0</v>
      </c>
      <c r="G43" s="1"/>
      <c r="H43" s="1">
        <f>SUM(OSRRefH22_3x_0)</f>
        <v>0.05</v>
      </c>
      <c r="I43" s="1"/>
      <c r="J43" s="5">
        <f t="shared" si="30"/>
        <v>1.092160094768042E-7</v>
      </c>
      <c r="K43" s="1"/>
      <c r="L43" s="1">
        <f t="shared" si="31"/>
        <v>-0.05</v>
      </c>
      <c r="M43" s="1"/>
      <c r="N43" s="5">
        <f t="shared" si="32"/>
        <v>-1</v>
      </c>
      <c r="O43" s="13"/>
      <c r="P43" s="1">
        <f>SUM(OSRRefP22_3x_0)</f>
        <v>0</v>
      </c>
      <c r="Q43" s="1"/>
      <c r="R43" s="5">
        <f t="shared" si="33"/>
        <v>0</v>
      </c>
      <c r="S43" s="1"/>
      <c r="T43" s="1">
        <f>SUM(OSRRefT22_3x_0)</f>
        <v>1.05</v>
      </c>
      <c r="U43" s="1"/>
      <c r="V43" s="5">
        <f t="shared" si="34"/>
        <v>4.818027705118479E-7</v>
      </c>
      <c r="W43" s="1"/>
      <c r="X43" s="1">
        <f t="shared" si="35"/>
        <v>-1.05</v>
      </c>
      <c r="Y43" s="1"/>
      <c r="Z43" s="5">
        <f t="shared" si="36"/>
        <v>-1</v>
      </c>
    </row>
    <row r="44" spans="1:26" s="24" customFormat="1" hidden="1" outlineLevel="2" x14ac:dyDescent="0.25">
      <c r="A44" s="25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29"/>
        <v>0</v>
      </c>
      <c r="G44" s="2"/>
      <c r="H44" s="6">
        <v>0.05</v>
      </c>
      <c r="I44" s="2"/>
      <c r="J44" s="7">
        <f t="shared" si="30"/>
        <v>1.092160094768042E-7</v>
      </c>
      <c r="K44" s="2"/>
      <c r="L44" s="6">
        <f t="shared" si="31"/>
        <v>-0.05</v>
      </c>
      <c r="M44" s="2"/>
      <c r="N44" s="7">
        <f t="shared" si="32"/>
        <v>-1</v>
      </c>
      <c r="O44" s="11"/>
      <c r="P44" s="6"/>
      <c r="Q44" s="2"/>
      <c r="R44" s="7">
        <f t="shared" si="33"/>
        <v>0</v>
      </c>
      <c r="S44" s="2"/>
      <c r="T44" s="6">
        <v>1.05</v>
      </c>
      <c r="U44" s="2"/>
      <c r="V44" s="7">
        <f t="shared" si="34"/>
        <v>4.818027705118479E-7</v>
      </c>
      <c r="W44" s="2"/>
      <c r="X44" s="6">
        <f t="shared" si="35"/>
        <v>-1.05</v>
      </c>
      <c r="Y44" s="2"/>
      <c r="Z44" s="7">
        <f t="shared" si="36"/>
        <v>-1</v>
      </c>
    </row>
    <row r="45" spans="1:26" s="26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0</v>
      </c>
      <c r="E45" s="1"/>
      <c r="F45" s="5">
        <f t="shared" si="29"/>
        <v>0</v>
      </c>
      <c r="G45" s="1"/>
      <c r="H45" s="1">
        <f>SUM(OSRRefH22_4x_0)</f>
        <v>468.25</v>
      </c>
      <c r="I45" s="1"/>
      <c r="J45" s="5">
        <f t="shared" si="30"/>
        <v>1.0228079287502713E-3</v>
      </c>
      <c r="K45" s="1"/>
      <c r="L45" s="1">
        <f t="shared" si="31"/>
        <v>-468.25</v>
      </c>
      <c r="M45" s="1"/>
      <c r="N45" s="5">
        <f t="shared" si="32"/>
        <v>-1</v>
      </c>
      <c r="O45" s="13"/>
      <c r="P45" s="1">
        <f>SUM(OSRRefP22_4x_0)</f>
        <v>0</v>
      </c>
      <c r="Q45" s="1"/>
      <c r="R45" s="5">
        <f t="shared" si="33"/>
        <v>0</v>
      </c>
      <c r="S45" s="1"/>
      <c r="T45" s="1">
        <f>SUM(OSRRefT22_4x_0)</f>
        <v>1395.12</v>
      </c>
      <c r="U45" s="1"/>
      <c r="V45" s="5">
        <f t="shared" si="34"/>
        <v>6.4016445828237064E-4</v>
      </c>
      <c r="W45" s="1"/>
      <c r="X45" s="1">
        <f t="shared" si="35"/>
        <v>-1395.12</v>
      </c>
      <c r="Y45" s="1"/>
      <c r="Z45" s="5">
        <f t="shared" si="36"/>
        <v>-1</v>
      </c>
    </row>
    <row r="46" spans="1:26" s="24" customFormat="1" hidden="1" outlineLevel="2" x14ac:dyDescent="0.25">
      <c r="A46" s="25"/>
      <c r="B46" s="11" t="str">
        <f>CONCATENATE("          ", "6381", " - ", "BANK/CREDIT CARD FEES")</f>
        <v xml:space="preserve">          6381 - BANK/CREDIT CARD FEES</v>
      </c>
      <c r="C46" s="11"/>
      <c r="D46" s="6"/>
      <c r="E46" s="2"/>
      <c r="F46" s="7">
        <f t="shared" si="29"/>
        <v>0</v>
      </c>
      <c r="G46" s="2"/>
      <c r="H46" s="6">
        <v>468.25</v>
      </c>
      <c r="I46" s="2"/>
      <c r="J46" s="7">
        <f t="shared" si="30"/>
        <v>1.0228079287502713E-3</v>
      </c>
      <c r="K46" s="2"/>
      <c r="L46" s="6">
        <f t="shared" si="31"/>
        <v>-468.25</v>
      </c>
      <c r="M46" s="2"/>
      <c r="N46" s="7">
        <f t="shared" si="32"/>
        <v>-1</v>
      </c>
      <c r="O46" s="11"/>
      <c r="P46" s="6"/>
      <c r="Q46" s="2"/>
      <c r="R46" s="7">
        <f t="shared" si="33"/>
        <v>0</v>
      </c>
      <c r="S46" s="2"/>
      <c r="T46" s="6">
        <v>1395.12</v>
      </c>
      <c r="U46" s="2"/>
      <c r="V46" s="7">
        <f t="shared" si="34"/>
        <v>6.4016445828237064E-4</v>
      </c>
      <c r="W46" s="2"/>
      <c r="X46" s="6">
        <f t="shared" si="35"/>
        <v>-1395.12</v>
      </c>
      <c r="Y46" s="2"/>
      <c r="Z46" s="7">
        <f t="shared" si="36"/>
        <v>-1</v>
      </c>
    </row>
    <row r="47" spans="1:26" s="26" customFormat="1" outlineLevel="1" collapsed="1" x14ac:dyDescent="0.25">
      <c r="A47" s="27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272.74</v>
      </c>
      <c r="E47" s="1"/>
      <c r="F47" s="5">
        <f t="shared" si="29"/>
        <v>0</v>
      </c>
      <c r="G47" s="1"/>
      <c r="H47" s="1">
        <f>SUM(OSRRefH22_5x_0)</f>
        <v>0</v>
      </c>
      <c r="I47" s="1"/>
      <c r="J47" s="5">
        <f t="shared" si="30"/>
        <v>0</v>
      </c>
      <c r="K47" s="1"/>
      <c r="L47" s="1">
        <f t="shared" si="31"/>
        <v>272.74</v>
      </c>
      <c r="M47" s="1"/>
      <c r="N47" s="5">
        <f t="shared" si="32"/>
        <v>0</v>
      </c>
      <c r="O47" s="13"/>
      <c r="P47" s="1">
        <f>SUM(OSRRefP22_5x_0)</f>
        <v>1099.48</v>
      </c>
      <c r="Q47" s="1"/>
      <c r="R47" s="5">
        <f t="shared" si="33"/>
        <v>4.6192524027271524E-2</v>
      </c>
      <c r="S47" s="1"/>
      <c r="T47" s="1">
        <f>SUM(OSRRefT22_5x_0)</f>
        <v>0</v>
      </c>
      <c r="U47" s="1"/>
      <c r="V47" s="5">
        <f t="shared" si="34"/>
        <v>0</v>
      </c>
      <c r="W47" s="1"/>
      <c r="X47" s="1">
        <f t="shared" si="35"/>
        <v>1099.48</v>
      </c>
      <c r="Y47" s="1"/>
      <c r="Z47" s="5">
        <f t="shared" si="36"/>
        <v>0</v>
      </c>
    </row>
    <row r="48" spans="1:26" s="24" customFormat="1" hidden="1" outlineLevel="2" x14ac:dyDescent="0.25">
      <c r="A48" s="25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272.74</v>
      </c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272.74</v>
      </c>
      <c r="M48" s="2"/>
      <c r="N48" s="7">
        <f t="shared" si="32"/>
        <v>0</v>
      </c>
      <c r="O48" s="11"/>
      <c r="P48" s="6">
        <v>1099.48</v>
      </c>
      <c r="Q48" s="2"/>
      <c r="R48" s="7">
        <f t="shared" si="33"/>
        <v>4.6192524027271524E-2</v>
      </c>
      <c r="S48" s="2"/>
      <c r="T48" s="6"/>
      <c r="U48" s="2"/>
      <c r="V48" s="7">
        <f t="shared" si="34"/>
        <v>0</v>
      </c>
      <c r="W48" s="2"/>
      <c r="X48" s="6">
        <f t="shared" si="35"/>
        <v>1099.48</v>
      </c>
      <c r="Y48" s="2"/>
      <c r="Z48" s="7">
        <f t="shared" si="36"/>
        <v>0</v>
      </c>
    </row>
    <row r="49" spans="1:26" s="26" customFormat="1" outlineLevel="1" collapsed="1" x14ac:dyDescent="0.25">
      <c r="A49" s="27"/>
      <c r="B49" s="13" t="str">
        <f>CONCATENATE("     ","Donations                                         ")</f>
        <v xml:space="preserve">     Donations                                         </v>
      </c>
      <c r="C49" s="13"/>
      <c r="D49" s="1">
        <f>SUM(OSRRefD22_6x_0)</f>
        <v>0</v>
      </c>
      <c r="E49" s="1"/>
      <c r="F49" s="5">
        <f t="shared" si="29"/>
        <v>0</v>
      </c>
      <c r="G49" s="1"/>
      <c r="H49" s="1">
        <f>SUM(OSRRefH22_6x_0)</f>
        <v>9841.51</v>
      </c>
      <c r="I49" s="1"/>
      <c r="J49" s="5">
        <f t="shared" si="30"/>
        <v>2.1497008988521266E-2</v>
      </c>
      <c r="K49" s="1"/>
      <c r="L49" s="1">
        <f t="shared" si="31"/>
        <v>-9841.51</v>
      </c>
      <c r="M49" s="1"/>
      <c r="N49" s="5">
        <f t="shared" si="32"/>
        <v>-1</v>
      </c>
      <c r="O49" s="13"/>
      <c r="P49" s="1">
        <f>SUM(OSRRefP22_6x_0)</f>
        <v>0</v>
      </c>
      <c r="Q49" s="1"/>
      <c r="R49" s="5">
        <f t="shared" si="33"/>
        <v>0</v>
      </c>
      <c r="S49" s="1"/>
      <c r="T49" s="1">
        <f>SUM(OSRRefT22_6x_0)</f>
        <v>39570.51</v>
      </c>
      <c r="U49" s="1"/>
      <c r="V49" s="5">
        <f t="shared" si="34"/>
        <v>1.8157315570063604E-2</v>
      </c>
      <c r="W49" s="1"/>
      <c r="X49" s="1">
        <f t="shared" si="35"/>
        <v>-39570.51</v>
      </c>
      <c r="Y49" s="1"/>
      <c r="Z49" s="5">
        <f t="shared" si="36"/>
        <v>-1</v>
      </c>
    </row>
    <row r="50" spans="1:26" s="24" customFormat="1" hidden="1" outlineLevel="2" x14ac:dyDescent="0.25">
      <c r="A50" s="25"/>
      <c r="B50" s="11" t="str">
        <f>CONCATENATE("          ", "6399", " - ", "DONATION-ON CAMPUS")</f>
        <v xml:space="preserve">          6399 - DONATION-ON CAMPUS</v>
      </c>
      <c r="C50" s="11"/>
      <c r="D50" s="6"/>
      <c r="E50" s="2"/>
      <c r="F50" s="7">
        <f t="shared" si="29"/>
        <v>0</v>
      </c>
      <c r="G50" s="2"/>
      <c r="H50" s="6">
        <v>9841.51</v>
      </c>
      <c r="I50" s="2"/>
      <c r="J50" s="7">
        <f t="shared" si="30"/>
        <v>2.1497008988521266E-2</v>
      </c>
      <c r="K50" s="2"/>
      <c r="L50" s="6">
        <f t="shared" si="31"/>
        <v>-9841.51</v>
      </c>
      <c r="M50" s="2"/>
      <c r="N50" s="7">
        <f t="shared" si="32"/>
        <v>-1</v>
      </c>
      <c r="O50" s="11"/>
      <c r="P50" s="6"/>
      <c r="Q50" s="2"/>
      <c r="R50" s="7">
        <f t="shared" si="33"/>
        <v>0</v>
      </c>
      <c r="S50" s="2"/>
      <c r="T50" s="6">
        <v>39570.51</v>
      </c>
      <c r="U50" s="2"/>
      <c r="V50" s="7">
        <f t="shared" si="34"/>
        <v>1.8157315570063604E-2</v>
      </c>
      <c r="W50" s="2"/>
      <c r="X50" s="6">
        <f t="shared" si="35"/>
        <v>-39570.51</v>
      </c>
      <c r="Y50" s="2"/>
      <c r="Z50" s="7">
        <f t="shared" si="36"/>
        <v>-1</v>
      </c>
    </row>
    <row r="51" spans="1:26" s="26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SUM(OSRRefD22_7x_0)</f>
        <v>0</v>
      </c>
      <c r="E51" s="1"/>
      <c r="F51" s="5">
        <f t="shared" si="29"/>
        <v>0</v>
      </c>
      <c r="G51" s="1"/>
      <c r="H51" s="1">
        <f>SUM(OSRRefH22_7x_0)</f>
        <v>0</v>
      </c>
      <c r="I51" s="1"/>
      <c r="J51" s="5">
        <f t="shared" si="30"/>
        <v>0</v>
      </c>
      <c r="K51" s="1"/>
      <c r="L51" s="1">
        <f t="shared" si="31"/>
        <v>0</v>
      </c>
      <c r="M51" s="1"/>
      <c r="N51" s="5">
        <f t="shared" si="32"/>
        <v>0</v>
      </c>
      <c r="O51" s="13"/>
      <c r="P51" s="1">
        <f>SUM(OSRRefP22_7x_0)</f>
        <v>0</v>
      </c>
      <c r="Q51" s="1"/>
      <c r="R51" s="5">
        <f t="shared" si="33"/>
        <v>0</v>
      </c>
      <c r="S51" s="1"/>
      <c r="T51" s="1">
        <f>SUM(OSRRefT22_7x_0)</f>
        <v>21.33</v>
      </c>
      <c r="U51" s="1"/>
      <c r="V51" s="5">
        <f t="shared" si="34"/>
        <v>9.7874791381121101E-6</v>
      </c>
      <c r="W51" s="1"/>
      <c r="X51" s="1">
        <f t="shared" si="35"/>
        <v>-21.33</v>
      </c>
      <c r="Y51" s="1"/>
      <c r="Z51" s="5">
        <f t="shared" si="36"/>
        <v>-1</v>
      </c>
    </row>
    <row r="52" spans="1:26" s="24" customFormat="1" hidden="1" outlineLevel="2" x14ac:dyDescent="0.25">
      <c r="A52" s="25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29"/>
        <v>0</v>
      </c>
      <c r="G52" s="2"/>
      <c r="H52" s="6"/>
      <c r="I52" s="2"/>
      <c r="J52" s="7">
        <f t="shared" si="30"/>
        <v>0</v>
      </c>
      <c r="K52" s="2"/>
      <c r="L52" s="6">
        <f t="shared" si="31"/>
        <v>0</v>
      </c>
      <c r="M52" s="2"/>
      <c r="N52" s="7">
        <f t="shared" si="32"/>
        <v>0</v>
      </c>
      <c r="O52" s="11"/>
      <c r="P52" s="6"/>
      <c r="Q52" s="2"/>
      <c r="R52" s="7">
        <f t="shared" si="33"/>
        <v>0</v>
      </c>
      <c r="S52" s="2"/>
      <c r="T52" s="6">
        <v>21.33</v>
      </c>
      <c r="U52" s="2"/>
      <c r="V52" s="7">
        <f t="shared" si="34"/>
        <v>9.7874791381121101E-6</v>
      </c>
      <c r="W52" s="2"/>
      <c r="X52" s="6">
        <f t="shared" si="35"/>
        <v>-21.33</v>
      </c>
      <c r="Y52" s="2"/>
      <c r="Z52" s="7">
        <f t="shared" si="36"/>
        <v>-1</v>
      </c>
    </row>
    <row r="53" spans="1:26" s="26" customFormat="1" outlineLevel="1" collapsed="1" x14ac:dyDescent="0.25">
      <c r="A53" s="27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SUM(OSRRefD22_8x_0)</f>
        <v>138.88999999999999</v>
      </c>
      <c r="E53" s="1"/>
      <c r="F53" s="5">
        <f t="shared" si="29"/>
        <v>0</v>
      </c>
      <c r="G53" s="1"/>
      <c r="H53" s="1">
        <f>SUM(OSRRefH22_8x_0)</f>
        <v>567.62</v>
      </c>
      <c r="I53" s="1"/>
      <c r="J53" s="5">
        <f t="shared" si="30"/>
        <v>1.2398638259844719E-3</v>
      </c>
      <c r="K53" s="1"/>
      <c r="L53" s="1">
        <f t="shared" si="31"/>
        <v>-428.73</v>
      </c>
      <c r="M53" s="1"/>
      <c r="N53" s="5">
        <f t="shared" si="32"/>
        <v>-0.75531165216165752</v>
      </c>
      <c r="O53" s="13"/>
      <c r="P53" s="1">
        <f>SUM(OSRRefP22_8x_0)</f>
        <v>1110.02</v>
      </c>
      <c r="Q53" s="1"/>
      <c r="R53" s="5">
        <f t="shared" si="33"/>
        <v>4.6635341725863075E-2</v>
      </c>
      <c r="S53" s="1"/>
      <c r="T53" s="1">
        <f>SUM(OSRRefT22_8x_0)</f>
        <v>1196.28</v>
      </c>
      <c r="U53" s="1"/>
      <c r="V53" s="5">
        <f t="shared" si="34"/>
        <v>5.4892477934086995E-4</v>
      </c>
      <c r="W53" s="1"/>
      <c r="X53" s="1">
        <f t="shared" si="35"/>
        <v>-86.259999999999991</v>
      </c>
      <c r="Y53" s="1"/>
      <c r="Z53" s="5">
        <f t="shared" si="36"/>
        <v>-7.2106864613635593E-2</v>
      </c>
    </row>
    <row r="54" spans="1:26" s="24" customFormat="1" hidden="1" outlineLevel="2" x14ac:dyDescent="0.25">
      <c r="A54" s="25"/>
      <c r="B54" s="11" t="str">
        <f>CONCATENATE("          ", "6351", " - ", "EQUIPMENT RENTAL")</f>
        <v xml:space="preserve">          6351 - EQUIPMENT RENTAL</v>
      </c>
      <c r="C54" s="11"/>
      <c r="D54" s="6">
        <v>138.88999999999999</v>
      </c>
      <c r="E54" s="2"/>
      <c r="F54" s="7">
        <f t="shared" si="29"/>
        <v>0</v>
      </c>
      <c r="G54" s="2"/>
      <c r="H54" s="6">
        <v>567.62</v>
      </c>
      <c r="I54" s="2"/>
      <c r="J54" s="7">
        <f t="shared" si="30"/>
        <v>1.2398638259844719E-3</v>
      </c>
      <c r="K54" s="2"/>
      <c r="L54" s="6">
        <f t="shared" si="31"/>
        <v>-428.73</v>
      </c>
      <c r="M54" s="2"/>
      <c r="N54" s="7">
        <f t="shared" si="32"/>
        <v>-0.75531165216165752</v>
      </c>
      <c r="O54" s="11"/>
      <c r="P54" s="6">
        <v>1110.02</v>
      </c>
      <c r="Q54" s="2"/>
      <c r="R54" s="7">
        <f t="shared" si="33"/>
        <v>4.6635341725863075E-2</v>
      </c>
      <c r="S54" s="2"/>
      <c r="T54" s="6">
        <v>1196.28</v>
      </c>
      <c r="U54" s="2"/>
      <c r="V54" s="7">
        <f t="shared" si="34"/>
        <v>5.4892477934086995E-4</v>
      </c>
      <c r="W54" s="2"/>
      <c r="X54" s="6">
        <f t="shared" si="35"/>
        <v>-86.259999999999991</v>
      </c>
      <c r="Y54" s="2"/>
      <c r="Z54" s="7">
        <f t="shared" si="36"/>
        <v>-7.2106864613635593E-2</v>
      </c>
    </row>
    <row r="55" spans="1:26" s="26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38</v>
      </c>
      <c r="E55" s="1"/>
      <c r="F55" s="5">
        <f t="shared" si="29"/>
        <v>0</v>
      </c>
      <c r="G55" s="1"/>
      <c r="H55" s="1">
        <f>SUM(OSRRefH22_9x_0)</f>
        <v>0</v>
      </c>
      <c r="I55" s="1"/>
      <c r="J55" s="5">
        <f t="shared" si="30"/>
        <v>0</v>
      </c>
      <c r="K55" s="1"/>
      <c r="L55" s="1">
        <f t="shared" si="31"/>
        <v>38</v>
      </c>
      <c r="M55" s="1"/>
      <c r="N55" s="5">
        <f t="shared" si="32"/>
        <v>0</v>
      </c>
      <c r="O55" s="13"/>
      <c r="P55" s="1">
        <f>SUM(OSRRefP22_9x_0)</f>
        <v>3538.2</v>
      </c>
      <c r="Q55" s="1"/>
      <c r="R55" s="5">
        <f t="shared" si="33"/>
        <v>0.14865062439816285</v>
      </c>
      <c r="S55" s="1"/>
      <c r="T55" s="1">
        <f>SUM(OSRRefT22_9x_0)</f>
        <v>1499.55</v>
      </c>
      <c r="U55" s="1"/>
      <c r="V55" s="5">
        <f t="shared" si="34"/>
        <v>6.8808318525813482E-4</v>
      </c>
      <c r="W55" s="1"/>
      <c r="X55" s="1">
        <f t="shared" si="35"/>
        <v>2038.6499999999999</v>
      </c>
      <c r="Y55" s="1"/>
      <c r="Z55" s="5">
        <f t="shared" si="36"/>
        <v>1.3595078523557067</v>
      </c>
    </row>
    <row r="56" spans="1:26" s="24" customFormat="1" hidden="1" outlineLevel="2" x14ac:dyDescent="0.25">
      <c r="A56" s="25"/>
      <c r="B56" s="11" t="str">
        <f>CONCATENATE("          ", "6279", " - ", "GENERAL EXPENSE")</f>
        <v xml:space="preserve">          6279 - GENERAL EXPENSE</v>
      </c>
      <c r="C56" s="11"/>
      <c r="D56" s="6">
        <v>38</v>
      </c>
      <c r="E56" s="2"/>
      <c r="F56" s="7">
        <f t="shared" si="29"/>
        <v>0</v>
      </c>
      <c r="G56" s="2"/>
      <c r="H56" s="6"/>
      <c r="I56" s="2"/>
      <c r="J56" s="7">
        <f t="shared" si="30"/>
        <v>0</v>
      </c>
      <c r="K56" s="2"/>
      <c r="L56" s="6">
        <f t="shared" si="31"/>
        <v>38</v>
      </c>
      <c r="M56" s="2"/>
      <c r="N56" s="7">
        <f t="shared" si="32"/>
        <v>0</v>
      </c>
      <c r="O56" s="11"/>
      <c r="P56" s="6">
        <v>3538.2</v>
      </c>
      <c r="Q56" s="2"/>
      <c r="R56" s="7">
        <f t="shared" si="33"/>
        <v>0.14865062439816285</v>
      </c>
      <c r="S56" s="2"/>
      <c r="T56" s="6">
        <v>1499.55</v>
      </c>
      <c r="U56" s="2"/>
      <c r="V56" s="7">
        <f t="shared" si="34"/>
        <v>6.8808318525813482E-4</v>
      </c>
      <c r="W56" s="2"/>
      <c r="X56" s="6">
        <f t="shared" si="35"/>
        <v>2038.6499999999999</v>
      </c>
      <c r="Y56" s="2"/>
      <c r="Z56" s="7">
        <f t="shared" si="36"/>
        <v>1.3595078523557067</v>
      </c>
    </row>
    <row r="57" spans="1:26" s="26" customFormat="1" outlineLevel="1" collapsed="1" x14ac:dyDescent="0.25">
      <c r="A57" s="27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SUM(OSRRefD22_10x_0)</f>
        <v>-3</v>
      </c>
      <c r="E57" s="1"/>
      <c r="F57" s="5">
        <f t="shared" si="29"/>
        <v>0</v>
      </c>
      <c r="G57" s="1"/>
      <c r="H57" s="1">
        <f>SUM(OSRRefH22_10x_0)</f>
        <v>34034.899999999994</v>
      </c>
      <c r="I57" s="1"/>
      <c r="J57" s="5">
        <f t="shared" si="30"/>
        <v>7.4343119218841652E-2</v>
      </c>
      <c r="K57" s="1"/>
      <c r="L57" s="1">
        <f t="shared" si="31"/>
        <v>-34037.899999999994</v>
      </c>
      <c r="M57" s="1"/>
      <c r="N57" s="5">
        <f t="shared" si="32"/>
        <v>-1.0000881448160566</v>
      </c>
      <c r="O57" s="13"/>
      <c r="P57" s="1">
        <f>SUM(OSRRefP22_10x_0)</f>
        <v>1912.17</v>
      </c>
      <c r="Q57" s="1"/>
      <c r="R57" s="5">
        <f t="shared" si="33"/>
        <v>8.0336121320285767E-2</v>
      </c>
      <c r="S57" s="1"/>
      <c r="T57" s="1">
        <f>SUM(OSRRefT22_10x_0)</f>
        <v>165754.04</v>
      </c>
      <c r="U57" s="1"/>
      <c r="V57" s="5">
        <f t="shared" si="34"/>
        <v>7.6057862567173007E-2</v>
      </c>
      <c r="W57" s="1"/>
      <c r="X57" s="1">
        <f t="shared" si="35"/>
        <v>-163841.87</v>
      </c>
      <c r="Y57" s="1"/>
      <c r="Z57" s="5">
        <f t="shared" si="36"/>
        <v>-0.98846381059550636</v>
      </c>
    </row>
    <row r="58" spans="1:26" s="24" customFormat="1" hidden="1" outlineLevel="2" x14ac:dyDescent="0.25">
      <c r="A58" s="25"/>
      <c r="B58" s="11" t="str">
        <f>CONCATENATE("          ", "6387", " - ", "COMMISSION DUE HOUSING")</f>
        <v xml:space="preserve">          6387 - COMMISSION DUE HOUSING</v>
      </c>
      <c r="C58" s="11"/>
      <c r="D58" s="6">
        <v>-3</v>
      </c>
      <c r="E58" s="2"/>
      <c r="F58" s="7">
        <f t="shared" si="29"/>
        <v>0</v>
      </c>
      <c r="G58" s="2"/>
      <c r="H58" s="6">
        <v>34034.899999999994</v>
      </c>
      <c r="I58" s="2"/>
      <c r="J58" s="7">
        <f t="shared" si="30"/>
        <v>7.4343119218841652E-2</v>
      </c>
      <c r="K58" s="2"/>
      <c r="L58" s="6">
        <f t="shared" si="31"/>
        <v>-34037.899999999994</v>
      </c>
      <c r="M58" s="2"/>
      <c r="N58" s="7">
        <f t="shared" si="32"/>
        <v>-1.0000881448160566</v>
      </c>
      <c r="O58" s="11"/>
      <c r="P58" s="6">
        <v>1912.17</v>
      </c>
      <c r="Q58" s="2"/>
      <c r="R58" s="7">
        <f t="shared" si="33"/>
        <v>8.0336121320285767E-2</v>
      </c>
      <c r="S58" s="2"/>
      <c r="T58" s="6">
        <v>165754.04</v>
      </c>
      <c r="U58" s="2"/>
      <c r="V58" s="7">
        <f t="shared" si="34"/>
        <v>7.6057862567173007E-2</v>
      </c>
      <c r="W58" s="2"/>
      <c r="X58" s="6">
        <f t="shared" si="35"/>
        <v>-163841.87</v>
      </c>
      <c r="Y58" s="2"/>
      <c r="Z58" s="7">
        <f t="shared" si="36"/>
        <v>-0.98846381059550636</v>
      </c>
    </row>
    <row r="59" spans="1:26" s="26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0</v>
      </c>
      <c r="E59" s="1"/>
      <c r="F59" s="5">
        <f t="shared" si="29"/>
        <v>0</v>
      </c>
      <c r="G59" s="1"/>
      <c r="H59" s="1">
        <f>SUM(OSRRefH22_11x_0)</f>
        <v>8238.75</v>
      </c>
      <c r="I59" s="1"/>
      <c r="J59" s="5">
        <f t="shared" si="30"/>
        <v>1.7996067961540411E-2</v>
      </c>
      <c r="K59" s="1"/>
      <c r="L59" s="1">
        <f t="shared" si="31"/>
        <v>-8238.75</v>
      </c>
      <c r="M59" s="1"/>
      <c r="N59" s="5">
        <f t="shared" si="32"/>
        <v>-1</v>
      </c>
      <c r="O59" s="13"/>
      <c r="P59" s="1">
        <f>SUM(OSRRefP22_11x_0)</f>
        <v>1157.45</v>
      </c>
      <c r="Q59" s="1"/>
      <c r="R59" s="5">
        <f t="shared" si="33"/>
        <v>4.8628021369525071E-2</v>
      </c>
      <c r="S59" s="1"/>
      <c r="T59" s="1">
        <f>SUM(OSRRefT22_11x_0)</f>
        <v>8459.01</v>
      </c>
      <c r="U59" s="1"/>
      <c r="V59" s="5">
        <f t="shared" si="34"/>
        <v>3.8814994797975494E-3</v>
      </c>
      <c r="W59" s="1"/>
      <c r="X59" s="1">
        <f t="shared" si="35"/>
        <v>-7301.56</v>
      </c>
      <c r="Y59" s="1"/>
      <c r="Z59" s="5">
        <f t="shared" si="36"/>
        <v>-0.86316956712428528</v>
      </c>
    </row>
    <row r="60" spans="1:26" s="24" customFormat="1" hidden="1" outlineLevel="2" x14ac:dyDescent="0.25">
      <c r="A60" s="25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9"/>
        <v>0</v>
      </c>
      <c r="G60" s="2"/>
      <c r="H60" s="6">
        <v>8238.75</v>
      </c>
      <c r="I60" s="2"/>
      <c r="J60" s="7">
        <f t="shared" si="30"/>
        <v>1.7996067961540411E-2</v>
      </c>
      <c r="K60" s="2"/>
      <c r="L60" s="6">
        <f t="shared" si="31"/>
        <v>-8238.75</v>
      </c>
      <c r="M60" s="2"/>
      <c r="N60" s="7">
        <f t="shared" si="32"/>
        <v>-1</v>
      </c>
      <c r="O60" s="11"/>
      <c r="P60" s="6"/>
      <c r="Q60" s="2"/>
      <c r="R60" s="7">
        <f t="shared" si="33"/>
        <v>0</v>
      </c>
      <c r="S60" s="2"/>
      <c r="T60" s="6">
        <v>8238.75</v>
      </c>
      <c r="U60" s="2"/>
      <c r="V60" s="7">
        <f t="shared" si="34"/>
        <v>3.7804310243376065E-3</v>
      </c>
      <c r="W60" s="2"/>
      <c r="X60" s="6">
        <f t="shared" si="35"/>
        <v>-8238.75</v>
      </c>
      <c r="Y60" s="2"/>
      <c r="Z60" s="7">
        <f t="shared" si="36"/>
        <v>-1</v>
      </c>
    </row>
    <row r="61" spans="1:26" s="24" customFormat="1" hidden="1" outlineLevel="2" x14ac:dyDescent="0.25">
      <c r="A61" s="25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29"/>
        <v>0</v>
      </c>
      <c r="G61" s="2"/>
      <c r="H61" s="6"/>
      <c r="I61" s="2"/>
      <c r="J61" s="7">
        <f t="shared" si="30"/>
        <v>0</v>
      </c>
      <c r="K61" s="2"/>
      <c r="L61" s="6">
        <f t="shared" si="31"/>
        <v>0</v>
      </c>
      <c r="M61" s="2"/>
      <c r="N61" s="7">
        <f t="shared" si="32"/>
        <v>0</v>
      </c>
      <c r="O61" s="11"/>
      <c r="P61" s="6">
        <v>1157.45</v>
      </c>
      <c r="Q61" s="2"/>
      <c r="R61" s="7">
        <f t="shared" si="33"/>
        <v>4.8628021369525071E-2</v>
      </c>
      <c r="S61" s="2"/>
      <c r="T61" s="6">
        <v>68.48</v>
      </c>
      <c r="U61" s="2"/>
      <c r="V61" s="7">
        <f t="shared" si="34"/>
        <v>3.1422717833001284E-5</v>
      </c>
      <c r="W61" s="2"/>
      <c r="X61" s="6">
        <f t="shared" si="35"/>
        <v>1088.97</v>
      </c>
      <c r="Y61" s="2"/>
      <c r="Z61" s="7">
        <f t="shared" si="36"/>
        <v>15.902015186915888</v>
      </c>
    </row>
    <row r="62" spans="1:26" s="24" customFormat="1" hidden="1" outlineLevel="2" x14ac:dyDescent="0.25">
      <c r="A62" s="25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29"/>
        <v>0</v>
      </c>
      <c r="G62" s="2"/>
      <c r="H62" s="6"/>
      <c r="I62" s="2"/>
      <c r="J62" s="7">
        <f t="shared" si="30"/>
        <v>0</v>
      </c>
      <c r="K62" s="2"/>
      <c r="L62" s="6">
        <f t="shared" si="31"/>
        <v>0</v>
      </c>
      <c r="M62" s="2"/>
      <c r="N62" s="7">
        <f t="shared" si="32"/>
        <v>0</v>
      </c>
      <c r="O62" s="11"/>
      <c r="P62" s="6"/>
      <c r="Q62" s="2"/>
      <c r="R62" s="7">
        <f t="shared" si="33"/>
        <v>0</v>
      </c>
      <c r="S62" s="2"/>
      <c r="T62" s="6">
        <v>151.78</v>
      </c>
      <c r="U62" s="2"/>
      <c r="V62" s="7">
        <f t="shared" si="34"/>
        <v>6.9645737626941218E-5</v>
      </c>
      <c r="W62" s="2"/>
      <c r="X62" s="6">
        <f t="shared" si="35"/>
        <v>-151.78</v>
      </c>
      <c r="Y62" s="2"/>
      <c r="Z62" s="7">
        <f t="shared" si="36"/>
        <v>-1</v>
      </c>
    </row>
    <row r="63" spans="1:26" s="26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4494.99</v>
      </c>
      <c r="E63" s="1"/>
      <c r="F63" s="5">
        <f t="shared" ref="F63:F66" si="37">IF(D$12=0,0,D63/D$12)</f>
        <v>0</v>
      </c>
      <c r="G63" s="1"/>
      <c r="H63" s="1">
        <f>SUM(OSRRefH22_12x_0)</f>
        <v>5832.6900000000005</v>
      </c>
      <c r="I63" s="1"/>
      <c r="J63" s="5">
        <f t="shared" ref="J63:J66" si="38">IF(H$12=0,0,H63/H$12)</f>
        <v>1.2740462526305223E-2</v>
      </c>
      <c r="K63" s="1"/>
      <c r="L63" s="1">
        <f t="shared" ref="L63:L66" si="39">+D63-H63</f>
        <v>-1337.7000000000007</v>
      </c>
      <c r="M63" s="1"/>
      <c r="N63" s="5">
        <f t="shared" ref="N63:N66" si="40">IF(H63=0,0,L63/H63)</f>
        <v>-0.22934529350951288</v>
      </c>
      <c r="O63" s="13"/>
      <c r="P63" s="1">
        <f>SUM(OSRRefP22_12x_0)</f>
        <v>30121.73</v>
      </c>
      <c r="Q63" s="1"/>
      <c r="R63" s="5">
        <f t="shared" ref="R63:R66" si="41">IF(P$12=0,0,P63/P$12)</f>
        <v>1.2655061818022932</v>
      </c>
      <c r="S63" s="1"/>
      <c r="T63" s="1">
        <f>SUM(OSRRefT22_12x_0)</f>
        <v>32236.32</v>
      </c>
      <c r="U63" s="1"/>
      <c r="V63" s="5">
        <f t="shared" ref="V63:V66" si="42">IF(T$12=0,0,T63/T$12)</f>
        <v>1.4791950749625232E-2</v>
      </c>
      <c r="W63" s="1"/>
      <c r="X63" s="1">
        <f t="shared" ref="X63:X66" si="43">+P63-T63</f>
        <v>-2114.59</v>
      </c>
      <c r="Y63" s="1"/>
      <c r="Z63" s="5">
        <f t="shared" ref="Z63:Z66" si="44">IF(T63=0,0,X63/T63)</f>
        <v>-6.5596507293636502E-2</v>
      </c>
    </row>
    <row r="64" spans="1:26" s="24" customFormat="1" hidden="1" outlineLevel="2" x14ac:dyDescent="0.25">
      <c r="A64" s="25"/>
      <c r="B64" s="11" t="str">
        <f>CONCATENATE("          ", "6282", " - ", "JANITORIAL/EXTERMINATOR EXPENS")</f>
        <v xml:space="preserve">          6282 - JANITORIAL/EXTERMINATOR EXPENS</v>
      </c>
      <c r="C64" s="11"/>
      <c r="D64" s="6">
        <v>130.69999999999999</v>
      </c>
      <c r="E64" s="2"/>
      <c r="F64" s="7">
        <f t="shared" si="37"/>
        <v>0</v>
      </c>
      <c r="G64" s="2"/>
      <c r="H64" s="6">
        <v>417.32</v>
      </c>
      <c r="I64" s="2"/>
      <c r="J64" s="7">
        <f t="shared" si="38"/>
        <v>9.1156050149719854E-4</v>
      </c>
      <c r="K64" s="2"/>
      <c r="L64" s="6">
        <f t="shared" si="39"/>
        <v>-286.62</v>
      </c>
      <c r="M64" s="2"/>
      <c r="N64" s="7">
        <f t="shared" si="40"/>
        <v>-0.68681108022620529</v>
      </c>
      <c r="O64" s="11"/>
      <c r="P64" s="6">
        <v>965.34</v>
      </c>
      <c r="Q64" s="2"/>
      <c r="R64" s="7">
        <f t="shared" si="41"/>
        <v>4.0556891571002923E-2</v>
      </c>
      <c r="S64" s="2"/>
      <c r="T64" s="6">
        <v>2206.6</v>
      </c>
      <c r="U64" s="2"/>
      <c r="V64" s="7">
        <f t="shared" si="42"/>
        <v>1.0125199937251843E-3</v>
      </c>
      <c r="W64" s="2"/>
      <c r="X64" s="6">
        <f t="shared" si="43"/>
        <v>-1241.2599999999998</v>
      </c>
      <c r="Y64" s="2"/>
      <c r="Z64" s="7">
        <f t="shared" si="44"/>
        <v>-0.56252152633010055</v>
      </c>
    </row>
    <row r="65" spans="1:26" s="24" customFormat="1" hidden="1" outlineLevel="2" x14ac:dyDescent="0.25">
      <c r="A65" s="25"/>
      <c r="B65" s="11" t="str">
        <f>CONCATENATE("          ", "6285", " - ", "JANITORIAL SERVICES")</f>
        <v xml:space="preserve">          6285 - JANITORIAL SERVICES</v>
      </c>
      <c r="C65" s="11"/>
      <c r="D65" s="6">
        <v>4157.05</v>
      </c>
      <c r="E65" s="2"/>
      <c r="F65" s="7">
        <f t="shared" si="37"/>
        <v>0</v>
      </c>
      <c r="G65" s="2"/>
      <c r="H65" s="6">
        <v>3882.07</v>
      </c>
      <c r="I65" s="2"/>
      <c r="J65" s="7">
        <f t="shared" si="38"/>
        <v>8.4796838781923452E-3</v>
      </c>
      <c r="K65" s="2"/>
      <c r="L65" s="6">
        <f t="shared" si="39"/>
        <v>274.98</v>
      </c>
      <c r="M65" s="2"/>
      <c r="N65" s="7">
        <f t="shared" si="40"/>
        <v>7.0833344066438778E-2</v>
      </c>
      <c r="O65" s="11"/>
      <c r="P65" s="6">
        <v>24942.3</v>
      </c>
      <c r="Q65" s="2"/>
      <c r="R65" s="7">
        <f t="shared" si="41"/>
        <v>1.0479024557476393</v>
      </c>
      <c r="S65" s="2"/>
      <c r="T65" s="6">
        <v>20667.310000000001</v>
      </c>
      <c r="U65" s="2"/>
      <c r="V65" s="7">
        <f t="shared" si="42"/>
        <v>9.483397349549734E-3</v>
      </c>
      <c r="W65" s="2"/>
      <c r="X65" s="6">
        <f t="shared" si="43"/>
        <v>4274.989999999998</v>
      </c>
      <c r="Y65" s="2"/>
      <c r="Z65" s="7">
        <f t="shared" si="44"/>
        <v>0.20684791586326415</v>
      </c>
    </row>
    <row r="66" spans="1:26" s="24" customFormat="1" hidden="1" outlineLevel="2" x14ac:dyDescent="0.25">
      <c r="A66" s="25"/>
      <c r="B66" s="11" t="str">
        <f>CONCATENATE("          ", "6286", " - ", "LAUNDRY EXPENSE")</f>
        <v xml:space="preserve">          6286 - LAUNDRY EXPENSE</v>
      </c>
      <c r="C66" s="11"/>
      <c r="D66" s="6">
        <v>207.24</v>
      </c>
      <c r="E66" s="2"/>
      <c r="F66" s="7">
        <f t="shared" si="37"/>
        <v>0</v>
      </c>
      <c r="G66" s="2"/>
      <c r="H66" s="6">
        <v>1533.3</v>
      </c>
      <c r="I66" s="2"/>
      <c r="J66" s="7">
        <f t="shared" si="38"/>
        <v>3.3492181466156772E-3</v>
      </c>
      <c r="K66" s="2"/>
      <c r="L66" s="6">
        <f t="shared" si="39"/>
        <v>-1326.06</v>
      </c>
      <c r="M66" s="2"/>
      <c r="N66" s="7">
        <f t="shared" si="40"/>
        <v>-0.86484054001173938</v>
      </c>
      <c r="O66" s="11"/>
      <c r="P66" s="6">
        <v>4214.09</v>
      </c>
      <c r="Q66" s="2"/>
      <c r="R66" s="7">
        <f t="shared" si="41"/>
        <v>0.17704683448365105</v>
      </c>
      <c r="S66" s="2"/>
      <c r="T66" s="6">
        <v>9362.41</v>
      </c>
      <c r="U66" s="2"/>
      <c r="V66" s="7">
        <f t="shared" si="42"/>
        <v>4.296033406350314E-3</v>
      </c>
      <c r="W66" s="2"/>
      <c r="X66" s="6">
        <f t="shared" si="43"/>
        <v>-5148.32</v>
      </c>
      <c r="Y66" s="2"/>
      <c r="Z66" s="7">
        <f t="shared" si="44"/>
        <v>-0.54989260243890192</v>
      </c>
    </row>
    <row r="67" spans="1:26" s="26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0</v>
      </c>
      <c r="E67" s="1"/>
      <c r="F67" s="5">
        <f t="shared" ref="F67:F75" si="45">IF(D$12=0,0,D67/D$12)</f>
        <v>0</v>
      </c>
      <c r="G67" s="1"/>
      <c r="H67" s="1">
        <f>SUM(OSRRefH22_13x_0)</f>
        <v>4459.46</v>
      </c>
      <c r="I67" s="1"/>
      <c r="J67" s="5">
        <f t="shared" ref="J67:J75" si="46">IF(H$12=0,0,H67/H$12)</f>
        <v>9.7408885124285853E-3</v>
      </c>
      <c r="K67" s="1"/>
      <c r="L67" s="1">
        <f t="shared" ref="L67:L75" si="47">+D67-H67</f>
        <v>-4459.46</v>
      </c>
      <c r="M67" s="1"/>
      <c r="N67" s="5">
        <f t="shared" ref="N67:N75" si="48">IF(H67=0,0,L67/H67)</f>
        <v>-1</v>
      </c>
      <c r="O67" s="13"/>
      <c r="P67" s="1">
        <f>SUM(OSRRefP22_13x_0)</f>
        <v>7986.3899999999994</v>
      </c>
      <c r="Q67" s="1"/>
      <c r="R67" s="5">
        <f t="shared" ref="R67:R75" si="49">IF(P$12=0,0,P67/P$12)</f>
        <v>0.33553271725375722</v>
      </c>
      <c r="S67" s="1"/>
      <c r="T67" s="1">
        <f>SUM(OSRRefT22_13x_0)</f>
        <v>35427.099999999991</v>
      </c>
      <c r="U67" s="1"/>
      <c r="V67" s="5">
        <f t="shared" ref="V67:V75" si="50">IF(T$12=0,0,T67/T$12)</f>
        <v>1.6256071363047887E-2</v>
      </c>
      <c r="W67" s="1"/>
      <c r="X67" s="1">
        <f t="shared" ref="X67:X75" si="51">+P67-T67</f>
        <v>-27440.709999999992</v>
      </c>
      <c r="Y67" s="1"/>
      <c r="Z67" s="5">
        <f t="shared" ref="Z67:Z75" si="52">IF(T67=0,0,X67/T67)</f>
        <v>-0.77456833892697963</v>
      </c>
    </row>
    <row r="68" spans="1:26" s="24" customFormat="1" hidden="1" outlineLevel="2" x14ac:dyDescent="0.25">
      <c r="A68" s="25"/>
      <c r="B68" s="11" t="str">
        <f>CONCATENATE("          ", "6235", " - ", "COVID-19 EXPENSES")</f>
        <v xml:space="preserve">          6235 - COVID-19 EXPENSES</v>
      </c>
      <c r="C68" s="11"/>
      <c r="D68" s="6"/>
      <c r="E68" s="2"/>
      <c r="F68" s="7">
        <f t="shared" si="45"/>
        <v>0</v>
      </c>
      <c r="G68" s="2"/>
      <c r="H68" s="6"/>
      <c r="I68" s="2"/>
      <c r="J68" s="7">
        <f t="shared" si="46"/>
        <v>0</v>
      </c>
      <c r="K68" s="2"/>
      <c r="L68" s="6">
        <f t="shared" si="47"/>
        <v>0</v>
      </c>
      <c r="M68" s="2"/>
      <c r="N68" s="7">
        <f t="shared" si="48"/>
        <v>0</v>
      </c>
      <c r="O68" s="11"/>
      <c r="P68" s="6">
        <v>1375.08</v>
      </c>
      <c r="Q68" s="2"/>
      <c r="R68" s="7">
        <f t="shared" si="49"/>
        <v>5.7771324571088627E-2</v>
      </c>
      <c r="S68" s="2"/>
      <c r="T68" s="6"/>
      <c r="U68" s="2"/>
      <c r="V68" s="7">
        <f t="shared" si="50"/>
        <v>0</v>
      </c>
      <c r="W68" s="2"/>
      <c r="X68" s="6">
        <f t="shared" si="51"/>
        <v>1375.08</v>
      </c>
      <c r="Y68" s="2"/>
      <c r="Z68" s="7">
        <f t="shared" si="52"/>
        <v>0</v>
      </c>
    </row>
    <row r="69" spans="1:26" s="24" customFormat="1" hidden="1" outlineLevel="2" x14ac:dyDescent="0.25">
      <c r="A69" s="25"/>
      <c r="B69" s="11" t="str">
        <f>CONCATENATE("          ", "6237", " - ", "JANITORIAL SUPPLIES")</f>
        <v xml:space="preserve">          6237 - JANITORIAL SUPPLIES</v>
      </c>
      <c r="C69" s="11"/>
      <c r="D69" s="6"/>
      <c r="E69" s="2"/>
      <c r="F69" s="7">
        <f t="shared" si="45"/>
        <v>0</v>
      </c>
      <c r="G69" s="2"/>
      <c r="H69" s="6">
        <v>2272.4899999999998</v>
      </c>
      <c r="I69" s="2"/>
      <c r="J69" s="7">
        <f t="shared" si="46"/>
        <v>4.9638457875188545E-3</v>
      </c>
      <c r="K69" s="2"/>
      <c r="L69" s="6">
        <f t="shared" si="47"/>
        <v>-2272.4899999999998</v>
      </c>
      <c r="M69" s="2"/>
      <c r="N69" s="7">
        <f t="shared" si="48"/>
        <v>-1</v>
      </c>
      <c r="O69" s="11"/>
      <c r="P69" s="6">
        <v>2550.9899999999998</v>
      </c>
      <c r="Q69" s="2"/>
      <c r="R69" s="7">
        <f t="shared" si="49"/>
        <v>0.10717490710911465</v>
      </c>
      <c r="S69" s="2"/>
      <c r="T69" s="6">
        <v>15874.569999999998</v>
      </c>
      <c r="U69" s="2"/>
      <c r="V69" s="7">
        <f t="shared" si="50"/>
        <v>7.2842017206516804E-3</v>
      </c>
      <c r="W69" s="2"/>
      <c r="X69" s="6">
        <f t="shared" si="51"/>
        <v>-13323.579999999998</v>
      </c>
      <c r="Y69" s="2"/>
      <c r="Z69" s="7">
        <f t="shared" si="52"/>
        <v>-0.83930336380764958</v>
      </c>
    </row>
    <row r="70" spans="1:26" s="24" customFormat="1" hidden="1" outlineLevel="2" x14ac:dyDescent="0.25">
      <c r="A70" s="25"/>
      <c r="B70" s="11" t="str">
        <f>CONCATENATE("          ", "6239", " - ", "KITCHEN SUPPLIES")</f>
        <v xml:space="preserve">          6239 - KITCHEN SUPPLIES</v>
      </c>
      <c r="C70" s="11"/>
      <c r="D70" s="6"/>
      <c r="E70" s="2"/>
      <c r="F70" s="7">
        <f t="shared" si="45"/>
        <v>0</v>
      </c>
      <c r="G70" s="2"/>
      <c r="H70" s="6">
        <v>313.44</v>
      </c>
      <c r="I70" s="2"/>
      <c r="J70" s="7">
        <f t="shared" si="46"/>
        <v>6.8465332020819017E-4</v>
      </c>
      <c r="K70" s="2"/>
      <c r="L70" s="6">
        <f t="shared" si="47"/>
        <v>-313.44</v>
      </c>
      <c r="M70" s="2"/>
      <c r="N70" s="7">
        <f t="shared" si="48"/>
        <v>-1</v>
      </c>
      <c r="O70" s="11"/>
      <c r="P70" s="6">
        <v>1031.07</v>
      </c>
      <c r="Q70" s="2"/>
      <c r="R70" s="7">
        <f t="shared" si="49"/>
        <v>4.3318410292864672E-2</v>
      </c>
      <c r="S70" s="2"/>
      <c r="T70" s="6">
        <v>3119.09</v>
      </c>
      <c r="U70" s="2"/>
      <c r="V70" s="7">
        <f t="shared" si="50"/>
        <v>1.4312249556912378E-3</v>
      </c>
      <c r="W70" s="2"/>
      <c r="X70" s="6">
        <f t="shared" si="51"/>
        <v>-2088.0200000000004</v>
      </c>
      <c r="Y70" s="2"/>
      <c r="Z70" s="7">
        <f t="shared" si="52"/>
        <v>-0.66943243061277502</v>
      </c>
    </row>
    <row r="71" spans="1:26" s="24" customFormat="1" hidden="1" outlineLevel="2" x14ac:dyDescent="0.25">
      <c r="A71" s="25"/>
      <c r="B71" s="11" t="str">
        <f>CONCATENATE("          ", "6241", " - ", "OFFICE EXPENSE")</f>
        <v xml:space="preserve">          6241 - OFFICE EXPENSE</v>
      </c>
      <c r="C71" s="11"/>
      <c r="D71" s="6"/>
      <c r="E71" s="2"/>
      <c r="F71" s="7">
        <f t="shared" si="45"/>
        <v>0</v>
      </c>
      <c r="G71" s="2"/>
      <c r="H71" s="6">
        <v>188.1</v>
      </c>
      <c r="I71" s="2"/>
      <c r="J71" s="7">
        <f t="shared" si="46"/>
        <v>4.1087062765173736E-4</v>
      </c>
      <c r="K71" s="2"/>
      <c r="L71" s="6">
        <f t="shared" si="47"/>
        <v>-188.1</v>
      </c>
      <c r="M71" s="2"/>
      <c r="N71" s="7">
        <f t="shared" si="48"/>
        <v>-1</v>
      </c>
      <c r="O71" s="11"/>
      <c r="P71" s="6">
        <v>19.7</v>
      </c>
      <c r="Q71" s="2"/>
      <c r="R71" s="7">
        <f t="shared" si="49"/>
        <v>8.2765736833525757E-4</v>
      </c>
      <c r="S71" s="2"/>
      <c r="T71" s="6">
        <v>1339.6</v>
      </c>
      <c r="U71" s="2"/>
      <c r="V71" s="7">
        <f t="shared" si="50"/>
        <v>6.146885632168299E-4</v>
      </c>
      <c r="W71" s="2"/>
      <c r="X71" s="6">
        <f t="shared" si="51"/>
        <v>-1319.8999999999999</v>
      </c>
      <c r="Y71" s="2"/>
      <c r="Z71" s="7">
        <f t="shared" si="52"/>
        <v>-0.98529411764705876</v>
      </c>
    </row>
    <row r="72" spans="1:26" s="24" customFormat="1" hidden="1" outlineLevel="2" x14ac:dyDescent="0.25">
      <c r="A72" s="25"/>
      <c r="B72" s="11" t="str">
        <f>CONCATENATE("          ", "6243", " - ", "PAPER SUPPLIES")</f>
        <v xml:space="preserve">          6243 - PAPER SUPPLIES</v>
      </c>
      <c r="C72" s="11"/>
      <c r="D72" s="6"/>
      <c r="E72" s="2"/>
      <c r="F72" s="7">
        <f t="shared" si="45"/>
        <v>0</v>
      </c>
      <c r="G72" s="2"/>
      <c r="H72" s="6">
        <v>1602.93</v>
      </c>
      <c r="I72" s="2"/>
      <c r="J72" s="7">
        <f t="shared" si="46"/>
        <v>3.5013123614130752E-3</v>
      </c>
      <c r="K72" s="2"/>
      <c r="L72" s="6">
        <f t="shared" si="47"/>
        <v>-1602.93</v>
      </c>
      <c r="M72" s="2"/>
      <c r="N72" s="7">
        <f t="shared" si="48"/>
        <v>-1</v>
      </c>
      <c r="O72" s="11"/>
      <c r="P72" s="6">
        <v>3009.55</v>
      </c>
      <c r="Q72" s="2"/>
      <c r="R72" s="7">
        <f t="shared" si="49"/>
        <v>0.12644041791235403</v>
      </c>
      <c r="S72" s="2"/>
      <c r="T72" s="6">
        <v>13347.92</v>
      </c>
      <c r="U72" s="2"/>
      <c r="V72" s="7">
        <f t="shared" si="50"/>
        <v>6.1248236538766713E-3</v>
      </c>
      <c r="W72" s="2"/>
      <c r="X72" s="6">
        <f t="shared" si="51"/>
        <v>-10338.369999999999</v>
      </c>
      <c r="Y72" s="2"/>
      <c r="Z72" s="7">
        <f t="shared" si="52"/>
        <v>-0.77453041372738218</v>
      </c>
    </row>
    <row r="73" spans="1:26" s="24" customFormat="1" hidden="1" outlineLevel="2" x14ac:dyDescent="0.25">
      <c r="A73" s="25"/>
      <c r="B73" s="11" t="str">
        <f>CONCATENATE("          ", "6245", " - ", "PRINTING")</f>
        <v xml:space="preserve">          6245 - PRINTING</v>
      </c>
      <c r="C73" s="11"/>
      <c r="D73" s="6"/>
      <c r="E73" s="2"/>
      <c r="F73" s="7">
        <f t="shared" si="45"/>
        <v>0</v>
      </c>
      <c r="G73" s="2"/>
      <c r="H73" s="6"/>
      <c r="I73" s="2"/>
      <c r="J73" s="7">
        <f t="shared" si="46"/>
        <v>0</v>
      </c>
      <c r="K73" s="2"/>
      <c r="L73" s="6">
        <f t="shared" si="47"/>
        <v>0</v>
      </c>
      <c r="M73" s="2"/>
      <c r="N73" s="7">
        <f t="shared" si="48"/>
        <v>0</v>
      </c>
      <c r="O73" s="11"/>
      <c r="P73" s="6"/>
      <c r="Q73" s="2"/>
      <c r="R73" s="7">
        <f t="shared" si="49"/>
        <v>0</v>
      </c>
      <c r="S73" s="2"/>
      <c r="T73" s="6">
        <v>441</v>
      </c>
      <c r="U73" s="2"/>
      <c r="V73" s="7">
        <f t="shared" si="50"/>
        <v>2.0235716361497613E-4</v>
      </c>
      <c r="W73" s="2"/>
      <c r="X73" s="6">
        <f t="shared" si="51"/>
        <v>-441</v>
      </c>
      <c r="Y73" s="2"/>
      <c r="Z73" s="7">
        <f t="shared" si="52"/>
        <v>-1</v>
      </c>
    </row>
    <row r="74" spans="1:26" s="24" customFormat="1" hidden="1" outlineLevel="2" x14ac:dyDescent="0.25">
      <c r="A74" s="25"/>
      <c r="B74" s="11" t="str">
        <f>CONCATENATE("          ", "6247", " - ", "STORE SUPPLIES")</f>
        <v xml:space="preserve">          6247 - STORE SUPPLIES</v>
      </c>
      <c r="C74" s="11"/>
      <c r="D74" s="6"/>
      <c r="E74" s="2"/>
      <c r="F74" s="7">
        <f t="shared" si="45"/>
        <v>0</v>
      </c>
      <c r="G74" s="2"/>
      <c r="H74" s="6">
        <v>82.5</v>
      </c>
      <c r="I74" s="2"/>
      <c r="J74" s="7">
        <f t="shared" si="46"/>
        <v>1.8020641563672692E-4</v>
      </c>
      <c r="K74" s="2"/>
      <c r="L74" s="6">
        <f t="shared" si="47"/>
        <v>-82.5</v>
      </c>
      <c r="M74" s="2"/>
      <c r="N74" s="7">
        <f t="shared" si="48"/>
        <v>-1</v>
      </c>
      <c r="O74" s="11"/>
      <c r="P74" s="6"/>
      <c r="Q74" s="2"/>
      <c r="R74" s="7">
        <f t="shared" si="49"/>
        <v>0</v>
      </c>
      <c r="S74" s="2"/>
      <c r="T74" s="6">
        <v>82.5</v>
      </c>
      <c r="U74" s="2"/>
      <c r="V74" s="7">
        <f t="shared" si="50"/>
        <v>3.7855931968788048E-5</v>
      </c>
      <c r="W74" s="2"/>
      <c r="X74" s="6">
        <f t="shared" si="51"/>
        <v>-82.5</v>
      </c>
      <c r="Y74" s="2"/>
      <c r="Z74" s="7">
        <f t="shared" si="52"/>
        <v>-1</v>
      </c>
    </row>
    <row r="75" spans="1:26" s="24" customFormat="1" hidden="1" outlineLevel="2" x14ac:dyDescent="0.25">
      <c r="A75" s="25"/>
      <c r="B75" s="11" t="str">
        <f>CONCATENATE("          ", "6248", " - ", "UNIFORMS")</f>
        <v xml:space="preserve">          6248 - UNIFORMS</v>
      </c>
      <c r="C75" s="11"/>
      <c r="D75" s="6"/>
      <c r="E75" s="2"/>
      <c r="F75" s="7">
        <f t="shared" si="45"/>
        <v>0</v>
      </c>
      <c r="G75" s="2"/>
      <c r="H75" s="6"/>
      <c r="I75" s="2"/>
      <c r="J75" s="7">
        <f t="shared" si="46"/>
        <v>0</v>
      </c>
      <c r="K75" s="2"/>
      <c r="L75" s="6">
        <f t="shared" si="47"/>
        <v>0</v>
      </c>
      <c r="M75" s="2"/>
      <c r="N75" s="7">
        <f t="shared" si="48"/>
        <v>0</v>
      </c>
      <c r="O75" s="11"/>
      <c r="P75" s="6"/>
      <c r="Q75" s="2"/>
      <c r="R75" s="7">
        <f t="shared" si="49"/>
        <v>0</v>
      </c>
      <c r="S75" s="2"/>
      <c r="T75" s="6">
        <v>1222.42</v>
      </c>
      <c r="U75" s="2"/>
      <c r="V75" s="7">
        <f t="shared" si="50"/>
        <v>5.6091937402770779E-4</v>
      </c>
      <c r="W75" s="2"/>
      <c r="X75" s="6">
        <f t="shared" si="51"/>
        <v>-1222.42</v>
      </c>
      <c r="Y75" s="2"/>
      <c r="Z75" s="7">
        <f t="shared" si="52"/>
        <v>-1</v>
      </c>
    </row>
    <row r="76" spans="1:26" s="26" customFormat="1" outlineLevel="1" collapsed="1" x14ac:dyDescent="0.25">
      <c r="A76" s="27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SUM(OSRRefD22_14x_0)</f>
        <v>139</v>
      </c>
      <c r="E76" s="1"/>
      <c r="F76" s="5">
        <f t="shared" ref="F76:F81" si="53">IF(D$12=0,0,D76/D$12)</f>
        <v>0</v>
      </c>
      <c r="G76" s="1"/>
      <c r="H76" s="1">
        <f>SUM(OSRRefH22_14x_0)</f>
        <v>189.55</v>
      </c>
      <c r="I76" s="1"/>
      <c r="J76" s="5">
        <f t="shared" ref="J76:J81" si="54">IF(H$12=0,0,H76/H$12)</f>
        <v>4.1403789192656474E-4</v>
      </c>
      <c r="K76" s="1"/>
      <c r="L76" s="1">
        <f t="shared" ref="L76:L81" si="55">+D76-H76</f>
        <v>-50.550000000000011</v>
      </c>
      <c r="M76" s="1"/>
      <c r="N76" s="5">
        <f t="shared" ref="N76:N81" si="56">IF(H76=0,0,L76/H76)</f>
        <v>-0.26668425217620684</v>
      </c>
      <c r="O76" s="13"/>
      <c r="P76" s="1">
        <f>SUM(OSRRefP22_14x_0)</f>
        <v>781</v>
      </c>
      <c r="Q76" s="1"/>
      <c r="R76" s="5">
        <f t="shared" ref="R76:R81" si="57">IF(P$12=0,0,P76/P$12)</f>
        <v>3.2812203282732801E-2</v>
      </c>
      <c r="S76" s="1"/>
      <c r="T76" s="1">
        <f>SUM(OSRRefT22_14x_0)</f>
        <v>933.95</v>
      </c>
      <c r="U76" s="1"/>
      <c r="V76" s="5">
        <f t="shared" ref="V76:V81" si="58">IF(T$12=0,0,T76/T$12)</f>
        <v>4.2855209287575273E-4</v>
      </c>
      <c r="W76" s="1"/>
      <c r="X76" s="1">
        <f t="shared" ref="X76:X81" si="59">+P76-T76</f>
        <v>-152.95000000000005</v>
      </c>
      <c r="Y76" s="1"/>
      <c r="Z76" s="5">
        <f t="shared" ref="Z76:Z81" si="60">IF(T76=0,0,X76/T76)</f>
        <v>-0.1637667969377376</v>
      </c>
    </row>
    <row r="77" spans="1:26" s="24" customFormat="1" hidden="1" outlineLevel="2" x14ac:dyDescent="0.25">
      <c r="A77" s="25"/>
      <c r="B77" s="11" t="str">
        <f>CONCATENATE("          ", "6309", " - ", "TELEPHONE")</f>
        <v xml:space="preserve">          6309 - TELEPHONE</v>
      </c>
      <c r="C77" s="11"/>
      <c r="D77" s="6">
        <v>139</v>
      </c>
      <c r="E77" s="2"/>
      <c r="F77" s="7">
        <f t="shared" si="53"/>
        <v>0</v>
      </c>
      <c r="G77" s="2"/>
      <c r="H77" s="6">
        <v>189.55</v>
      </c>
      <c r="I77" s="2"/>
      <c r="J77" s="7">
        <f t="shared" si="54"/>
        <v>4.1403789192656474E-4</v>
      </c>
      <c r="K77" s="2"/>
      <c r="L77" s="6">
        <f t="shared" si="55"/>
        <v>-50.550000000000011</v>
      </c>
      <c r="M77" s="2"/>
      <c r="N77" s="7">
        <f t="shared" si="56"/>
        <v>-0.26668425217620684</v>
      </c>
      <c r="O77" s="11"/>
      <c r="P77" s="6">
        <v>781</v>
      </c>
      <c r="Q77" s="2"/>
      <c r="R77" s="7">
        <f t="shared" si="57"/>
        <v>3.2812203282732801E-2</v>
      </c>
      <c r="S77" s="2"/>
      <c r="T77" s="6">
        <v>933.95</v>
      </c>
      <c r="U77" s="2"/>
      <c r="V77" s="7">
        <f t="shared" si="58"/>
        <v>4.2855209287575273E-4</v>
      </c>
      <c r="W77" s="2"/>
      <c r="X77" s="6">
        <f t="shared" si="59"/>
        <v>-152.95000000000005</v>
      </c>
      <c r="Y77" s="2"/>
      <c r="Z77" s="7">
        <f t="shared" si="60"/>
        <v>-0.1637667969377376</v>
      </c>
    </row>
    <row r="78" spans="1:26" s="26" customFormat="1" outlineLevel="1" collapsed="1" x14ac:dyDescent="0.25">
      <c r="A78" s="27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SUM(OSRRefD22_15x_0)</f>
        <v>0</v>
      </c>
      <c r="E78" s="1"/>
      <c r="F78" s="5">
        <f t="shared" si="53"/>
        <v>0</v>
      </c>
      <c r="G78" s="1"/>
      <c r="H78" s="1">
        <f>SUM(OSRRefH22_15x_0)</f>
        <v>0</v>
      </c>
      <c r="I78" s="1"/>
      <c r="J78" s="5">
        <f t="shared" si="54"/>
        <v>0</v>
      </c>
      <c r="K78" s="1"/>
      <c r="L78" s="1">
        <f t="shared" si="55"/>
        <v>0</v>
      </c>
      <c r="M78" s="1"/>
      <c r="N78" s="5">
        <f t="shared" si="56"/>
        <v>0</v>
      </c>
      <c r="O78" s="13"/>
      <c r="P78" s="1">
        <f>SUM(OSRRefP22_15x_0)</f>
        <v>0</v>
      </c>
      <c r="Q78" s="1"/>
      <c r="R78" s="5">
        <f t="shared" si="57"/>
        <v>0</v>
      </c>
      <c r="S78" s="1"/>
      <c r="T78" s="1">
        <f>SUM(OSRRefT22_15x_0)</f>
        <v>617.37</v>
      </c>
      <c r="U78" s="1"/>
      <c r="V78" s="5">
        <f t="shared" si="58"/>
        <v>2.8328626326752339E-4</v>
      </c>
      <c r="W78" s="1"/>
      <c r="X78" s="1">
        <f t="shared" si="59"/>
        <v>-617.37</v>
      </c>
      <c r="Y78" s="1"/>
      <c r="Z78" s="5">
        <f t="shared" si="60"/>
        <v>-1</v>
      </c>
    </row>
    <row r="79" spans="1:26" s="24" customFormat="1" hidden="1" outlineLevel="2" x14ac:dyDescent="0.25">
      <c r="A79" s="25"/>
      <c r="B79" s="11" t="str">
        <f>CONCATENATE("          ", "6376", " - ", "TRAINING")</f>
        <v xml:space="preserve">          6376 - TRAINING</v>
      </c>
      <c r="C79" s="11"/>
      <c r="D79" s="6"/>
      <c r="E79" s="2"/>
      <c r="F79" s="7">
        <f t="shared" si="53"/>
        <v>0</v>
      </c>
      <c r="G79" s="2"/>
      <c r="H79" s="6"/>
      <c r="I79" s="2"/>
      <c r="J79" s="7">
        <f t="shared" si="54"/>
        <v>0</v>
      </c>
      <c r="K79" s="2"/>
      <c r="L79" s="6">
        <f t="shared" si="55"/>
        <v>0</v>
      </c>
      <c r="M79" s="2"/>
      <c r="N79" s="7">
        <f t="shared" si="56"/>
        <v>0</v>
      </c>
      <c r="O79" s="11"/>
      <c r="P79" s="6"/>
      <c r="Q79" s="2"/>
      <c r="R79" s="7">
        <f t="shared" si="57"/>
        <v>0</v>
      </c>
      <c r="S79" s="2"/>
      <c r="T79" s="6">
        <v>617.37</v>
      </c>
      <c r="U79" s="2"/>
      <c r="V79" s="7">
        <f t="shared" si="58"/>
        <v>2.8328626326752339E-4</v>
      </c>
      <c r="W79" s="2"/>
      <c r="X79" s="6">
        <f t="shared" si="59"/>
        <v>-617.37</v>
      </c>
      <c r="Y79" s="2"/>
      <c r="Z79" s="7">
        <f t="shared" si="60"/>
        <v>-1</v>
      </c>
    </row>
    <row r="80" spans="1:26" s="26" customFormat="1" outlineLevel="1" collapsed="1" x14ac:dyDescent="0.25">
      <c r="A80" s="27"/>
      <c r="B80" s="13" t="str">
        <f>CONCATENATE("     ","Travel                                            ")</f>
        <v xml:space="preserve">     Travel                                            </v>
      </c>
      <c r="C80" s="13"/>
      <c r="D80" s="1">
        <f>SUM(OSRRefD22_16x_0)</f>
        <v>0</v>
      </c>
      <c r="E80" s="1"/>
      <c r="F80" s="5">
        <f t="shared" si="53"/>
        <v>0</v>
      </c>
      <c r="G80" s="1"/>
      <c r="H80" s="1">
        <f>SUM(OSRRefH22_16x_0)</f>
        <v>0</v>
      </c>
      <c r="I80" s="1"/>
      <c r="J80" s="5">
        <f t="shared" si="54"/>
        <v>0</v>
      </c>
      <c r="K80" s="1"/>
      <c r="L80" s="1">
        <f t="shared" si="55"/>
        <v>0</v>
      </c>
      <c r="M80" s="1"/>
      <c r="N80" s="5">
        <f t="shared" si="56"/>
        <v>0</v>
      </c>
      <c r="O80" s="13"/>
      <c r="P80" s="1">
        <f>SUM(OSRRefP22_16x_0)</f>
        <v>0</v>
      </c>
      <c r="Q80" s="1"/>
      <c r="R80" s="5">
        <f t="shared" si="57"/>
        <v>0</v>
      </c>
      <c r="S80" s="1"/>
      <c r="T80" s="1">
        <f>SUM(OSRRefT22_16x_0)</f>
        <v>1429.86</v>
      </c>
      <c r="U80" s="1"/>
      <c r="V80" s="5">
        <f t="shared" si="58"/>
        <v>6.5610524708959123E-4</v>
      </c>
      <c r="W80" s="1"/>
      <c r="X80" s="1">
        <f t="shared" si="59"/>
        <v>-1429.86</v>
      </c>
      <c r="Y80" s="1"/>
      <c r="Z80" s="5">
        <f t="shared" si="60"/>
        <v>-1</v>
      </c>
    </row>
    <row r="81" spans="1:26" s="24" customFormat="1" hidden="1" outlineLevel="2" x14ac:dyDescent="0.25">
      <c r="A81" s="25"/>
      <c r="B81" s="11" t="str">
        <f>CONCATENATE("          ", "6292", " - ", "TRAVEL/CONFERENCE")</f>
        <v xml:space="preserve">          6292 - TRAVEL/CONFERENCE</v>
      </c>
      <c r="C81" s="11"/>
      <c r="D81" s="6"/>
      <c r="E81" s="2"/>
      <c r="F81" s="7">
        <f t="shared" si="53"/>
        <v>0</v>
      </c>
      <c r="G81" s="2"/>
      <c r="H81" s="6"/>
      <c r="I81" s="2"/>
      <c r="J81" s="7">
        <f t="shared" si="54"/>
        <v>0</v>
      </c>
      <c r="K81" s="2"/>
      <c r="L81" s="6">
        <f t="shared" si="55"/>
        <v>0</v>
      </c>
      <c r="M81" s="2"/>
      <c r="N81" s="7">
        <f t="shared" si="56"/>
        <v>0</v>
      </c>
      <c r="O81" s="11"/>
      <c r="P81" s="6"/>
      <c r="Q81" s="2"/>
      <c r="R81" s="7">
        <f t="shared" si="57"/>
        <v>0</v>
      </c>
      <c r="S81" s="2"/>
      <c r="T81" s="6">
        <v>1429.86</v>
      </c>
      <c r="U81" s="2"/>
      <c r="V81" s="7">
        <f t="shared" si="58"/>
        <v>6.5610524708959123E-4</v>
      </c>
      <c r="W81" s="2"/>
      <c r="X81" s="6">
        <f t="shared" si="59"/>
        <v>-1429.86</v>
      </c>
      <c r="Y81" s="2"/>
      <c r="Z81" s="7">
        <f t="shared" si="60"/>
        <v>-1</v>
      </c>
    </row>
    <row r="82" spans="1:26" s="53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9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8" t="s">
        <v>3</v>
      </c>
      <c r="C85" s="28"/>
      <c r="D85" s="20">
        <f>+D21-D23+D83</f>
        <v>-49295.869999999995</v>
      </c>
      <c r="E85" s="14"/>
      <c r="F85" s="22">
        <f>IF(D$12=0,0,D85/D$12)</f>
        <v>0</v>
      </c>
      <c r="G85" s="14"/>
      <c r="H85" s="20">
        <f>+H21-H23+H83</f>
        <v>170767.87000000005</v>
      </c>
      <c r="I85" s="14"/>
      <c r="J85" s="22">
        <f>IF(H$12=0,0,H85/H$12)</f>
        <v>0.37301170616507345</v>
      </c>
      <c r="K85" s="15"/>
      <c r="L85" s="20">
        <f>+D85-H85</f>
        <v>-220063.74000000005</v>
      </c>
      <c r="M85" s="15"/>
      <c r="N85" s="22">
        <f>IF(H85=0,0,L85/H85)</f>
        <v>-1.2886718092812188</v>
      </c>
      <c r="O85" s="29"/>
      <c r="P85" s="20">
        <f>+P21-P23+P83</f>
        <v>-272122.95999999996</v>
      </c>
      <c r="Q85" s="14"/>
      <c r="R85" s="22">
        <f>IF(P$12=0,0,P85/P$12)</f>
        <v>-11.432719438436575</v>
      </c>
      <c r="S85" s="14"/>
      <c r="T85" s="20">
        <f>+T21-T23+T83</f>
        <v>792363.12999999954</v>
      </c>
      <c r="U85" s="14"/>
      <c r="V85" s="22">
        <f>IF(T$12=0,0,T85/T$12)</f>
        <v>0.36358357265279934</v>
      </c>
      <c r="W85" s="15"/>
      <c r="X85" s="20">
        <f>+P85-T85</f>
        <v>-1064486.0899999994</v>
      </c>
      <c r="Y85" s="15"/>
      <c r="Z85" s="22">
        <f>IF(T85=0,0,X85/T85)</f>
        <v>-1.3434321331937795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-1373.89</v>
      </c>
      <c r="E87" s="4"/>
      <c r="F87" s="12">
        <f>IF(D$12=0,0,D87/D$12)</f>
        <v>0</v>
      </c>
      <c r="G87" s="4"/>
      <c r="H87" s="4">
        <v>57483.46</v>
      </c>
      <c r="I87" s="4"/>
      <c r="J87" s="12">
        <f>IF(H$12=0,0,H87/H$12)</f>
        <v>0.12556228224238988</v>
      </c>
      <c r="K87" s="4"/>
      <c r="L87" s="4">
        <f>+D87-H87</f>
        <v>-58857.35</v>
      </c>
      <c r="M87" s="4"/>
      <c r="N87" s="12">
        <f>IF(H87=0,0,L87/H87)</f>
        <v>-1.0239006141940656</v>
      </c>
      <c r="O87" s="10"/>
      <c r="P87" s="4">
        <v>3782.16</v>
      </c>
      <c r="Q87" s="4"/>
      <c r="R87" s="12">
        <f>IF(P$12=0,0,P87/P$12)</f>
        <v>0.15890013158491764</v>
      </c>
      <c r="S87" s="4"/>
      <c r="T87" s="4">
        <v>230774.71</v>
      </c>
      <c r="U87" s="4"/>
      <c r="V87" s="12">
        <f>IF(T$12=0,0,T87/T$12)</f>
        <v>0.10589323299244595</v>
      </c>
      <c r="W87" s="4"/>
      <c r="X87" s="4">
        <f>+P87-T87</f>
        <v>-226992.55</v>
      </c>
      <c r="Y87" s="4"/>
      <c r="Z87" s="12">
        <f>IF(T87=0,0,X87/T87)</f>
        <v>-0.98361102912879839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4</v>
      </c>
      <c r="C89" s="28"/>
      <c r="D89" s="31">
        <f>+D85-D87</f>
        <v>-47921.979999999996</v>
      </c>
      <c r="E89" s="14"/>
      <c r="F89" s="34">
        <f>IF(D$12=0,0,D89/D$12)</f>
        <v>0</v>
      </c>
      <c r="G89" s="14"/>
      <c r="H89" s="31">
        <f>+H85-H87</f>
        <v>113284.41000000006</v>
      </c>
      <c r="I89" s="14"/>
      <c r="J89" s="34">
        <f>IF(H$12=0,0,H89/H$12)</f>
        <v>0.24744942392268357</v>
      </c>
      <c r="K89" s="15"/>
      <c r="L89" s="31">
        <f>D89-H89</f>
        <v>-161206.39000000007</v>
      </c>
      <c r="M89" s="15"/>
      <c r="N89" s="34">
        <f>IF(H89=0,0,L89/H89)</f>
        <v>-1.4230236093386546</v>
      </c>
      <c r="O89" s="29"/>
      <c r="P89" s="31">
        <f>+P85-P87</f>
        <v>-275905.11999999994</v>
      </c>
      <c r="Q89" s="14"/>
      <c r="R89" s="34">
        <f>IF(P$12=0,0,P89/P$12)</f>
        <v>-11.591619570021491</v>
      </c>
      <c r="S89" s="14"/>
      <c r="T89" s="31">
        <f>+T85-T87</f>
        <v>561588.41999999958</v>
      </c>
      <c r="U89" s="14"/>
      <c r="V89" s="34">
        <f>IF(T$12=0,0,T89/T$12)</f>
        <v>0.25769033966035337</v>
      </c>
      <c r="W89" s="15"/>
      <c r="X89" s="31">
        <f>P89-T89</f>
        <v>-837493.53999999957</v>
      </c>
      <c r="Y89" s="15"/>
      <c r="Z89" s="34">
        <f>IF(T89=0,0,X89/T89)</f>
        <v>-1.4912941759019893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8" t="s">
        <v>5</v>
      </c>
      <c r="C92" s="28"/>
      <c r="D92" s="32">
        <f>SUM(D89:D91)</f>
        <v>-47921.979999999996</v>
      </c>
      <c r="E92" s="14"/>
      <c r="F92" s="30">
        <f>IF(D$12=0,0,D92/D$12)</f>
        <v>0</v>
      </c>
      <c r="G92" s="14"/>
      <c r="H92" s="32">
        <f>SUM(H89:H91)</f>
        <v>113284.41000000006</v>
      </c>
      <c r="I92" s="14"/>
      <c r="J92" s="30">
        <f>IF(H$12=0,0,H92/H$12)</f>
        <v>0.24744942392268357</v>
      </c>
      <c r="K92" s="15"/>
      <c r="L92" s="32">
        <f>+D92-H92</f>
        <v>-161206.39000000007</v>
      </c>
      <c r="M92" s="15"/>
      <c r="N92" s="30">
        <f>IF(H92=0,0,L92/H92)</f>
        <v>-1.4230236093386546</v>
      </c>
      <c r="O92" s="29"/>
      <c r="P92" s="32">
        <f>SUM(P89:P91)</f>
        <v>-275905.11999999994</v>
      </c>
      <c r="Q92" s="14"/>
      <c r="R92" s="30">
        <f>IF(P$12=0,0,P92/P$12)</f>
        <v>-11.591619570021491</v>
      </c>
      <c r="S92" s="14"/>
      <c r="T92" s="32">
        <f>SUM(T89:T91)</f>
        <v>561588.41999999958</v>
      </c>
      <c r="U92" s="14"/>
      <c r="V92" s="30">
        <f>IF(T$12=0,0,T92/T$12)</f>
        <v>0.25769033966035337</v>
      </c>
      <c r="W92" s="15"/>
      <c r="X92" s="32">
        <f>+P92-T92</f>
        <v>-837493.53999999957</v>
      </c>
      <c r="Y92" s="15"/>
      <c r="Z92" s="30">
        <f>IF(T92=0,0,X92/T92)</f>
        <v>-1.4912941759019893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54">
        <v>44174.686204166668</v>
      </c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56" t="s">
        <v>313</v>
      </c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61"/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4:24" x14ac:dyDescent="0.25"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","435", " - ", "Ground Floor Coffee House")</f>
        <v>Department 435 - Ground Floor Coffee House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1041.48</v>
      </c>
      <c r="I12" s="4"/>
      <c r="J12" s="12"/>
      <c r="K12" s="4"/>
      <c r="L12" s="4">
        <f t="shared" ref="L12:L15" si="0">+D12-H12</f>
        <v>-1041.48</v>
      </c>
      <c r="M12" s="4"/>
      <c r="N12" s="12">
        <f t="shared" ref="N12:N15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4307.3599999999997</v>
      </c>
      <c r="U12" s="4"/>
      <c r="V12" s="12"/>
      <c r="W12" s="4"/>
      <c r="X12" s="4">
        <f t="shared" ref="X12:X15" si="2">+P12-T12</f>
        <v>-4307.3599999999997</v>
      </c>
      <c r="Y12" s="4"/>
      <c r="Z12" s="12">
        <f t="shared" ref="Z12:Z15" si="3">IF(T12=0,0,X12/T12)</f>
        <v>-1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5" si="4">0</f>
        <v>0</v>
      </c>
      <c r="E13" s="2"/>
      <c r="F13" s="19"/>
      <c r="G13" s="2"/>
      <c r="H13" s="2">
        <f>--152.78</f>
        <v>152.78</v>
      </c>
      <c r="I13" s="2"/>
      <c r="J13" s="19"/>
      <c r="K13" s="2"/>
      <c r="L13" s="2">
        <f t="shared" si="0"/>
        <v>-152.78</v>
      </c>
      <c r="M13" s="2"/>
      <c r="N13" s="19">
        <f t="shared" si="1"/>
        <v>-1</v>
      </c>
      <c r="O13" s="11"/>
      <c r="P13" s="2">
        <f t="shared" ref="P13:P15" si="5">0</f>
        <v>0</v>
      </c>
      <c r="Q13" s="2"/>
      <c r="R13" s="19"/>
      <c r="S13" s="2"/>
      <c r="T13" s="2">
        <f>--803.92</f>
        <v>803.92</v>
      </c>
      <c r="U13" s="2"/>
      <c r="V13" s="19"/>
      <c r="W13" s="2"/>
      <c r="X13" s="2">
        <f t="shared" si="2"/>
        <v>-803.92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>
        <f>--471.63</f>
        <v>471.63</v>
      </c>
      <c r="U14" s="2"/>
      <c r="V14" s="19"/>
      <c r="W14" s="2"/>
      <c r="X14" s="2">
        <f t="shared" si="2"/>
        <v>-471.63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"4155", " - ", "NON-TAXABLE SALES-FOOD")</f>
        <v xml:space="preserve">          4155 - NON-TAXABLE SALES-FOOD</v>
      </c>
      <c r="C15" s="11"/>
      <c r="D15" s="2">
        <f t="shared" si="4"/>
        <v>0</v>
      </c>
      <c r="E15" s="2"/>
      <c r="F15" s="19"/>
      <c r="G15" s="2"/>
      <c r="H15" s="2">
        <f>--888.7</f>
        <v>888.7</v>
      </c>
      <c r="I15" s="2"/>
      <c r="J15" s="19"/>
      <c r="K15" s="2"/>
      <c r="L15" s="2">
        <f t="shared" si="0"/>
        <v>-888.7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--3031.81</f>
        <v>3031.81</v>
      </c>
      <c r="U15" s="2"/>
      <c r="V15" s="19"/>
      <c r="W15" s="2"/>
      <c r="X15" s="2">
        <f t="shared" si="2"/>
        <v>-3031.81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0</v>
      </c>
      <c r="E17" s="4"/>
      <c r="F17" s="12">
        <f t="shared" ref="F17:F19" si="6">IF(D$12=0,0,D17/D$12)</f>
        <v>0</v>
      </c>
      <c r="G17" s="4"/>
      <c r="H17" s="4">
        <f>SUM(OSRRefH16x_0)</f>
        <v>400.34000000000003</v>
      </c>
      <c r="I17" s="4"/>
      <c r="J17" s="12">
        <f t="shared" ref="J17:J19" si="7">IF(H$12=0,0,H17/H$12)</f>
        <v>0.38439528363482739</v>
      </c>
      <c r="K17" s="4"/>
      <c r="L17" s="4">
        <f t="shared" ref="L17:L19" si="8">+D17-H17</f>
        <v>-400.34000000000003</v>
      </c>
      <c r="M17" s="4"/>
      <c r="N17" s="12">
        <f t="shared" ref="N17:N19" si="9">IF(H17=0,0,L17/H17)</f>
        <v>-1</v>
      </c>
      <c r="O17" s="10"/>
      <c r="P17" s="4">
        <f>SUM(OSRRefP16x_0)</f>
        <v>0</v>
      </c>
      <c r="Q17" s="4"/>
      <c r="R17" s="12">
        <f t="shared" ref="R17:R19" si="10">IF(P$12=0,0,P17/P$12)</f>
        <v>0</v>
      </c>
      <c r="S17" s="4"/>
      <c r="T17" s="4">
        <f>SUM(OSRRefT16x_0)</f>
        <v>1571.4699999999998</v>
      </c>
      <c r="U17" s="4"/>
      <c r="V17" s="12">
        <f t="shared" ref="V17:V19" si="11">IF(T$12=0,0,T17/T$12)</f>
        <v>0.36483368002674488</v>
      </c>
      <c r="W17" s="4"/>
      <c r="X17" s="4">
        <f t="shared" ref="X17:X19" si="12">+P17-T17</f>
        <v>-1571.4699999999998</v>
      </c>
      <c r="Y17" s="4"/>
      <c r="Z17" s="12">
        <f t="shared" ref="Z17:Z19" si="13">IF(T17=0,0,X17/T17)</f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6"/>
        <v>0</v>
      </c>
      <c r="G18" s="2"/>
      <c r="H18" s="2">
        <v>89.34</v>
      </c>
      <c r="I18" s="2"/>
      <c r="J18" s="19">
        <f t="shared" si="7"/>
        <v>8.5781772093559167E-2</v>
      </c>
      <c r="K18" s="2"/>
      <c r="L18" s="2">
        <f t="shared" si="8"/>
        <v>-89.34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3948.48</v>
      </c>
      <c r="U18" s="2"/>
      <c r="V18" s="19">
        <f t="shared" si="11"/>
        <v>0.91668214405111259</v>
      </c>
      <c r="W18" s="2"/>
      <c r="X18" s="2">
        <f t="shared" si="12"/>
        <v>-3948.48</v>
      </c>
      <c r="Y18" s="2"/>
      <c r="Z18" s="19">
        <f t="shared" si="13"/>
        <v>-1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6"/>
        <v>0</v>
      </c>
      <c r="G19" s="2"/>
      <c r="H19" s="2">
        <v>311</v>
      </c>
      <c r="I19" s="2"/>
      <c r="J19" s="19">
        <f t="shared" si="7"/>
        <v>0.2986135115412682</v>
      </c>
      <c r="K19" s="2"/>
      <c r="L19" s="2">
        <f t="shared" si="8"/>
        <v>-311</v>
      </c>
      <c r="M19" s="2"/>
      <c r="N19" s="19">
        <f t="shared" si="9"/>
        <v>-1</v>
      </c>
      <c r="O19" s="11"/>
      <c r="P19" s="2"/>
      <c r="Q19" s="2"/>
      <c r="R19" s="19">
        <f t="shared" si="10"/>
        <v>0</v>
      </c>
      <c r="S19" s="2"/>
      <c r="T19" s="2">
        <v>-2377.0100000000002</v>
      </c>
      <c r="U19" s="2"/>
      <c r="V19" s="19">
        <f t="shared" si="11"/>
        <v>-0.55184846402436771</v>
      </c>
      <c r="W19" s="2"/>
      <c r="X19" s="2">
        <f t="shared" si="12"/>
        <v>2377.0100000000002</v>
      </c>
      <c r="Y19" s="2"/>
      <c r="Z19" s="19">
        <f t="shared" si="13"/>
        <v>-1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0">
        <f>D12-D17</f>
        <v>0</v>
      </c>
      <c r="E21" s="14"/>
      <c r="F21" s="22">
        <f>IF(D$12=0,0,D21/D$12)</f>
        <v>0</v>
      </c>
      <c r="G21" s="14"/>
      <c r="H21" s="20">
        <f>H12-H17</f>
        <v>641.14</v>
      </c>
      <c r="I21" s="14"/>
      <c r="J21" s="22">
        <f>IF(H$12=0,0,H21/H$12)</f>
        <v>0.61560471636517267</v>
      </c>
      <c r="K21" s="15"/>
      <c r="L21" s="20">
        <f>+D21-H21</f>
        <v>-641.14</v>
      </c>
      <c r="M21" s="15"/>
      <c r="N21" s="22">
        <f>IF(H21=0,0,L21/H21)</f>
        <v>-1</v>
      </c>
      <c r="O21" s="29"/>
      <c r="P21" s="20">
        <f>P12-P17</f>
        <v>0</v>
      </c>
      <c r="Q21" s="14"/>
      <c r="R21" s="22">
        <f>IF(P$12=0,0,P21/P$12)</f>
        <v>0</v>
      </c>
      <c r="S21" s="14"/>
      <c r="T21" s="20">
        <f>T12-T17</f>
        <v>2735.89</v>
      </c>
      <c r="U21" s="14"/>
      <c r="V21" s="22">
        <f>IF(T$12=0,0,T21/T$12)</f>
        <v>0.63516631997325512</v>
      </c>
      <c r="W21" s="15"/>
      <c r="X21" s="20">
        <f>+P21-T21</f>
        <v>-2735.89</v>
      </c>
      <c r="Y21" s="15"/>
      <c r="Z21" s="22">
        <f>IF(T21=0,0,X21/T21)</f>
        <v>-1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1">
        <f>SUM(OSRRefD22x_0)</f>
        <v>0</v>
      </c>
      <c r="E23" s="21"/>
      <c r="F23" s="35">
        <f t="shared" ref="F23:F27" si="14">IF(D$12=0,0,D23/D$12)</f>
        <v>0</v>
      </c>
      <c r="G23" s="21"/>
      <c r="H23" s="21">
        <f>SUM(OSRRefH22x_0)</f>
        <v>2688.25</v>
      </c>
      <c r="I23" s="21"/>
      <c r="J23" s="35">
        <f t="shared" ref="J23:J27" si="15">IF(H$12=0,0,H23/H$12)</f>
        <v>2.5811825479125861</v>
      </c>
      <c r="K23" s="4"/>
      <c r="L23" s="21">
        <f t="shared" ref="L23:L27" si="16">+D23-H23</f>
        <v>-2688.25</v>
      </c>
      <c r="M23" s="4"/>
      <c r="N23" s="35">
        <f t="shared" ref="N23:N27" si="17">IF(H23=0,0,L23/H23)</f>
        <v>-1</v>
      </c>
      <c r="O23" s="10"/>
      <c r="P23" s="21">
        <f>SUM(OSRRefP22x_0)</f>
        <v>178.69</v>
      </c>
      <c r="Q23" s="21"/>
      <c r="R23" s="35">
        <f t="shared" ref="R23:R27" si="18">IF(P$12=0,0,P23/P$12)</f>
        <v>0</v>
      </c>
      <c r="S23" s="21"/>
      <c r="T23" s="21">
        <f>SUM(OSRRefT22x_0)</f>
        <v>12817.890000000001</v>
      </c>
      <c r="U23" s="21"/>
      <c r="V23" s="35">
        <f t="shared" ref="V23:V27" si="19">IF(T$12=0,0,T23/T$12)</f>
        <v>2.9758111697188072</v>
      </c>
      <c r="W23" s="4"/>
      <c r="X23" s="21">
        <f t="shared" ref="X23:X27" si="20">+P23-T23</f>
        <v>-12639.2</v>
      </c>
      <c r="Y23" s="4"/>
      <c r="Z23" s="35">
        <f t="shared" ref="Z23:Z27" si="21">IF(T23=0,0,X23/T23)</f>
        <v>-0.98605932801732576</v>
      </c>
    </row>
    <row r="24" spans="1:26" s="26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0</v>
      </c>
      <c r="E24" s="1"/>
      <c r="F24" s="5">
        <f t="shared" si="14"/>
        <v>0</v>
      </c>
      <c r="G24" s="1"/>
      <c r="H24" s="1">
        <f>SUM(OSRRefH22_0x_0)</f>
        <v>178.03</v>
      </c>
      <c r="I24" s="1"/>
      <c r="J24" s="5">
        <f t="shared" si="15"/>
        <v>0.17093943234627645</v>
      </c>
      <c r="K24" s="1"/>
      <c r="L24" s="1">
        <f t="shared" si="16"/>
        <v>-178.03</v>
      </c>
      <c r="M24" s="1"/>
      <c r="N24" s="5">
        <f t="shared" si="17"/>
        <v>-1</v>
      </c>
      <c r="O24" s="13"/>
      <c r="P24" s="1">
        <f>SUM(OSRRefP22_0x_0)</f>
        <v>0</v>
      </c>
      <c r="Q24" s="1"/>
      <c r="R24" s="5">
        <f t="shared" si="18"/>
        <v>0</v>
      </c>
      <c r="S24" s="1"/>
      <c r="T24" s="1">
        <f>SUM(OSRRefT22_0x_0)</f>
        <v>663.19</v>
      </c>
      <c r="U24" s="1"/>
      <c r="V24" s="5">
        <f t="shared" si="19"/>
        <v>0.15396669885962633</v>
      </c>
      <c r="W24" s="1"/>
      <c r="X24" s="1">
        <f t="shared" si="20"/>
        <v>-663.19</v>
      </c>
      <c r="Y24" s="1"/>
      <c r="Z24" s="5">
        <f t="shared" si="21"/>
        <v>-1</v>
      </c>
    </row>
    <row r="25" spans="1:26" s="24" customFormat="1" hidden="1" outlineLevel="2" x14ac:dyDescent="0.25">
      <c r="A25" s="25"/>
      <c r="B25" s="11" t="str">
        <f>CONCATENATE("          ", "6111", " - ", "F.I.C.A.")</f>
        <v xml:space="preserve">          6111 - F.I.C.A.</v>
      </c>
      <c r="C25" s="11"/>
      <c r="D25" s="6"/>
      <c r="E25" s="2"/>
      <c r="F25" s="7">
        <f t="shared" si="14"/>
        <v>0</v>
      </c>
      <c r="G25" s="2"/>
      <c r="H25" s="6">
        <v>120.79</v>
      </c>
      <c r="I25" s="2"/>
      <c r="J25" s="7">
        <f t="shared" si="15"/>
        <v>0.11597918346967777</v>
      </c>
      <c r="K25" s="2"/>
      <c r="L25" s="6">
        <f t="shared" si="16"/>
        <v>-120.79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478.87</v>
      </c>
      <c r="U25" s="2"/>
      <c r="V25" s="7">
        <f t="shared" si="19"/>
        <v>0.11117482634374652</v>
      </c>
      <c r="W25" s="2"/>
      <c r="X25" s="6">
        <f t="shared" si="20"/>
        <v>-478.87</v>
      </c>
      <c r="Y25" s="2"/>
      <c r="Z25" s="7">
        <f t="shared" si="21"/>
        <v>-1</v>
      </c>
    </row>
    <row r="26" spans="1:26" s="24" customFormat="1" hidden="1" outlineLevel="2" x14ac:dyDescent="0.25">
      <c r="A26" s="25"/>
      <c r="B26" s="11" t="str">
        <f>CONCATENATE("          ", "6112", " - ", "COMPENSATION INSURANCE")</f>
        <v xml:space="preserve">          6112 - COMPENSATION INSURANCE</v>
      </c>
      <c r="C26" s="11"/>
      <c r="D26" s="6"/>
      <c r="E26" s="2"/>
      <c r="F26" s="7">
        <f t="shared" si="14"/>
        <v>0</v>
      </c>
      <c r="G26" s="2"/>
      <c r="H26" s="6">
        <v>50.35</v>
      </c>
      <c r="I26" s="2"/>
      <c r="J26" s="7">
        <f t="shared" si="15"/>
        <v>4.8344663363674774E-2</v>
      </c>
      <c r="K26" s="2"/>
      <c r="L26" s="6">
        <f t="shared" si="16"/>
        <v>-50.35</v>
      </c>
      <c r="M26" s="2"/>
      <c r="N26" s="7">
        <f t="shared" si="17"/>
        <v>-1</v>
      </c>
      <c r="O26" s="11"/>
      <c r="P26" s="6"/>
      <c r="Q26" s="2"/>
      <c r="R26" s="7">
        <f t="shared" si="18"/>
        <v>0</v>
      </c>
      <c r="S26" s="2"/>
      <c r="T26" s="6">
        <v>158.07</v>
      </c>
      <c r="U26" s="2"/>
      <c r="V26" s="7">
        <f t="shared" si="19"/>
        <v>3.6697652390327254E-2</v>
      </c>
      <c r="W26" s="2"/>
      <c r="X26" s="6">
        <f t="shared" si="20"/>
        <v>-158.07</v>
      </c>
      <c r="Y26" s="2"/>
      <c r="Z26" s="7">
        <f t="shared" si="21"/>
        <v>-1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6.89</v>
      </c>
      <c r="I27" s="2"/>
      <c r="J27" s="7">
        <f t="shared" si="15"/>
        <v>6.6155855129239154E-3</v>
      </c>
      <c r="K27" s="2"/>
      <c r="L27" s="6">
        <f t="shared" si="16"/>
        <v>-6.89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26.25</v>
      </c>
      <c r="U27" s="2"/>
      <c r="V27" s="7">
        <f t="shared" si="19"/>
        <v>6.0942201255525432E-3</v>
      </c>
      <c r="W27" s="2"/>
      <c r="X27" s="6">
        <f t="shared" si="20"/>
        <v>-26.25</v>
      </c>
      <c r="Y27" s="2"/>
      <c r="Z27" s="7">
        <f t="shared" si="21"/>
        <v>-1</v>
      </c>
    </row>
    <row r="28" spans="1:26" s="26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0</v>
      </c>
      <c r="E28" s="1"/>
      <c r="F28" s="5">
        <f t="shared" ref="F28:F30" si="22">IF(D$12=0,0,D28/D$12)</f>
        <v>0</v>
      </c>
      <c r="G28" s="1"/>
      <c r="H28" s="1">
        <f>SUM(OSRRefH22_1x_0)</f>
        <v>2333.4899999999998</v>
      </c>
      <c r="I28" s="1"/>
      <c r="J28" s="5">
        <f t="shared" ref="J28:J30" si="23">IF(H$12=0,0,H28/H$12)</f>
        <v>2.2405519069017164</v>
      </c>
      <c r="K28" s="1"/>
      <c r="L28" s="1">
        <f t="shared" ref="L28:L30" si="24">+D28-H28</f>
        <v>-2333.4899999999998</v>
      </c>
      <c r="M28" s="1"/>
      <c r="N28" s="5">
        <f t="shared" ref="N28:N30" si="25">IF(H28=0,0,L28/H28)</f>
        <v>-1</v>
      </c>
      <c r="O28" s="13"/>
      <c r="P28" s="1">
        <f>SUM(OSRRefP22_1x_0)</f>
        <v>0</v>
      </c>
      <c r="Q28" s="1"/>
      <c r="R28" s="5">
        <f t="shared" ref="R28:R30" si="26">IF(P$12=0,0,P28/P$12)</f>
        <v>0</v>
      </c>
      <c r="S28" s="1"/>
      <c r="T28" s="1">
        <f>SUM(OSRRefT22_1x_0)</f>
        <v>8712.119999999999</v>
      </c>
      <c r="U28" s="1"/>
      <c r="V28" s="5">
        <f t="shared" ref="V28:V30" si="27">IF(T$12=0,0,T28/T$12)</f>
        <v>2.0226124586753835</v>
      </c>
      <c r="W28" s="1"/>
      <c r="X28" s="1">
        <f t="shared" ref="X28:X30" si="28">+P28-T28</f>
        <v>-8712.119999999999</v>
      </c>
      <c r="Y28" s="1"/>
      <c r="Z28" s="5">
        <f t="shared" ref="Z28:Z30" si="29">IF(T28=0,0,X28/T28)</f>
        <v>-1</v>
      </c>
    </row>
    <row r="29" spans="1:26" s="24" customFormat="1" hidden="1" outlineLevel="2" x14ac:dyDescent="0.25">
      <c r="A29" s="25"/>
      <c r="B29" s="11" t="str">
        <f>CONCATENATE("          ", "6005", " - ", "TEMPORARY WAGES-HOURLY")</f>
        <v xml:space="preserve">          6005 - TEMPORARY WAGES-HOURLY</v>
      </c>
      <c r="C29" s="11"/>
      <c r="D29" s="6"/>
      <c r="E29" s="2"/>
      <c r="F29" s="7">
        <f t="shared" si="22"/>
        <v>0</v>
      </c>
      <c r="G29" s="2"/>
      <c r="H29" s="6">
        <v>1578.99</v>
      </c>
      <c r="I29" s="2"/>
      <c r="J29" s="7">
        <f t="shared" si="23"/>
        <v>1.5161020854937204</v>
      </c>
      <c r="K29" s="2"/>
      <c r="L29" s="6">
        <f t="shared" si="24"/>
        <v>-1578.99</v>
      </c>
      <c r="M29" s="2"/>
      <c r="N29" s="7">
        <f t="shared" si="25"/>
        <v>-1</v>
      </c>
      <c r="O29" s="11"/>
      <c r="P29" s="6"/>
      <c r="Q29" s="2"/>
      <c r="R29" s="7">
        <f t="shared" si="26"/>
        <v>0</v>
      </c>
      <c r="S29" s="2"/>
      <c r="T29" s="6">
        <v>6163.62</v>
      </c>
      <c r="U29" s="2"/>
      <c r="V29" s="7">
        <f t="shared" si="27"/>
        <v>1.4309507447717396</v>
      </c>
      <c r="W29" s="2"/>
      <c r="X29" s="6">
        <f t="shared" si="28"/>
        <v>-6163.62</v>
      </c>
      <c r="Y29" s="2"/>
      <c r="Z29" s="7">
        <f t="shared" si="29"/>
        <v>-1</v>
      </c>
    </row>
    <row r="30" spans="1:26" s="24" customFormat="1" hidden="1" outlineLevel="2" x14ac:dyDescent="0.25">
      <c r="A30" s="25"/>
      <c r="B30" s="11" t="str">
        <f>CONCATENATE("          ", "6007", " - ", "STUDENT HOURLY")</f>
        <v xml:space="preserve">          6007 - STUDENT HOURLY</v>
      </c>
      <c r="C30" s="11"/>
      <c r="D30" s="6"/>
      <c r="E30" s="2"/>
      <c r="F30" s="7">
        <f t="shared" si="22"/>
        <v>0</v>
      </c>
      <c r="G30" s="2"/>
      <c r="H30" s="6">
        <v>754.5</v>
      </c>
      <c r="I30" s="2"/>
      <c r="J30" s="7">
        <f t="shared" si="23"/>
        <v>0.7244498214079963</v>
      </c>
      <c r="K30" s="2"/>
      <c r="L30" s="6">
        <f t="shared" si="24"/>
        <v>-754.5</v>
      </c>
      <c r="M30" s="2"/>
      <c r="N30" s="7">
        <f t="shared" si="25"/>
        <v>-1</v>
      </c>
      <c r="O30" s="11"/>
      <c r="P30" s="6"/>
      <c r="Q30" s="2"/>
      <c r="R30" s="7">
        <f t="shared" si="26"/>
        <v>0</v>
      </c>
      <c r="S30" s="2"/>
      <c r="T30" s="6">
        <v>2548.5</v>
      </c>
      <c r="U30" s="2"/>
      <c r="V30" s="7">
        <f t="shared" si="27"/>
        <v>0.59166171390364408</v>
      </c>
      <c r="W30" s="2"/>
      <c r="X30" s="6">
        <f t="shared" si="28"/>
        <v>-2548.5</v>
      </c>
      <c r="Y30" s="2"/>
      <c r="Z30" s="7">
        <f t="shared" si="29"/>
        <v>-1</v>
      </c>
    </row>
    <row r="31" spans="1:26" s="26" customFormat="1" outlineLevel="1" collapsed="1" x14ac:dyDescent="0.25">
      <c r="A31" s="27"/>
      <c r="B31" s="13" t="str">
        <f>CONCATENATE("     ","Bad Debts/Over/Short                              ")</f>
        <v xml:space="preserve">     Bad Debts/Over/Short                              </v>
      </c>
      <c r="C31" s="13"/>
      <c r="D31" s="1">
        <f>SUM(OSRRefD22_2x_0)</f>
        <v>0</v>
      </c>
      <c r="E31" s="1"/>
      <c r="F31" s="5">
        <f t="shared" ref="F31:F42" si="30">IF(D$12=0,0,D31/D$12)</f>
        <v>0</v>
      </c>
      <c r="G31" s="1"/>
      <c r="H31" s="1">
        <f>SUM(OSRRefH22_2x_0)</f>
        <v>-0.1</v>
      </c>
      <c r="I31" s="1"/>
      <c r="J31" s="5">
        <f t="shared" ref="J31:J42" si="31">IF(H$12=0,0,H31/H$12)</f>
        <v>-9.6017206283365985E-5</v>
      </c>
      <c r="K31" s="1"/>
      <c r="L31" s="1">
        <f t="shared" ref="L31:L42" si="32">+D31-H31</f>
        <v>0.1</v>
      </c>
      <c r="M31" s="1"/>
      <c r="N31" s="5">
        <f t="shared" ref="N31:N42" si="33">IF(H31=0,0,L31/H31)</f>
        <v>-1</v>
      </c>
      <c r="O31" s="13"/>
      <c r="P31" s="1">
        <f>SUM(OSRRefP22_2x_0)</f>
        <v>0</v>
      </c>
      <c r="Q31" s="1"/>
      <c r="R31" s="5">
        <f t="shared" ref="R31:R42" si="34">IF(P$12=0,0,P31/P$12)</f>
        <v>0</v>
      </c>
      <c r="S31" s="1"/>
      <c r="T31" s="1">
        <f>SUM(OSRRefT22_2x_0)</f>
        <v>-0.96</v>
      </c>
      <c r="U31" s="1"/>
      <c r="V31" s="5">
        <f t="shared" ref="V31:V42" si="35">IF(T$12=0,0,T31/T$12)</f>
        <v>-2.2287433602020729E-4</v>
      </c>
      <c r="W31" s="1"/>
      <c r="X31" s="1">
        <f t="shared" ref="X31:X42" si="36">+P31-T31</f>
        <v>0.96</v>
      </c>
      <c r="Y31" s="1"/>
      <c r="Z31" s="5">
        <f t="shared" ref="Z31:Z42" si="37">IF(T31=0,0,X31/T31)</f>
        <v>-1</v>
      </c>
    </row>
    <row r="32" spans="1:26" s="24" customFormat="1" hidden="1" outlineLevel="2" x14ac:dyDescent="0.25">
      <c r="A32" s="25"/>
      <c r="B32" s="11" t="str">
        <f>CONCATENATE("          ", "6272", " - ", "CASH (OVER/SHORT)")</f>
        <v xml:space="preserve">          6272 - CASH (OVER/SHORT)</v>
      </c>
      <c r="C32" s="11"/>
      <c r="D32" s="6"/>
      <c r="E32" s="2"/>
      <c r="F32" s="7">
        <f t="shared" si="30"/>
        <v>0</v>
      </c>
      <c r="G32" s="2"/>
      <c r="H32" s="6">
        <v>-0.1</v>
      </c>
      <c r="I32" s="2"/>
      <c r="J32" s="7">
        <f t="shared" si="31"/>
        <v>-9.6017206283365985E-5</v>
      </c>
      <c r="K32" s="2"/>
      <c r="L32" s="6">
        <f t="shared" si="32"/>
        <v>0.1</v>
      </c>
      <c r="M32" s="2"/>
      <c r="N32" s="7">
        <f t="shared" si="33"/>
        <v>-1</v>
      </c>
      <c r="O32" s="11"/>
      <c r="P32" s="6"/>
      <c r="Q32" s="2"/>
      <c r="R32" s="7">
        <f t="shared" si="34"/>
        <v>0</v>
      </c>
      <c r="S32" s="2"/>
      <c r="T32" s="6">
        <v>-0.96</v>
      </c>
      <c r="U32" s="2"/>
      <c r="V32" s="7">
        <f t="shared" si="35"/>
        <v>-2.2287433602020729E-4</v>
      </c>
      <c r="W32" s="2"/>
      <c r="X32" s="6">
        <f t="shared" si="36"/>
        <v>0.96</v>
      </c>
      <c r="Y32" s="2"/>
      <c r="Z32" s="7">
        <f t="shared" si="37"/>
        <v>-1</v>
      </c>
    </row>
    <row r="33" spans="1:26" s="26" customFormat="1" outlineLevel="1" collapsed="1" x14ac:dyDescent="0.25">
      <c r="A33" s="27"/>
      <c r="B33" s="13" t="str">
        <f>CONCATENATE("     ","Bank/card Fees                                    ")</f>
        <v xml:space="preserve">     Bank/card Fees                                    </v>
      </c>
      <c r="C33" s="13"/>
      <c r="D33" s="1">
        <f>SUM(OSRRefD22_3x_0)</f>
        <v>0</v>
      </c>
      <c r="E33" s="1"/>
      <c r="F33" s="5">
        <f t="shared" si="30"/>
        <v>0</v>
      </c>
      <c r="G33" s="1"/>
      <c r="H33" s="1">
        <f>SUM(OSRRefH22_3x_0)</f>
        <v>33.65</v>
      </c>
      <c r="I33" s="1"/>
      <c r="J33" s="5">
        <f t="shared" si="31"/>
        <v>3.2309789914352648E-2</v>
      </c>
      <c r="K33" s="1"/>
      <c r="L33" s="1">
        <f t="shared" si="32"/>
        <v>-33.65</v>
      </c>
      <c r="M33" s="1"/>
      <c r="N33" s="5">
        <f t="shared" si="33"/>
        <v>-1</v>
      </c>
      <c r="O33" s="13"/>
      <c r="P33" s="1">
        <f>SUM(OSRRefP22_3x_0)</f>
        <v>0</v>
      </c>
      <c r="Q33" s="1"/>
      <c r="R33" s="5">
        <f t="shared" si="34"/>
        <v>0</v>
      </c>
      <c r="S33" s="1"/>
      <c r="T33" s="1">
        <f>SUM(OSRRefT22_3x_0)</f>
        <v>106.95</v>
      </c>
      <c r="U33" s="1"/>
      <c r="V33" s="5">
        <f t="shared" si="35"/>
        <v>2.482959399725122E-2</v>
      </c>
      <c r="W33" s="1"/>
      <c r="X33" s="1">
        <f t="shared" si="36"/>
        <v>-106.95</v>
      </c>
      <c r="Y33" s="1"/>
      <c r="Z33" s="5">
        <f t="shared" si="37"/>
        <v>-1</v>
      </c>
    </row>
    <row r="34" spans="1:26" s="24" customFormat="1" hidden="1" outlineLevel="2" x14ac:dyDescent="0.25">
      <c r="A34" s="25"/>
      <c r="B34" s="11" t="str">
        <f>CONCATENATE("          ", "6381", " - ", "BANK/CREDIT CARD FEES")</f>
        <v xml:space="preserve">          6381 - BANK/CREDIT CARD FEES</v>
      </c>
      <c r="C34" s="11"/>
      <c r="D34" s="6"/>
      <c r="E34" s="2"/>
      <c r="F34" s="7">
        <f t="shared" si="30"/>
        <v>0</v>
      </c>
      <c r="G34" s="2"/>
      <c r="H34" s="6">
        <v>33.65</v>
      </c>
      <c r="I34" s="2"/>
      <c r="J34" s="7">
        <f t="shared" si="31"/>
        <v>3.2309789914352648E-2</v>
      </c>
      <c r="K34" s="2"/>
      <c r="L34" s="6">
        <f t="shared" si="32"/>
        <v>-33.65</v>
      </c>
      <c r="M34" s="2"/>
      <c r="N34" s="7">
        <f t="shared" si="33"/>
        <v>-1</v>
      </c>
      <c r="O34" s="11"/>
      <c r="P34" s="6"/>
      <c r="Q34" s="2"/>
      <c r="R34" s="7">
        <f t="shared" si="34"/>
        <v>0</v>
      </c>
      <c r="S34" s="2"/>
      <c r="T34" s="6">
        <v>106.95</v>
      </c>
      <c r="U34" s="2"/>
      <c r="V34" s="7">
        <f t="shared" si="35"/>
        <v>2.482959399725122E-2</v>
      </c>
      <c r="W34" s="2"/>
      <c r="X34" s="6">
        <f t="shared" si="36"/>
        <v>-106.95</v>
      </c>
      <c r="Y34" s="2"/>
      <c r="Z34" s="7">
        <f t="shared" si="37"/>
        <v>-1</v>
      </c>
    </row>
    <row r="35" spans="1:26" s="26" customFormat="1" outlineLevel="1" collapsed="1" x14ac:dyDescent="0.25">
      <c r="A35" s="27"/>
      <c r="B35" s="13" t="str">
        <f>CONCATENATE("     ","General                                           ")</f>
        <v xml:space="preserve">     General                                           </v>
      </c>
      <c r="C35" s="13"/>
      <c r="D35" s="1">
        <f>SUM(OSRRefD22_4x_0)</f>
        <v>0</v>
      </c>
      <c r="E35" s="1"/>
      <c r="F35" s="5">
        <f t="shared" si="30"/>
        <v>0</v>
      </c>
      <c r="G35" s="1"/>
      <c r="H35" s="1">
        <f>SUM(OSRRefH22_4x_0)</f>
        <v>7.5</v>
      </c>
      <c r="I35" s="1"/>
      <c r="J35" s="5">
        <f t="shared" si="31"/>
        <v>7.2012904712524485E-3</v>
      </c>
      <c r="K35" s="1"/>
      <c r="L35" s="1">
        <f t="shared" si="32"/>
        <v>-7.5</v>
      </c>
      <c r="M35" s="1"/>
      <c r="N35" s="5">
        <f t="shared" si="33"/>
        <v>-1</v>
      </c>
      <c r="O35" s="13"/>
      <c r="P35" s="1">
        <f>SUM(OSRRefP22_4x_0)</f>
        <v>0</v>
      </c>
      <c r="Q35" s="1"/>
      <c r="R35" s="5">
        <f t="shared" si="34"/>
        <v>0</v>
      </c>
      <c r="S35" s="1"/>
      <c r="T35" s="1">
        <f>SUM(OSRRefT22_4x_0)</f>
        <v>1154.05</v>
      </c>
      <c r="U35" s="1"/>
      <c r="V35" s="5">
        <f t="shared" si="35"/>
        <v>0.26792513279595853</v>
      </c>
      <c r="W35" s="1"/>
      <c r="X35" s="1">
        <f t="shared" si="36"/>
        <v>-1154.05</v>
      </c>
      <c r="Y35" s="1"/>
      <c r="Z35" s="5">
        <f t="shared" si="37"/>
        <v>-1</v>
      </c>
    </row>
    <row r="36" spans="1:26" s="24" customFormat="1" hidden="1" outlineLevel="2" x14ac:dyDescent="0.25">
      <c r="A36" s="25"/>
      <c r="B36" s="11" t="str">
        <f>CONCATENATE("          ", "6279", " - ", "GENERAL EXPENSE")</f>
        <v xml:space="preserve">          6279 - GENERAL EXPENSE</v>
      </c>
      <c r="C36" s="11"/>
      <c r="D36" s="6"/>
      <c r="E36" s="2"/>
      <c r="F36" s="7">
        <f t="shared" si="30"/>
        <v>0</v>
      </c>
      <c r="G36" s="2"/>
      <c r="H36" s="6">
        <v>7.5</v>
      </c>
      <c r="I36" s="2"/>
      <c r="J36" s="7">
        <f t="shared" si="31"/>
        <v>7.2012904712524485E-3</v>
      </c>
      <c r="K36" s="2"/>
      <c r="L36" s="6">
        <f t="shared" si="32"/>
        <v>-7.5</v>
      </c>
      <c r="M36" s="2"/>
      <c r="N36" s="7">
        <f t="shared" si="33"/>
        <v>-1</v>
      </c>
      <c r="O36" s="11"/>
      <c r="P36" s="6"/>
      <c r="Q36" s="2"/>
      <c r="R36" s="7">
        <f t="shared" si="34"/>
        <v>0</v>
      </c>
      <c r="S36" s="2"/>
      <c r="T36" s="6">
        <v>1154.05</v>
      </c>
      <c r="U36" s="2"/>
      <c r="V36" s="7">
        <f t="shared" si="35"/>
        <v>0.26792513279595853</v>
      </c>
      <c r="W36" s="2"/>
      <c r="X36" s="6">
        <f t="shared" si="36"/>
        <v>-1154.05</v>
      </c>
      <c r="Y36" s="2"/>
      <c r="Z36" s="7">
        <f t="shared" si="37"/>
        <v>-1</v>
      </c>
    </row>
    <row r="37" spans="1:26" s="26" customFormat="1" outlineLevel="1" collapsed="1" x14ac:dyDescent="0.25">
      <c r="A37" s="27"/>
      <c r="B37" s="13" t="str">
        <f>CONCATENATE("     ","R/H Commissions                                   ")</f>
        <v xml:space="preserve">     R/H Commissions                                   </v>
      </c>
      <c r="C37" s="13"/>
      <c r="D37" s="1">
        <f>SUM(OSRRefD22_5x_0)</f>
        <v>0</v>
      </c>
      <c r="E37" s="1"/>
      <c r="F37" s="5">
        <f t="shared" si="30"/>
        <v>0</v>
      </c>
      <c r="G37" s="1"/>
      <c r="H37" s="1">
        <f>SUM(OSRRefH22_5x_0)</f>
        <v>0</v>
      </c>
      <c r="I37" s="1"/>
      <c r="J37" s="5">
        <f t="shared" si="31"/>
        <v>0</v>
      </c>
      <c r="K37" s="1"/>
      <c r="L37" s="1">
        <f t="shared" si="32"/>
        <v>0</v>
      </c>
      <c r="M37" s="1"/>
      <c r="N37" s="5">
        <f t="shared" si="33"/>
        <v>0</v>
      </c>
      <c r="O37" s="13"/>
      <c r="P37" s="1">
        <f>SUM(OSRRefP22_5x_0)</f>
        <v>0</v>
      </c>
      <c r="Q37" s="1"/>
      <c r="R37" s="5">
        <f t="shared" si="34"/>
        <v>0</v>
      </c>
      <c r="S37" s="1"/>
      <c r="T37" s="1">
        <f>SUM(OSRRefT22_5x_0)</f>
        <v>261.27</v>
      </c>
      <c r="U37" s="1"/>
      <c r="V37" s="5">
        <f t="shared" si="35"/>
        <v>6.0656643512499539E-2</v>
      </c>
      <c r="W37" s="1"/>
      <c r="X37" s="1">
        <f t="shared" si="36"/>
        <v>-261.27</v>
      </c>
      <c r="Y37" s="1"/>
      <c r="Z37" s="5">
        <f t="shared" si="37"/>
        <v>-1</v>
      </c>
    </row>
    <row r="38" spans="1:26" s="24" customFormat="1" hidden="1" outlineLevel="2" x14ac:dyDescent="0.25">
      <c r="A38" s="25"/>
      <c r="B38" s="11" t="str">
        <f>CONCATENATE("          ", "6387", " - ", "COMMISSION DUE HOUSING")</f>
        <v xml:space="preserve">          6387 - COMMISSION DUE HOUSING</v>
      </c>
      <c r="C38" s="11"/>
      <c r="D38" s="6"/>
      <c r="E38" s="2"/>
      <c r="F38" s="7">
        <f t="shared" si="30"/>
        <v>0</v>
      </c>
      <c r="G38" s="2"/>
      <c r="H38" s="6"/>
      <c r="I38" s="2"/>
      <c r="J38" s="7">
        <f t="shared" si="31"/>
        <v>0</v>
      </c>
      <c r="K38" s="2"/>
      <c r="L38" s="6">
        <f t="shared" si="32"/>
        <v>0</v>
      </c>
      <c r="M38" s="2"/>
      <c r="N38" s="7">
        <f t="shared" si="33"/>
        <v>0</v>
      </c>
      <c r="O38" s="11"/>
      <c r="P38" s="6"/>
      <c r="Q38" s="2"/>
      <c r="R38" s="7">
        <f t="shared" si="34"/>
        <v>0</v>
      </c>
      <c r="S38" s="2"/>
      <c r="T38" s="6">
        <v>261.27</v>
      </c>
      <c r="U38" s="2"/>
      <c r="V38" s="7">
        <f t="shared" si="35"/>
        <v>6.0656643512499539E-2</v>
      </c>
      <c r="W38" s="2"/>
      <c r="X38" s="6">
        <f t="shared" si="36"/>
        <v>-261.27</v>
      </c>
      <c r="Y38" s="2"/>
      <c r="Z38" s="7">
        <f t="shared" si="37"/>
        <v>-1</v>
      </c>
    </row>
    <row r="39" spans="1:26" s="26" customFormat="1" outlineLevel="1" collapsed="1" x14ac:dyDescent="0.25">
      <c r="A39" s="27"/>
      <c r="B39" s="13" t="str">
        <f>CONCATENATE("     ","Supplies                                          ")</f>
        <v xml:space="preserve">     Supplies                                          </v>
      </c>
      <c r="C39" s="13"/>
      <c r="D39" s="1">
        <f>SUM(OSRRefD22_6x_0)</f>
        <v>0</v>
      </c>
      <c r="E39" s="1"/>
      <c r="F39" s="5">
        <f t="shared" si="30"/>
        <v>0</v>
      </c>
      <c r="G39" s="1"/>
      <c r="H39" s="1">
        <f>SUM(OSRRefH22_6x_0)</f>
        <v>60.18</v>
      </c>
      <c r="I39" s="1"/>
      <c r="J39" s="5">
        <f t="shared" si="31"/>
        <v>5.7783154741329647E-2</v>
      </c>
      <c r="K39" s="1"/>
      <c r="L39" s="1">
        <f t="shared" si="32"/>
        <v>-60.18</v>
      </c>
      <c r="M39" s="1"/>
      <c r="N39" s="5">
        <f t="shared" si="33"/>
        <v>-1</v>
      </c>
      <c r="O39" s="13"/>
      <c r="P39" s="1">
        <f>SUM(OSRRefP22_6x_0)</f>
        <v>0</v>
      </c>
      <c r="Q39" s="1"/>
      <c r="R39" s="5">
        <f t="shared" si="34"/>
        <v>0</v>
      </c>
      <c r="S39" s="1"/>
      <c r="T39" s="1">
        <f>SUM(OSRRefT22_6x_0)</f>
        <v>1583.77</v>
      </c>
      <c r="U39" s="1"/>
      <c r="V39" s="5">
        <f t="shared" si="35"/>
        <v>0.36768925745700387</v>
      </c>
      <c r="W39" s="1"/>
      <c r="X39" s="1">
        <f t="shared" si="36"/>
        <v>-1583.77</v>
      </c>
      <c r="Y39" s="1"/>
      <c r="Z39" s="5">
        <f t="shared" si="37"/>
        <v>-1</v>
      </c>
    </row>
    <row r="40" spans="1:26" s="24" customFormat="1" hidden="1" outlineLevel="2" x14ac:dyDescent="0.25">
      <c r="A40" s="25"/>
      <c r="B40" s="11" t="str">
        <f>CONCATENATE("          ", "6237", " - ", "JANITORIAL SUPPLIES")</f>
        <v xml:space="preserve">          6237 - JANITORIAL SUPPLIES</v>
      </c>
      <c r="C40" s="11"/>
      <c r="D40" s="6"/>
      <c r="E40" s="2"/>
      <c r="F40" s="7">
        <f t="shared" si="30"/>
        <v>0</v>
      </c>
      <c r="G40" s="2"/>
      <c r="H40" s="6"/>
      <c r="I40" s="2"/>
      <c r="J40" s="7">
        <f t="shared" si="31"/>
        <v>0</v>
      </c>
      <c r="K40" s="2"/>
      <c r="L40" s="6">
        <f t="shared" si="32"/>
        <v>0</v>
      </c>
      <c r="M40" s="2"/>
      <c r="N40" s="7">
        <f t="shared" si="33"/>
        <v>0</v>
      </c>
      <c r="O40" s="11"/>
      <c r="P40" s="6"/>
      <c r="Q40" s="2"/>
      <c r="R40" s="7">
        <f t="shared" si="34"/>
        <v>0</v>
      </c>
      <c r="S40" s="2"/>
      <c r="T40" s="6">
        <v>47.13</v>
      </c>
      <c r="U40" s="2"/>
      <c r="V40" s="7">
        <f t="shared" si="35"/>
        <v>1.0941736933992053E-2</v>
      </c>
      <c r="W40" s="2"/>
      <c r="X40" s="6">
        <f t="shared" si="36"/>
        <v>-47.13</v>
      </c>
      <c r="Y40" s="2"/>
      <c r="Z40" s="7">
        <f t="shared" si="37"/>
        <v>-1</v>
      </c>
    </row>
    <row r="41" spans="1:26" s="24" customFormat="1" hidden="1" outlineLevel="2" x14ac:dyDescent="0.25">
      <c r="A41" s="25"/>
      <c r="B41" s="11" t="str">
        <f>CONCATENATE("          ", "6247", " - ", "STORE SUPPLIES")</f>
        <v xml:space="preserve">          6247 - STORE SUPPLIES</v>
      </c>
      <c r="C41" s="11"/>
      <c r="D41" s="6"/>
      <c r="E41" s="2"/>
      <c r="F41" s="7">
        <f t="shared" si="30"/>
        <v>0</v>
      </c>
      <c r="G41" s="2"/>
      <c r="H41" s="6">
        <v>60.18</v>
      </c>
      <c r="I41" s="2"/>
      <c r="J41" s="7">
        <f t="shared" si="31"/>
        <v>5.7783154741329647E-2</v>
      </c>
      <c r="K41" s="2"/>
      <c r="L41" s="6">
        <f t="shared" si="32"/>
        <v>-60.18</v>
      </c>
      <c r="M41" s="2"/>
      <c r="N41" s="7">
        <f t="shared" si="33"/>
        <v>-1</v>
      </c>
      <c r="O41" s="11"/>
      <c r="P41" s="6"/>
      <c r="Q41" s="2"/>
      <c r="R41" s="7">
        <f t="shared" si="34"/>
        <v>0</v>
      </c>
      <c r="S41" s="2"/>
      <c r="T41" s="6">
        <v>423.04</v>
      </c>
      <c r="U41" s="2"/>
      <c r="V41" s="7">
        <f t="shared" si="35"/>
        <v>9.8213290739571357E-2</v>
      </c>
      <c r="W41" s="2"/>
      <c r="X41" s="6">
        <f t="shared" si="36"/>
        <v>-423.04</v>
      </c>
      <c r="Y41" s="2"/>
      <c r="Z41" s="7">
        <f t="shared" si="37"/>
        <v>-1</v>
      </c>
    </row>
    <row r="42" spans="1:26" s="24" customFormat="1" hidden="1" outlineLevel="2" x14ac:dyDescent="0.25">
      <c r="A42" s="25"/>
      <c r="B42" s="11" t="str">
        <f>CONCATENATE("          ", "6248", " - ", "UNIFORMS")</f>
        <v xml:space="preserve">          6248 - UNIFORMS</v>
      </c>
      <c r="C42" s="11"/>
      <c r="D42" s="6"/>
      <c r="E42" s="2"/>
      <c r="F42" s="7">
        <f t="shared" si="30"/>
        <v>0</v>
      </c>
      <c r="G42" s="2"/>
      <c r="H42" s="6"/>
      <c r="I42" s="2"/>
      <c r="J42" s="7">
        <f t="shared" si="31"/>
        <v>0</v>
      </c>
      <c r="K42" s="2"/>
      <c r="L42" s="6">
        <f t="shared" si="32"/>
        <v>0</v>
      </c>
      <c r="M42" s="2"/>
      <c r="N42" s="7">
        <f t="shared" si="33"/>
        <v>0</v>
      </c>
      <c r="O42" s="11"/>
      <c r="P42" s="6"/>
      <c r="Q42" s="2"/>
      <c r="R42" s="7">
        <f t="shared" si="34"/>
        <v>0</v>
      </c>
      <c r="S42" s="2"/>
      <c r="T42" s="6">
        <v>1113.5999999999999</v>
      </c>
      <c r="U42" s="2"/>
      <c r="V42" s="7">
        <f t="shared" si="35"/>
        <v>0.25853422978344043</v>
      </c>
      <c r="W42" s="2"/>
      <c r="X42" s="6">
        <f t="shared" si="36"/>
        <v>-1113.5999999999999</v>
      </c>
      <c r="Y42" s="2"/>
      <c r="Z42" s="7">
        <f t="shared" si="37"/>
        <v>-1</v>
      </c>
    </row>
    <row r="43" spans="1:26" s="26" customFormat="1" outlineLevel="1" collapsed="1" x14ac:dyDescent="0.25">
      <c r="A43" s="27"/>
      <c r="B43" s="13" t="str">
        <f>CONCATENATE("     ","Telephone/Data Lines                              ")</f>
        <v xml:space="preserve">     Telephone/Data Lines                              </v>
      </c>
      <c r="C43" s="13"/>
      <c r="D43" s="1">
        <f>SUM(OSRRefD22_7x_0)</f>
        <v>0</v>
      </c>
      <c r="E43" s="1"/>
      <c r="F43" s="5">
        <f t="shared" ref="F43:F44" si="38">IF(D$12=0,0,D43/D$12)</f>
        <v>0</v>
      </c>
      <c r="G43" s="1"/>
      <c r="H43" s="1">
        <f>SUM(OSRRefH22_7x_0)</f>
        <v>75.5</v>
      </c>
      <c r="I43" s="1"/>
      <c r="J43" s="5">
        <f t="shared" ref="J43:J44" si="39">IF(H$12=0,0,H43/H$12)</f>
        <v>7.2492990743941318E-2</v>
      </c>
      <c r="K43" s="1"/>
      <c r="L43" s="1">
        <f t="shared" ref="L43:L44" si="40">+D43-H43</f>
        <v>-75.5</v>
      </c>
      <c r="M43" s="1"/>
      <c r="N43" s="5">
        <f t="shared" ref="N43:N44" si="41">IF(H43=0,0,L43/H43)</f>
        <v>-1</v>
      </c>
      <c r="O43" s="13"/>
      <c r="P43" s="1">
        <f>SUM(OSRRefP22_7x_0)</f>
        <v>178.69</v>
      </c>
      <c r="Q43" s="1"/>
      <c r="R43" s="5">
        <f t="shared" ref="R43:R44" si="42">IF(P$12=0,0,P43/P$12)</f>
        <v>0</v>
      </c>
      <c r="S43" s="1"/>
      <c r="T43" s="1">
        <f>SUM(OSRRefT22_7x_0)</f>
        <v>337.5</v>
      </c>
      <c r="U43" s="1"/>
      <c r="V43" s="5">
        <f t="shared" ref="V43:V44" si="43">IF(T$12=0,0,T43/T$12)</f>
        <v>7.8354258757104125E-2</v>
      </c>
      <c r="W43" s="1"/>
      <c r="X43" s="1">
        <f t="shared" ref="X43:X44" si="44">+P43-T43</f>
        <v>-158.81</v>
      </c>
      <c r="Y43" s="1"/>
      <c r="Z43" s="5">
        <f t="shared" ref="Z43:Z44" si="45">IF(T43=0,0,X43/T43)</f>
        <v>-0.47054814814814816</v>
      </c>
    </row>
    <row r="44" spans="1:26" s="24" customFormat="1" hidden="1" outlineLevel="2" x14ac:dyDescent="0.25">
      <c r="A44" s="25"/>
      <c r="B44" s="11" t="str">
        <f>CONCATENATE("          ", "6309", " - ", "TELEPHONE")</f>
        <v xml:space="preserve">          6309 - TELEPHONE</v>
      </c>
      <c r="C44" s="11"/>
      <c r="D44" s="6"/>
      <c r="E44" s="2"/>
      <c r="F44" s="7">
        <f t="shared" si="38"/>
        <v>0</v>
      </c>
      <c r="G44" s="2"/>
      <c r="H44" s="6">
        <v>75.5</v>
      </c>
      <c r="I44" s="2"/>
      <c r="J44" s="7">
        <f t="shared" si="39"/>
        <v>7.2492990743941318E-2</v>
      </c>
      <c r="K44" s="2"/>
      <c r="L44" s="6">
        <f t="shared" si="40"/>
        <v>-75.5</v>
      </c>
      <c r="M44" s="2"/>
      <c r="N44" s="7">
        <f t="shared" si="41"/>
        <v>-1</v>
      </c>
      <c r="O44" s="11"/>
      <c r="P44" s="6">
        <v>178.69</v>
      </c>
      <c r="Q44" s="2"/>
      <c r="R44" s="7">
        <f t="shared" si="42"/>
        <v>0</v>
      </c>
      <c r="S44" s="2"/>
      <c r="T44" s="6">
        <v>337.5</v>
      </c>
      <c r="U44" s="2"/>
      <c r="V44" s="7">
        <f t="shared" si="43"/>
        <v>7.8354258757104125E-2</v>
      </c>
      <c r="W44" s="2"/>
      <c r="X44" s="6">
        <f t="shared" si="44"/>
        <v>-158.81</v>
      </c>
      <c r="Y44" s="2"/>
      <c r="Z44" s="7">
        <f t="shared" si="45"/>
        <v>-0.47054814814814816</v>
      </c>
    </row>
    <row r="45" spans="1:26" s="53" customFormat="1" x14ac:dyDescent="0.25">
      <c r="A45" s="37"/>
      <c r="B45" s="37"/>
      <c r="C45" s="37"/>
      <c r="D45" s="1"/>
      <c r="E45" s="1"/>
      <c r="F45" s="5"/>
      <c r="G45" s="1"/>
      <c r="H45" s="1"/>
      <c r="I45" s="1"/>
      <c r="J45" s="5"/>
      <c r="K45" s="1"/>
      <c r="L45" s="1"/>
      <c r="M45" s="1"/>
      <c r="N45" s="5"/>
      <c r="O45" s="37"/>
      <c r="P45" s="1"/>
      <c r="Q45" s="1"/>
      <c r="R45" s="5"/>
      <c r="S45" s="1"/>
      <c r="T45" s="1"/>
      <c r="U45" s="1"/>
      <c r="V45" s="5"/>
      <c r="W45" s="1"/>
      <c r="X45" s="1"/>
      <c r="Y45" s="1"/>
      <c r="Z45" s="5"/>
    </row>
    <row r="46" spans="1:26" s="23" customFormat="1" x14ac:dyDescent="0.25">
      <c r="A46" s="10"/>
      <c r="B46" s="29" t="s">
        <v>0</v>
      </c>
      <c r="C46" s="10"/>
      <c r="D46" s="4">
        <f>SUM(0)</f>
        <v>0</v>
      </c>
      <c r="E46" s="4"/>
      <c r="F46" s="12">
        <f>IF(D$12=0,0,D46/D$12)</f>
        <v>0</v>
      </c>
      <c r="G46" s="4"/>
      <c r="H46" s="4">
        <f>SUM(0)</f>
        <v>0</v>
      </c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>
        <f>SUM(0)</f>
        <v>0</v>
      </c>
      <c r="Q46" s="4"/>
      <c r="R46" s="12">
        <f>IF(P$12=0,0,P46/P$12)</f>
        <v>0</v>
      </c>
      <c r="S46" s="4"/>
      <c r="T46" s="4">
        <f>SUM(0)</f>
        <v>0</v>
      </c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10"/>
      <c r="B48" s="28" t="s">
        <v>3</v>
      </c>
      <c r="C48" s="28"/>
      <c r="D48" s="20">
        <f>+D21-D23+D46</f>
        <v>0</v>
      </c>
      <c r="E48" s="14"/>
      <c r="F48" s="22">
        <f>IF(D$12=0,0,D48/D$12)</f>
        <v>0</v>
      </c>
      <c r="G48" s="14"/>
      <c r="H48" s="20">
        <f>+H21-H23+H46</f>
        <v>-2047.1100000000001</v>
      </c>
      <c r="I48" s="14"/>
      <c r="J48" s="22">
        <f>IF(H$12=0,0,H48/H$12)</f>
        <v>-1.9655778315474133</v>
      </c>
      <c r="K48" s="15"/>
      <c r="L48" s="20">
        <f>+D48-H48</f>
        <v>2047.1100000000001</v>
      </c>
      <c r="M48" s="15"/>
      <c r="N48" s="22">
        <f>IF(H48=0,0,L48/H48)</f>
        <v>-1</v>
      </c>
      <c r="O48" s="29"/>
      <c r="P48" s="20">
        <f>+P21-P23+P46</f>
        <v>-178.69</v>
      </c>
      <c r="Q48" s="14"/>
      <c r="R48" s="22">
        <f>IF(P$12=0,0,P48/P$12)</f>
        <v>0</v>
      </c>
      <c r="S48" s="14"/>
      <c r="T48" s="20">
        <f>+T21-T23+T46</f>
        <v>-10082.000000000002</v>
      </c>
      <c r="U48" s="14"/>
      <c r="V48" s="22">
        <f>IF(T$12=0,0,T48/T$12)</f>
        <v>-2.3406448497455523</v>
      </c>
      <c r="W48" s="15"/>
      <c r="X48" s="20">
        <f>+P48-T48</f>
        <v>9903.3100000000013</v>
      </c>
      <c r="Y48" s="15"/>
      <c r="Z48" s="22">
        <f>IF(T48=0,0,X48/T48)</f>
        <v>-0.98227633406070225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51"/>
      <c r="B50" s="10" t="s">
        <v>13</v>
      </c>
      <c r="C50" s="10"/>
      <c r="D50" s="4"/>
      <c r="E50" s="4"/>
      <c r="F50" s="12">
        <f>IF(D$12=0,0,D50/D$12)</f>
        <v>0</v>
      </c>
      <c r="G50" s="4"/>
      <c r="H50" s="4">
        <v>127.37</v>
      </c>
      <c r="I50" s="4"/>
      <c r="J50" s="12">
        <f>IF(H$12=0,0,H50/H$12)</f>
        <v>0.12229711564312325</v>
      </c>
      <c r="K50" s="4"/>
      <c r="L50" s="4">
        <f>+D50-H50</f>
        <v>-127.37</v>
      </c>
      <c r="M50" s="4"/>
      <c r="N50" s="12">
        <f>IF(H50=0,0,L50/H50)</f>
        <v>-1</v>
      </c>
      <c r="O50" s="10"/>
      <c r="P50" s="4"/>
      <c r="Q50" s="4"/>
      <c r="R50" s="12">
        <f>IF(P$12=0,0,P50/P$12)</f>
        <v>0</v>
      </c>
      <c r="S50" s="4"/>
      <c r="T50" s="4">
        <v>456.12</v>
      </c>
      <c r="U50" s="4"/>
      <c r="V50" s="12">
        <f>IF(T$12=0,0,T50/T$12)</f>
        <v>0.10589316890160098</v>
      </c>
      <c r="W50" s="4"/>
      <c r="X50" s="4">
        <f>+P50-T50</f>
        <v>-456.12</v>
      </c>
      <c r="Y50" s="4"/>
      <c r="Z50" s="12">
        <f>IF(T50=0,0,X50/T50)</f>
        <v>-1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ht="15.75" thickBot="1" x14ac:dyDescent="0.3">
      <c r="A52" s="10"/>
      <c r="B52" s="28" t="s">
        <v>4</v>
      </c>
      <c r="C52" s="28"/>
      <c r="D52" s="31">
        <f>+D48-D50</f>
        <v>0</v>
      </c>
      <c r="E52" s="14"/>
      <c r="F52" s="34">
        <f>IF(D$12=0,0,D52/D$12)</f>
        <v>0</v>
      </c>
      <c r="G52" s="14"/>
      <c r="H52" s="31">
        <f>+H48-H50</f>
        <v>-2174.48</v>
      </c>
      <c r="I52" s="14"/>
      <c r="J52" s="34">
        <f>IF(H$12=0,0,H52/H$12)</f>
        <v>-2.0878749471905365</v>
      </c>
      <c r="K52" s="15"/>
      <c r="L52" s="31">
        <f>D52-H52</f>
        <v>2174.48</v>
      </c>
      <c r="M52" s="15"/>
      <c r="N52" s="34">
        <f>IF(H52=0,0,L52/H52)</f>
        <v>-1</v>
      </c>
      <c r="O52" s="29"/>
      <c r="P52" s="31">
        <f>+P48-P50</f>
        <v>-178.69</v>
      </c>
      <c r="Q52" s="14"/>
      <c r="R52" s="34">
        <f>IF(P$12=0,0,P52/P$12)</f>
        <v>0</v>
      </c>
      <c r="S52" s="14"/>
      <c r="T52" s="31">
        <f>+T48-T50</f>
        <v>-10538.120000000003</v>
      </c>
      <c r="U52" s="14"/>
      <c r="V52" s="34">
        <f>IF(T$12=0,0,T52/T$12)</f>
        <v>-2.4465380186471535</v>
      </c>
      <c r="W52" s="15"/>
      <c r="X52" s="31">
        <f>P52-T52</f>
        <v>10359.430000000002</v>
      </c>
      <c r="Y52" s="15"/>
      <c r="Z52" s="34">
        <f>IF(T52=0,0,X52/T52)</f>
        <v>-0.98304346505828355</v>
      </c>
    </row>
    <row r="53" spans="1:26" ht="15.75" thickTop="1" x14ac:dyDescent="0.25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8" t="s">
        <v>5</v>
      </c>
      <c r="C55" s="28"/>
      <c r="D55" s="32">
        <f>SUM(D52:D54)</f>
        <v>0</v>
      </c>
      <c r="E55" s="14"/>
      <c r="F55" s="30">
        <f>IF(D$12=0,0,D55/D$12)</f>
        <v>0</v>
      </c>
      <c r="G55" s="14"/>
      <c r="H55" s="32">
        <f>SUM(H52:H54)</f>
        <v>-2174.48</v>
      </c>
      <c r="I55" s="14"/>
      <c r="J55" s="30">
        <f>IF(H$12=0,0,H55/H$12)</f>
        <v>-2.0878749471905365</v>
      </c>
      <c r="K55" s="15"/>
      <c r="L55" s="32">
        <f>+D55-H55</f>
        <v>2174.48</v>
      </c>
      <c r="M55" s="15"/>
      <c r="N55" s="30">
        <f>IF(H55=0,0,L55/H55)</f>
        <v>-1</v>
      </c>
      <c r="O55" s="29"/>
      <c r="P55" s="32">
        <f>SUM(P52:P54)</f>
        <v>-178.69</v>
      </c>
      <c r="Q55" s="14"/>
      <c r="R55" s="30">
        <f>IF(P$12=0,0,P55/P$12)</f>
        <v>0</v>
      </c>
      <c r="S55" s="14"/>
      <c r="T55" s="32">
        <f>SUM(T52:T54)</f>
        <v>-10538.120000000003</v>
      </c>
      <c r="U55" s="14"/>
      <c r="V55" s="30">
        <f>IF(T$12=0,0,T55/T$12)</f>
        <v>-2.4465380186471535</v>
      </c>
      <c r="W55" s="15"/>
      <c r="X55" s="32">
        <f>+P55-T55</f>
        <v>10359.430000000002</v>
      </c>
      <c r="Y55" s="15"/>
      <c r="Z55" s="30">
        <f>IF(T55=0,0,X55/T55)</f>
        <v>-0.98304346505828355</v>
      </c>
    </row>
    <row r="56" spans="1:26" ht="15.75" thickTop="1" x14ac:dyDescent="0.25">
      <c r="A56" s="9"/>
      <c r="C56" s="9"/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  <row r="57" spans="1:26" x14ac:dyDescent="0.25">
      <c r="A57" s="9"/>
      <c r="B57" s="54">
        <v>44174.686220567128</v>
      </c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25">
      <c r="A58" s="9"/>
      <c r="B58" s="56" t="s">
        <v>313</v>
      </c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  <row r="59" spans="1:26" x14ac:dyDescent="0.25">
      <c r="A59" s="9"/>
      <c r="B59" s="61"/>
      <c r="D59" s="17"/>
      <c r="E59" s="17"/>
      <c r="G59" s="17"/>
      <c r="H59" s="17"/>
      <c r="I59" s="17"/>
      <c r="J59" s="43"/>
      <c r="K59" s="17"/>
      <c r="L59" s="17"/>
      <c r="M59" s="17"/>
      <c r="P59" s="17"/>
      <c r="Q59" s="17"/>
      <c r="R59" s="43"/>
      <c r="S59" s="17"/>
      <c r="T59" s="17"/>
      <c r="U59" s="17"/>
      <c r="V59" s="43"/>
      <c r="W59" s="17"/>
      <c r="X59" s="17"/>
    </row>
    <row r="60" spans="1:26" x14ac:dyDescent="0.25">
      <c r="D60" s="17"/>
      <c r="E60" s="17"/>
      <c r="G60" s="17"/>
      <c r="H60" s="17"/>
      <c r="I60" s="17"/>
      <c r="J60" s="43"/>
      <c r="K60" s="17"/>
      <c r="L60" s="17"/>
      <c r="M60" s="17"/>
      <c r="P60" s="17"/>
      <c r="Q60" s="17"/>
      <c r="R60" s="43"/>
      <c r="S60" s="17"/>
      <c r="T60" s="17"/>
      <c r="U60" s="17"/>
      <c r="V60" s="43"/>
      <c r="W60" s="17"/>
      <c r="X60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","444", " - ", "Parkside Dining Hall")</f>
        <v>Department 444 - Parkside Dining Hall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107759.14</v>
      </c>
      <c r="E12" s="4"/>
      <c r="F12" s="12"/>
      <c r="G12" s="4"/>
      <c r="H12" s="4">
        <f>SUM(OSRRefH13x_0)</f>
        <v>435948.06</v>
      </c>
      <c r="I12" s="4"/>
      <c r="J12" s="12"/>
      <c r="K12" s="4"/>
      <c r="L12" s="4">
        <f t="shared" ref="L12:L15" si="0">+D12-H12</f>
        <v>-328188.92</v>
      </c>
      <c r="M12" s="4"/>
      <c r="N12" s="12">
        <f t="shared" ref="N12:N15" si="1">IF(H12=0,0,L12/H12)</f>
        <v>-0.75281656259692953</v>
      </c>
      <c r="O12" s="10"/>
      <c r="P12" s="4">
        <f>SUM(OSRRefP13x_0)</f>
        <v>527618.81999999995</v>
      </c>
      <c r="Q12" s="4"/>
      <c r="R12" s="12"/>
      <c r="S12" s="4"/>
      <c r="T12" s="4">
        <f>SUM(OSRRefT13x_0)</f>
        <v>1997101.33</v>
      </c>
      <c r="U12" s="4"/>
      <c r="V12" s="12"/>
      <c r="W12" s="4"/>
      <c r="X12" s="4">
        <f t="shared" ref="X12:X15" si="2">+P12-T12</f>
        <v>-1469482.5100000002</v>
      </c>
      <c r="Y12" s="4"/>
      <c r="Z12" s="12">
        <f t="shared" ref="Z12:Z15" si="3">IF(T12=0,0,X12/T12)</f>
        <v>-0.73580768683379738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--92.59</f>
        <v>92.59</v>
      </c>
      <c r="E13" s="2"/>
      <c r="F13" s="19"/>
      <c r="G13" s="2"/>
      <c r="H13" s="2">
        <f>--215.8</f>
        <v>215.8</v>
      </c>
      <c r="I13" s="2"/>
      <c r="J13" s="19"/>
      <c r="K13" s="2"/>
      <c r="L13" s="2">
        <f t="shared" si="0"/>
        <v>-123.21000000000001</v>
      </c>
      <c r="M13" s="2"/>
      <c r="N13" s="19">
        <f t="shared" si="1"/>
        <v>-0.57094531974050045</v>
      </c>
      <c r="O13" s="11"/>
      <c r="P13" s="2">
        <f>--277.38</f>
        <v>277.38</v>
      </c>
      <c r="Q13" s="2"/>
      <c r="R13" s="19"/>
      <c r="S13" s="2"/>
      <c r="T13" s="2">
        <f>--1986.09</f>
        <v>1986.09</v>
      </c>
      <c r="U13" s="2"/>
      <c r="V13" s="19"/>
      <c r="W13" s="2"/>
      <c r="X13" s="2">
        <f t="shared" si="2"/>
        <v>-1708.71</v>
      </c>
      <c r="Y13" s="2"/>
      <c r="Z13" s="19">
        <f t="shared" si="3"/>
        <v>-0.86033865534794496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--97309.27</f>
        <v>97309.27</v>
      </c>
      <c r="E14" s="2"/>
      <c r="F14" s="19"/>
      <c r="G14" s="2"/>
      <c r="H14" s="2">
        <f>--430286.93</f>
        <v>430286.93</v>
      </c>
      <c r="I14" s="2"/>
      <c r="J14" s="19"/>
      <c r="K14" s="2"/>
      <c r="L14" s="2">
        <f t="shared" si="0"/>
        <v>-332977.65999999997</v>
      </c>
      <c r="M14" s="2"/>
      <c r="N14" s="19">
        <f t="shared" si="1"/>
        <v>-0.77385027706976828</v>
      </c>
      <c r="O14" s="11"/>
      <c r="P14" s="2">
        <f>--508706.05</f>
        <v>508706.05</v>
      </c>
      <c r="Q14" s="2"/>
      <c r="R14" s="19"/>
      <c r="S14" s="2"/>
      <c r="T14" s="2">
        <f>--1959870.2</f>
        <v>1959870.2</v>
      </c>
      <c r="U14" s="2"/>
      <c r="V14" s="19"/>
      <c r="W14" s="2"/>
      <c r="X14" s="2">
        <f t="shared" si="2"/>
        <v>-1451164.15</v>
      </c>
      <c r="Y14" s="2"/>
      <c r="Z14" s="19">
        <f t="shared" si="3"/>
        <v>-0.74043890763786291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--10357.28</f>
        <v>10357.280000000001</v>
      </c>
      <c r="E15" s="2"/>
      <c r="F15" s="19"/>
      <c r="G15" s="2"/>
      <c r="H15" s="2">
        <f>--5445.33</f>
        <v>5445.33</v>
      </c>
      <c r="I15" s="2"/>
      <c r="J15" s="19"/>
      <c r="K15" s="2"/>
      <c r="L15" s="2">
        <f t="shared" si="0"/>
        <v>4911.9500000000007</v>
      </c>
      <c r="M15" s="2"/>
      <c r="N15" s="19">
        <f t="shared" si="1"/>
        <v>0.90204817706181273</v>
      </c>
      <c r="O15" s="11"/>
      <c r="P15" s="2">
        <f>--18635.39</f>
        <v>18635.39</v>
      </c>
      <c r="Q15" s="2"/>
      <c r="R15" s="19"/>
      <c r="S15" s="2"/>
      <c r="T15" s="2">
        <f>--35245.04</f>
        <v>35245.040000000001</v>
      </c>
      <c r="U15" s="2"/>
      <c r="V15" s="19"/>
      <c r="W15" s="2"/>
      <c r="X15" s="2">
        <f t="shared" si="2"/>
        <v>-16609.650000000001</v>
      </c>
      <c r="Y15" s="2"/>
      <c r="Z15" s="19">
        <f t="shared" si="3"/>
        <v>-0.47126205559704293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41258.25</v>
      </c>
      <c r="E17" s="4"/>
      <c r="F17" s="12">
        <f t="shared" ref="F17:F19" si="4">IF(D$12=0,0,D17/D$12)</f>
        <v>0.38287471485017421</v>
      </c>
      <c r="G17" s="4"/>
      <c r="H17" s="4">
        <f>SUM(OSRRefH16x_0)</f>
        <v>97764.409999999989</v>
      </c>
      <c r="I17" s="4"/>
      <c r="J17" s="12">
        <f t="shared" ref="J17:J19" si="5">IF(H$12=0,0,H17/H$12)</f>
        <v>0.22425701355340355</v>
      </c>
      <c r="K17" s="4"/>
      <c r="L17" s="4">
        <f t="shared" ref="L17:L19" si="6">+D17-H17</f>
        <v>-56506.159999999989</v>
      </c>
      <c r="M17" s="4"/>
      <c r="N17" s="12">
        <f t="shared" ref="N17:N19" si="7">IF(H17=0,0,L17/H17)</f>
        <v>-0.57798292855242517</v>
      </c>
      <c r="O17" s="10"/>
      <c r="P17" s="4">
        <f>SUM(OSRRefP16x_0)</f>
        <v>190930.1</v>
      </c>
      <c r="Q17" s="4"/>
      <c r="R17" s="12">
        <f t="shared" ref="R17:R19" si="8">IF(P$12=0,0,P17/P$12)</f>
        <v>0.36187128427299092</v>
      </c>
      <c r="S17" s="4"/>
      <c r="T17" s="4">
        <f>SUM(OSRRefT16x_0)</f>
        <v>506589.61999999994</v>
      </c>
      <c r="U17" s="4"/>
      <c r="V17" s="12">
        <f t="shared" ref="V17:V19" si="9">IF(T$12=0,0,T17/T$12)</f>
        <v>0.25366245186968051</v>
      </c>
      <c r="W17" s="4"/>
      <c r="X17" s="4">
        <f t="shared" ref="X17:X19" si="10">+P17-T17</f>
        <v>-315659.5199999999</v>
      </c>
      <c r="Y17" s="4"/>
      <c r="Z17" s="12">
        <f t="shared" ref="Z17:Z19" si="11">IF(T17=0,0,X17/T17)</f>
        <v>-0.62310696377868924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37703.25</v>
      </c>
      <c r="E18" s="2"/>
      <c r="F18" s="19">
        <f t="shared" si="4"/>
        <v>0.3498844738367437</v>
      </c>
      <c r="G18" s="2"/>
      <c r="H18" s="2">
        <v>86572.909999999989</v>
      </c>
      <c r="I18" s="2"/>
      <c r="J18" s="19">
        <f t="shared" si="5"/>
        <v>0.19858537734976958</v>
      </c>
      <c r="K18" s="2"/>
      <c r="L18" s="2">
        <f t="shared" si="6"/>
        <v>-48869.659999999989</v>
      </c>
      <c r="M18" s="2"/>
      <c r="N18" s="19">
        <f t="shared" si="7"/>
        <v>-0.56449136340686701</v>
      </c>
      <c r="O18" s="11"/>
      <c r="P18" s="2">
        <v>209199.78</v>
      </c>
      <c r="Q18" s="2"/>
      <c r="R18" s="19">
        <f t="shared" si="8"/>
        <v>0.39649794903070368</v>
      </c>
      <c r="S18" s="2"/>
      <c r="T18" s="2">
        <v>507242.86999999994</v>
      </c>
      <c r="U18" s="2"/>
      <c r="V18" s="19">
        <f t="shared" si="9"/>
        <v>0.25398955094582004</v>
      </c>
      <c r="W18" s="2"/>
      <c r="X18" s="2">
        <f t="shared" si="10"/>
        <v>-298043.08999999997</v>
      </c>
      <c r="Y18" s="2"/>
      <c r="Z18" s="19">
        <f t="shared" si="11"/>
        <v>-0.58757472529875088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3555</v>
      </c>
      <c r="E19" s="2"/>
      <c r="F19" s="19">
        <f t="shared" si="4"/>
        <v>3.299024101343051E-2</v>
      </c>
      <c r="G19" s="2"/>
      <c r="H19" s="2">
        <v>11191.5</v>
      </c>
      <c r="I19" s="2"/>
      <c r="J19" s="19">
        <f t="shared" si="5"/>
        <v>2.5671636203633982E-2</v>
      </c>
      <c r="K19" s="2"/>
      <c r="L19" s="2">
        <f t="shared" si="6"/>
        <v>-7636.5</v>
      </c>
      <c r="M19" s="2"/>
      <c r="N19" s="19">
        <f t="shared" si="7"/>
        <v>-0.68234821069561724</v>
      </c>
      <c r="O19" s="11"/>
      <c r="P19" s="2">
        <v>-18269.68</v>
      </c>
      <c r="Q19" s="2"/>
      <c r="R19" s="19">
        <f t="shared" si="8"/>
        <v>-3.4626664757712776E-2</v>
      </c>
      <c r="S19" s="2"/>
      <c r="T19" s="2">
        <v>-653.25</v>
      </c>
      <c r="U19" s="2"/>
      <c r="V19" s="19">
        <f t="shared" si="9"/>
        <v>-3.2709907613951664E-4</v>
      </c>
      <c r="W19" s="2"/>
      <c r="X19" s="2">
        <f t="shared" si="10"/>
        <v>-17616.43</v>
      </c>
      <c r="Y19" s="2"/>
      <c r="Z19" s="19">
        <f t="shared" si="11"/>
        <v>26.967363184079602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0">
        <f>D12-D17</f>
        <v>66500.89</v>
      </c>
      <c r="E21" s="14"/>
      <c r="F21" s="22">
        <f>IF(D$12=0,0,D21/D$12)</f>
        <v>0.61712528514982579</v>
      </c>
      <c r="G21" s="14"/>
      <c r="H21" s="20">
        <f>H12-H17</f>
        <v>338183.65</v>
      </c>
      <c r="I21" s="14"/>
      <c r="J21" s="22">
        <f>IF(H$12=0,0,H21/H$12)</f>
        <v>0.77574298644659645</v>
      </c>
      <c r="K21" s="15"/>
      <c r="L21" s="20">
        <f>+D21-H21</f>
        <v>-271682.76</v>
      </c>
      <c r="M21" s="15"/>
      <c r="N21" s="22">
        <f>IF(H21=0,0,L21/H21)</f>
        <v>-0.80335864847398741</v>
      </c>
      <c r="O21" s="29"/>
      <c r="P21" s="20">
        <f>P12-P17</f>
        <v>336688.72</v>
      </c>
      <c r="Q21" s="14"/>
      <c r="R21" s="22">
        <f>IF(P$12=0,0,P21/P$12)</f>
        <v>0.63812871572700913</v>
      </c>
      <c r="S21" s="14"/>
      <c r="T21" s="20">
        <f>T12-T17</f>
        <v>1490511.7100000002</v>
      </c>
      <c r="U21" s="14"/>
      <c r="V21" s="22">
        <f>IF(T$12=0,0,T21/T$12)</f>
        <v>0.74633754813031949</v>
      </c>
      <c r="W21" s="15"/>
      <c r="X21" s="20">
        <f>+P21-T21</f>
        <v>-1153822.9900000002</v>
      </c>
      <c r="Y21" s="15"/>
      <c r="Z21" s="22">
        <f>IF(T21=0,0,X21/T21)</f>
        <v>-0.77411199271960107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1">
        <f>SUM(OSRRefD22x_0)</f>
        <v>135622.01</v>
      </c>
      <c r="E23" s="21"/>
      <c r="F23" s="35">
        <f t="shared" ref="F23:F33" si="12">IF(D$12=0,0,D23/D$12)</f>
        <v>1.2585661875178291</v>
      </c>
      <c r="G23" s="21"/>
      <c r="H23" s="21">
        <f>SUM(OSRRefH22x_0)</f>
        <v>182010.03000000003</v>
      </c>
      <c r="I23" s="21"/>
      <c r="J23" s="35">
        <f t="shared" ref="J23:J33" si="13">IF(H$12=0,0,H23/H$12)</f>
        <v>0.41750393384019197</v>
      </c>
      <c r="K23" s="4"/>
      <c r="L23" s="21">
        <f t="shared" ref="L23:L33" si="14">+D23-H23</f>
        <v>-46388.020000000019</v>
      </c>
      <c r="M23" s="4"/>
      <c r="N23" s="35">
        <f t="shared" ref="N23:N33" si="15">IF(H23=0,0,L23/H23)</f>
        <v>-0.25486518517688289</v>
      </c>
      <c r="O23" s="10"/>
      <c r="P23" s="21">
        <f>SUM(OSRRefP22x_0)</f>
        <v>593019.21999999986</v>
      </c>
      <c r="Q23" s="21"/>
      <c r="R23" s="35">
        <f t="shared" ref="R23:R33" si="16">IF(P$12=0,0,P23/P$12)</f>
        <v>1.1239538801894897</v>
      </c>
      <c r="S23" s="21"/>
      <c r="T23" s="21">
        <f>SUM(OSRRefT22x_0)</f>
        <v>926603.56999999983</v>
      </c>
      <c r="U23" s="21"/>
      <c r="V23" s="35">
        <f t="shared" ref="V23:V33" si="17">IF(T$12=0,0,T23/T$12)</f>
        <v>0.46397423910383145</v>
      </c>
      <c r="W23" s="4"/>
      <c r="X23" s="21">
        <f t="shared" ref="X23:X33" si="18">+P23-T23</f>
        <v>-333584.34999999998</v>
      </c>
      <c r="Y23" s="4"/>
      <c r="Z23" s="35">
        <f t="shared" ref="Z23:Z33" si="19">IF(T23=0,0,X23/T23)</f>
        <v>-0.36000762440403727</v>
      </c>
    </row>
    <row r="24" spans="1:26" s="26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33451.560000000005</v>
      </c>
      <c r="E24" s="1"/>
      <c r="F24" s="5">
        <f t="shared" si="12"/>
        <v>0.31042898078065589</v>
      </c>
      <c r="G24" s="1"/>
      <c r="H24" s="1">
        <f>SUM(OSRRefH22_0x_0)</f>
        <v>33098.26</v>
      </c>
      <c r="I24" s="1"/>
      <c r="J24" s="5">
        <f t="shared" si="13"/>
        <v>7.5922484894186709E-2</v>
      </c>
      <c r="K24" s="1"/>
      <c r="L24" s="1">
        <f t="shared" si="14"/>
        <v>353.30000000000291</v>
      </c>
      <c r="M24" s="1"/>
      <c r="N24" s="5">
        <f t="shared" si="15"/>
        <v>1.0674277137227241E-2</v>
      </c>
      <c r="O24" s="13"/>
      <c r="P24" s="1">
        <f>SUM(OSRRefP22_0x_0)</f>
        <v>154082.16</v>
      </c>
      <c r="Q24" s="1"/>
      <c r="R24" s="5">
        <f t="shared" si="16"/>
        <v>0.29203310071464095</v>
      </c>
      <c r="S24" s="1"/>
      <c r="T24" s="1">
        <f>SUM(OSRRefT22_0x_0)</f>
        <v>166951.17000000001</v>
      </c>
      <c r="U24" s="1"/>
      <c r="V24" s="5">
        <f t="shared" si="17"/>
        <v>8.3596744687962327E-2</v>
      </c>
      <c r="W24" s="1"/>
      <c r="X24" s="1">
        <f t="shared" si="18"/>
        <v>-12869.010000000009</v>
      </c>
      <c r="Y24" s="1"/>
      <c r="Z24" s="5">
        <f t="shared" si="19"/>
        <v>-7.7082478667265461E-2</v>
      </c>
    </row>
    <row r="25" spans="1:26" s="24" customFormat="1" hidden="1" outlineLevel="2" x14ac:dyDescent="0.25">
      <c r="A25" s="25"/>
      <c r="B25" s="11" t="str">
        <f>CONCATENATE("          ", "6111", " - ", "F.I.C.A.")</f>
        <v xml:space="preserve">          6111 - F.I.C.A.</v>
      </c>
      <c r="C25" s="11"/>
      <c r="D25" s="6">
        <v>3504.01</v>
      </c>
      <c r="E25" s="2"/>
      <c r="F25" s="7">
        <f t="shared" si="12"/>
        <v>3.2517056093803273E-2</v>
      </c>
      <c r="G25" s="2"/>
      <c r="H25" s="6">
        <v>3923.43</v>
      </c>
      <c r="I25" s="2"/>
      <c r="J25" s="7">
        <f t="shared" si="13"/>
        <v>8.9997647884933803E-3</v>
      </c>
      <c r="K25" s="2"/>
      <c r="L25" s="6">
        <f t="shared" si="14"/>
        <v>-419.41999999999962</v>
      </c>
      <c r="M25" s="2"/>
      <c r="N25" s="7">
        <f t="shared" si="15"/>
        <v>-0.10690135926982249</v>
      </c>
      <c r="O25" s="11"/>
      <c r="P25" s="6">
        <v>18372.82</v>
      </c>
      <c r="Q25" s="2"/>
      <c r="R25" s="7">
        <f t="shared" si="16"/>
        <v>3.4822146791503764E-2</v>
      </c>
      <c r="S25" s="2"/>
      <c r="T25" s="6">
        <v>25743.3</v>
      </c>
      <c r="U25" s="2"/>
      <c r="V25" s="7">
        <f t="shared" si="17"/>
        <v>1.2890332409923336E-2</v>
      </c>
      <c r="W25" s="2"/>
      <c r="X25" s="6">
        <f t="shared" si="18"/>
        <v>-7370.48</v>
      </c>
      <c r="Y25" s="2"/>
      <c r="Z25" s="7">
        <f t="shared" si="19"/>
        <v>-0.28630672835261989</v>
      </c>
    </row>
    <row r="26" spans="1:26" s="24" customFormat="1" hidden="1" outlineLevel="2" x14ac:dyDescent="0.25">
      <c r="A26" s="25"/>
      <c r="B26" s="11" t="str">
        <f>CONCATENATE("          ", "6112", " - ", "COMPENSATION INSURANCE")</f>
        <v xml:space="preserve">          6112 - COMPENSATION INSURANCE</v>
      </c>
      <c r="C26" s="11"/>
      <c r="D26" s="6">
        <v>4448.62</v>
      </c>
      <c r="E26" s="2"/>
      <c r="F26" s="7">
        <f t="shared" si="12"/>
        <v>4.128299464899219E-2</v>
      </c>
      <c r="G26" s="2"/>
      <c r="H26" s="6">
        <v>4044.38</v>
      </c>
      <c r="I26" s="2"/>
      <c r="J26" s="7">
        <f t="shared" si="13"/>
        <v>9.2772060965244357E-3</v>
      </c>
      <c r="K26" s="2"/>
      <c r="L26" s="6">
        <f t="shared" si="14"/>
        <v>404.23999999999978</v>
      </c>
      <c r="M26" s="2"/>
      <c r="N26" s="7">
        <f t="shared" si="15"/>
        <v>9.9951043175962637E-2</v>
      </c>
      <c r="O26" s="11"/>
      <c r="P26" s="6">
        <v>12742.13</v>
      </c>
      <c r="Q26" s="2"/>
      <c r="R26" s="7">
        <f t="shared" si="16"/>
        <v>2.4150256808504293E-2</v>
      </c>
      <c r="S26" s="2"/>
      <c r="T26" s="6">
        <v>12522.69</v>
      </c>
      <c r="U26" s="2"/>
      <c r="V26" s="7">
        <f t="shared" si="17"/>
        <v>6.2704329579511119E-3</v>
      </c>
      <c r="W26" s="2"/>
      <c r="X26" s="6">
        <f t="shared" si="18"/>
        <v>219.43999999999869</v>
      </c>
      <c r="Y26" s="2"/>
      <c r="Z26" s="7">
        <f t="shared" si="19"/>
        <v>1.7523391539677073E-2</v>
      </c>
    </row>
    <row r="27" spans="1:26" s="24" customFormat="1" hidden="1" outlineLevel="2" x14ac:dyDescent="0.25">
      <c r="A27" s="25"/>
      <c r="B27" s="11" t="str">
        <f>CONCATENATE("          ", "6113", " - ", "GROUP INSURANCE")</f>
        <v xml:space="preserve">          6113 - GROUP INSURANCE</v>
      </c>
      <c r="C27" s="11"/>
      <c r="D27" s="6">
        <v>17824.95</v>
      </c>
      <c r="E27" s="2"/>
      <c r="F27" s="7">
        <f t="shared" si="12"/>
        <v>0.16541473883329061</v>
      </c>
      <c r="G27" s="2"/>
      <c r="H27" s="6">
        <v>17316.740000000002</v>
      </c>
      <c r="I27" s="2"/>
      <c r="J27" s="7">
        <f t="shared" si="13"/>
        <v>3.9722025600939709E-2</v>
      </c>
      <c r="K27" s="2"/>
      <c r="L27" s="6">
        <f t="shared" si="14"/>
        <v>508.20999999999913</v>
      </c>
      <c r="M27" s="2"/>
      <c r="N27" s="7">
        <f t="shared" si="15"/>
        <v>2.934790266528221E-2</v>
      </c>
      <c r="O27" s="11"/>
      <c r="P27" s="6">
        <v>85178.85</v>
      </c>
      <c r="Q27" s="2"/>
      <c r="R27" s="7">
        <f t="shared" si="16"/>
        <v>0.1614401283108135</v>
      </c>
      <c r="S27" s="2"/>
      <c r="T27" s="6">
        <v>84062.66</v>
      </c>
      <c r="U27" s="2"/>
      <c r="V27" s="7">
        <f t="shared" si="17"/>
        <v>4.2092335895645316E-2</v>
      </c>
      <c r="W27" s="2"/>
      <c r="X27" s="6">
        <f t="shared" si="18"/>
        <v>1116.1900000000023</v>
      </c>
      <c r="Y27" s="2"/>
      <c r="Z27" s="7">
        <f t="shared" si="19"/>
        <v>1.3278071381514722E-2</v>
      </c>
    </row>
    <row r="28" spans="1:26" s="24" customFormat="1" hidden="1" outlineLevel="2" x14ac:dyDescent="0.25">
      <c r="A28" s="25"/>
      <c r="B28" s="11" t="str">
        <f>CONCATENATE("          ", "6114", " - ", "STATE UNEMPLOYMENT INSURANCE")</f>
        <v xml:space="preserve">          6114 - STATE UNEMPLOYMENT INSURANCE</v>
      </c>
      <c r="C28" s="11"/>
      <c r="D28" s="6">
        <v>269.61</v>
      </c>
      <c r="E28" s="2"/>
      <c r="F28" s="7">
        <f t="shared" si="12"/>
        <v>2.5019687425122364E-3</v>
      </c>
      <c r="G28" s="2"/>
      <c r="H28" s="6">
        <v>271.41000000000003</v>
      </c>
      <c r="I28" s="2"/>
      <c r="J28" s="7">
        <f t="shared" si="13"/>
        <v>6.2257416628944291E-4</v>
      </c>
      <c r="K28" s="2"/>
      <c r="L28" s="6">
        <f t="shared" si="14"/>
        <v>-1.8000000000000114</v>
      </c>
      <c r="M28" s="2"/>
      <c r="N28" s="7">
        <f t="shared" si="15"/>
        <v>-6.6320327180281165E-3</v>
      </c>
      <c r="O28" s="11"/>
      <c r="P28" s="6">
        <v>844.37</v>
      </c>
      <c r="Q28" s="2"/>
      <c r="R28" s="7">
        <f t="shared" si="16"/>
        <v>1.6003409431073745E-3</v>
      </c>
      <c r="S28" s="2"/>
      <c r="T28" s="6">
        <v>1215.7</v>
      </c>
      <c r="U28" s="2"/>
      <c r="V28" s="7">
        <f t="shared" si="17"/>
        <v>6.0873225696564935E-4</v>
      </c>
      <c r="W28" s="2"/>
      <c r="X28" s="6">
        <f t="shared" si="18"/>
        <v>-371.33000000000004</v>
      </c>
      <c r="Y28" s="2"/>
      <c r="Z28" s="7">
        <f t="shared" si="19"/>
        <v>-0.30544542239039241</v>
      </c>
    </row>
    <row r="29" spans="1:26" s="24" customFormat="1" hidden="1" outlineLevel="2" x14ac:dyDescent="0.25">
      <c r="A29" s="25"/>
      <c r="B29" s="11" t="str">
        <f>CONCATENATE("          ", "6115", " - ", "P.E.R.S.")</f>
        <v xml:space="preserve">          6115 - P.E.R.S.</v>
      </c>
      <c r="C29" s="11"/>
      <c r="D29" s="6">
        <v>1757.2</v>
      </c>
      <c r="E29" s="2"/>
      <c r="F29" s="7">
        <f t="shared" si="12"/>
        <v>1.6306737414571053E-2</v>
      </c>
      <c r="G29" s="2"/>
      <c r="H29" s="6">
        <v>1216.6600000000001</v>
      </c>
      <c r="I29" s="2"/>
      <c r="J29" s="7">
        <f t="shared" si="13"/>
        <v>2.7908370552216706E-3</v>
      </c>
      <c r="K29" s="2"/>
      <c r="L29" s="6">
        <f t="shared" si="14"/>
        <v>540.54</v>
      </c>
      <c r="M29" s="2"/>
      <c r="N29" s="7">
        <f t="shared" si="15"/>
        <v>0.44428188647609024</v>
      </c>
      <c r="O29" s="11"/>
      <c r="P29" s="6">
        <v>8082.81</v>
      </c>
      <c r="Q29" s="2"/>
      <c r="R29" s="7">
        <f t="shared" si="16"/>
        <v>1.5319411843572982E-2</v>
      </c>
      <c r="S29" s="2"/>
      <c r="T29" s="6">
        <v>6644.21</v>
      </c>
      <c r="U29" s="2"/>
      <c r="V29" s="7">
        <f t="shared" si="17"/>
        <v>3.3269268314993308E-3</v>
      </c>
      <c r="W29" s="2"/>
      <c r="X29" s="6">
        <f t="shared" si="18"/>
        <v>1438.6000000000004</v>
      </c>
      <c r="Y29" s="2"/>
      <c r="Z29" s="7">
        <f t="shared" si="19"/>
        <v>0.2165193454150306</v>
      </c>
    </row>
    <row r="30" spans="1:26" s="24" customFormat="1" hidden="1" outlineLevel="2" x14ac:dyDescent="0.25">
      <c r="A30" s="25"/>
      <c r="B30" s="11" t="str">
        <f>CONCATENATE("          ", "6117", " - ", "RETIREMENT STAFF HOURLY")</f>
        <v xml:space="preserve">          6117 - RETIREMENT STAFF HOURLY</v>
      </c>
      <c r="C30" s="11"/>
      <c r="D30" s="6">
        <v>465.32</v>
      </c>
      <c r="E30" s="2"/>
      <c r="F30" s="7">
        <f t="shared" si="12"/>
        <v>4.3181487899773517E-3</v>
      </c>
      <c r="G30" s="2"/>
      <c r="H30" s="6">
        <v>694.87</v>
      </c>
      <c r="I30" s="2"/>
      <c r="J30" s="7">
        <f t="shared" si="13"/>
        <v>1.5939284143161459E-3</v>
      </c>
      <c r="K30" s="2"/>
      <c r="L30" s="6">
        <f t="shared" si="14"/>
        <v>-229.55</v>
      </c>
      <c r="M30" s="2"/>
      <c r="N30" s="7">
        <f t="shared" si="15"/>
        <v>-0.33034956178853597</v>
      </c>
      <c r="O30" s="11"/>
      <c r="P30" s="6">
        <v>2767.59</v>
      </c>
      <c r="Q30" s="2"/>
      <c r="R30" s="7">
        <f t="shared" si="16"/>
        <v>5.24543457339145E-3</v>
      </c>
      <c r="S30" s="2"/>
      <c r="T30" s="6">
        <v>3688.96</v>
      </c>
      <c r="U30" s="2"/>
      <c r="V30" s="7">
        <f t="shared" si="17"/>
        <v>1.847157149507281E-3</v>
      </c>
      <c r="W30" s="2"/>
      <c r="X30" s="6">
        <f t="shared" si="18"/>
        <v>-921.36999999999989</v>
      </c>
      <c r="Y30" s="2"/>
      <c r="Z30" s="7">
        <f t="shared" si="19"/>
        <v>-0.24976416117279665</v>
      </c>
    </row>
    <row r="31" spans="1:26" s="24" customFormat="1" hidden="1" outlineLevel="2" x14ac:dyDescent="0.25">
      <c r="A31" s="25"/>
      <c r="B31" s="11" t="str">
        <f>CONCATENATE("          ", "6118", " - ", "VACATION")</f>
        <v xml:space="preserve">          6118 - VACATION</v>
      </c>
      <c r="C31" s="11"/>
      <c r="D31" s="6">
        <v>2606.96</v>
      </c>
      <c r="E31" s="2"/>
      <c r="F31" s="7">
        <f t="shared" si="12"/>
        <v>2.4192472211637919E-2</v>
      </c>
      <c r="G31" s="2"/>
      <c r="H31" s="6">
        <v>2637.87</v>
      </c>
      <c r="I31" s="2"/>
      <c r="J31" s="7">
        <f t="shared" si="13"/>
        <v>6.0508813825206603E-3</v>
      </c>
      <c r="K31" s="2"/>
      <c r="L31" s="6">
        <f t="shared" si="14"/>
        <v>-30.909999999999854</v>
      </c>
      <c r="M31" s="2"/>
      <c r="N31" s="7">
        <f t="shared" si="15"/>
        <v>-1.1717787457304512E-2</v>
      </c>
      <c r="O31" s="11"/>
      <c r="P31" s="6">
        <v>13425.98</v>
      </c>
      <c r="Q31" s="2"/>
      <c r="R31" s="7">
        <f t="shared" si="16"/>
        <v>2.5446362963322651E-2</v>
      </c>
      <c r="S31" s="2"/>
      <c r="T31" s="6">
        <v>15325.79</v>
      </c>
      <c r="U31" s="2"/>
      <c r="V31" s="7">
        <f t="shared" si="17"/>
        <v>7.6740172217500853E-3</v>
      </c>
      <c r="W31" s="2"/>
      <c r="X31" s="6">
        <f t="shared" si="18"/>
        <v>-1899.8100000000013</v>
      </c>
      <c r="Y31" s="2"/>
      <c r="Z31" s="7">
        <f t="shared" si="19"/>
        <v>-0.12396163590914408</v>
      </c>
    </row>
    <row r="32" spans="1:26" s="24" customFormat="1" hidden="1" outlineLevel="2" x14ac:dyDescent="0.25">
      <c r="A32" s="25"/>
      <c r="B32" s="11" t="str">
        <f>CONCATENATE("          ", "6119", " - ", "SICK LEAVE")</f>
        <v xml:space="preserve">          6119 - SICK LEAVE</v>
      </c>
      <c r="C32" s="11"/>
      <c r="D32" s="6">
        <v>1633.22</v>
      </c>
      <c r="E32" s="2"/>
      <c r="F32" s="7">
        <f t="shared" si="12"/>
        <v>1.5156208559199712E-2</v>
      </c>
      <c r="G32" s="2"/>
      <c r="H32" s="6">
        <v>1637.04</v>
      </c>
      <c r="I32" s="2"/>
      <c r="J32" s="7">
        <f t="shared" si="13"/>
        <v>3.7551262414150894E-3</v>
      </c>
      <c r="K32" s="2"/>
      <c r="L32" s="6">
        <f t="shared" si="14"/>
        <v>-3.8199999999999363</v>
      </c>
      <c r="M32" s="2"/>
      <c r="N32" s="7">
        <f t="shared" si="15"/>
        <v>-2.3334799394027859E-3</v>
      </c>
      <c r="O32" s="11"/>
      <c r="P32" s="6">
        <v>8432.5400000000009</v>
      </c>
      <c r="Q32" s="2"/>
      <c r="R32" s="7">
        <f t="shared" si="16"/>
        <v>1.5982257797400028E-2</v>
      </c>
      <c r="S32" s="2"/>
      <c r="T32" s="6">
        <v>11095.97</v>
      </c>
      <c r="U32" s="2"/>
      <c r="V32" s="7">
        <f t="shared" si="17"/>
        <v>5.5560375596965823E-3</v>
      </c>
      <c r="W32" s="2"/>
      <c r="X32" s="6">
        <f t="shared" si="18"/>
        <v>-2663.4299999999985</v>
      </c>
      <c r="Y32" s="2"/>
      <c r="Z32" s="7">
        <f t="shared" si="19"/>
        <v>-0.24003579678027234</v>
      </c>
    </row>
    <row r="33" spans="1:26" s="24" customFormat="1" hidden="1" outlineLevel="2" x14ac:dyDescent="0.25">
      <c r="A33" s="25"/>
      <c r="B33" s="11" t="str">
        <f>CONCATENATE("          ", "6156", " - ", "EMPLOYEE MEALS")</f>
        <v xml:space="preserve">          6156 - EMPLOYEE MEALS</v>
      </c>
      <c r="C33" s="11"/>
      <c r="D33" s="6">
        <v>941.67</v>
      </c>
      <c r="E33" s="2"/>
      <c r="F33" s="7">
        <f t="shared" si="12"/>
        <v>8.7386554866714788E-3</v>
      </c>
      <c r="G33" s="2"/>
      <c r="H33" s="6">
        <v>1355.86</v>
      </c>
      <c r="I33" s="2"/>
      <c r="J33" s="7">
        <f t="shared" si="13"/>
        <v>3.1101411484661724E-3</v>
      </c>
      <c r="K33" s="2"/>
      <c r="L33" s="6">
        <f t="shared" si="14"/>
        <v>-414.18999999999994</v>
      </c>
      <c r="M33" s="2"/>
      <c r="N33" s="7">
        <f t="shared" si="15"/>
        <v>-0.30548139188411783</v>
      </c>
      <c r="O33" s="11"/>
      <c r="P33" s="6">
        <v>4235.07</v>
      </c>
      <c r="Q33" s="2"/>
      <c r="R33" s="7">
        <f t="shared" si="16"/>
        <v>8.0267606830249152E-3</v>
      </c>
      <c r="S33" s="2"/>
      <c r="T33" s="6">
        <v>6651.89</v>
      </c>
      <c r="U33" s="2"/>
      <c r="V33" s="7">
        <f t="shared" si="17"/>
        <v>3.3307724050236349E-3</v>
      </c>
      <c r="W33" s="2"/>
      <c r="X33" s="6">
        <f t="shared" si="18"/>
        <v>-2416.8200000000006</v>
      </c>
      <c r="Y33" s="2"/>
      <c r="Z33" s="7">
        <f t="shared" si="19"/>
        <v>-0.36332831721510739</v>
      </c>
    </row>
    <row r="34" spans="1:26" s="26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57552.079999999994</v>
      </c>
      <c r="E34" s="1"/>
      <c r="F34" s="5">
        <f t="shared" ref="F34:F40" si="20">IF(D$12=0,0,D34/D$12)</f>
        <v>0.53408072855815292</v>
      </c>
      <c r="G34" s="1"/>
      <c r="H34" s="1">
        <f>SUM(OSRRefH22_1x_0)</f>
        <v>90142.56</v>
      </c>
      <c r="I34" s="1"/>
      <c r="J34" s="5">
        <f t="shared" ref="J34:J40" si="21">IF(H$12=0,0,H34/H$12)</f>
        <v>0.20677362344495809</v>
      </c>
      <c r="K34" s="1"/>
      <c r="L34" s="1">
        <f t="shared" ref="L34:L40" si="22">+D34-H34</f>
        <v>-32590.480000000003</v>
      </c>
      <c r="M34" s="1"/>
      <c r="N34" s="5">
        <f t="shared" ref="N34:N40" si="23">IF(H34=0,0,L34/H34)</f>
        <v>-0.3615437591299826</v>
      </c>
      <c r="O34" s="13"/>
      <c r="P34" s="1">
        <f>SUM(OSRRefP22_1x_0)</f>
        <v>278874.39999999997</v>
      </c>
      <c r="Q34" s="1"/>
      <c r="R34" s="5">
        <f t="shared" ref="R34:R40" si="24">IF(P$12=0,0,P34/P$12)</f>
        <v>0.5285527911987673</v>
      </c>
      <c r="S34" s="1"/>
      <c r="T34" s="1">
        <f>SUM(OSRRefT22_1x_0)</f>
        <v>484999.16999999993</v>
      </c>
      <c r="U34" s="1"/>
      <c r="V34" s="5">
        <f t="shared" ref="V34:V40" si="25">IF(T$12=0,0,T34/T$12)</f>
        <v>0.24285155826319535</v>
      </c>
      <c r="W34" s="1"/>
      <c r="X34" s="1">
        <f t="shared" ref="X34:X40" si="26">+P34-T34</f>
        <v>-206124.76999999996</v>
      </c>
      <c r="Y34" s="1"/>
      <c r="Z34" s="5">
        <f t="shared" ref="Z34:Z40" si="27">IF(T34=0,0,X34/T34)</f>
        <v>-0.4250002530932166</v>
      </c>
    </row>
    <row r="35" spans="1:26" s="24" customFormat="1" hidden="1" outlineLevel="2" x14ac:dyDescent="0.25">
      <c r="A35" s="25"/>
      <c r="B35" s="11" t="str">
        <f>CONCATENATE("          ", "6002", " - ", "STAFF SALARIES")</f>
        <v xml:space="preserve">          6002 - STAFF SALARIES</v>
      </c>
      <c r="C35" s="11"/>
      <c r="D35" s="6">
        <v>10950.96</v>
      </c>
      <c r="E35" s="2"/>
      <c r="F35" s="7">
        <f t="shared" si="20"/>
        <v>0.1016244190515997</v>
      </c>
      <c r="G35" s="2"/>
      <c r="H35" s="6">
        <v>13591.67</v>
      </c>
      <c r="I35" s="2"/>
      <c r="J35" s="7">
        <f t="shared" si="21"/>
        <v>3.1177269145319743E-2</v>
      </c>
      <c r="K35" s="2"/>
      <c r="L35" s="6">
        <f t="shared" si="22"/>
        <v>-2640.7100000000009</v>
      </c>
      <c r="M35" s="2"/>
      <c r="N35" s="7">
        <f t="shared" si="23"/>
        <v>-0.19428885486478123</v>
      </c>
      <c r="O35" s="11"/>
      <c r="P35" s="6">
        <v>73744.070000000007</v>
      </c>
      <c r="Q35" s="2"/>
      <c r="R35" s="7">
        <f t="shared" si="24"/>
        <v>0.13976770199364763</v>
      </c>
      <c r="S35" s="2"/>
      <c r="T35" s="6">
        <v>76221.319999999992</v>
      </c>
      <c r="U35" s="2"/>
      <c r="V35" s="7">
        <f t="shared" si="25"/>
        <v>3.8165975283787922E-2</v>
      </c>
      <c r="W35" s="2"/>
      <c r="X35" s="6">
        <f t="shared" si="26"/>
        <v>-2477.2499999999854</v>
      </c>
      <c r="Y35" s="2"/>
      <c r="Z35" s="7">
        <f t="shared" si="27"/>
        <v>-3.2500749134231545E-2</v>
      </c>
    </row>
    <row r="36" spans="1:26" s="24" customFormat="1" hidden="1" outlineLevel="2" x14ac:dyDescent="0.25">
      <c r="A36" s="25"/>
      <c r="B36" s="11" t="str">
        <f>CONCATENATE("          ", "6004", " - ", "STAFF HOURLY")</f>
        <v xml:space="preserve">          6004 - STAFF HOURLY</v>
      </c>
      <c r="C36" s="11"/>
      <c r="D36" s="6">
        <v>16729.489999999998</v>
      </c>
      <c r="E36" s="2"/>
      <c r="F36" s="7">
        <f t="shared" si="20"/>
        <v>0.15524891902440943</v>
      </c>
      <c r="G36" s="2"/>
      <c r="H36" s="6">
        <v>20471.449999999997</v>
      </c>
      <c r="I36" s="2"/>
      <c r="J36" s="7">
        <f t="shared" si="21"/>
        <v>4.6958461060705253E-2</v>
      </c>
      <c r="K36" s="2"/>
      <c r="L36" s="6">
        <f t="shared" si="22"/>
        <v>-3741.9599999999991</v>
      </c>
      <c r="M36" s="2"/>
      <c r="N36" s="7">
        <f t="shared" si="23"/>
        <v>-0.18278920154654407</v>
      </c>
      <c r="O36" s="11"/>
      <c r="P36" s="6">
        <v>86583.42</v>
      </c>
      <c r="Q36" s="2"/>
      <c r="R36" s="7">
        <f t="shared" si="24"/>
        <v>0.16410222061449592</v>
      </c>
      <c r="S36" s="2"/>
      <c r="T36" s="6">
        <v>105377.62999999999</v>
      </c>
      <c r="U36" s="2"/>
      <c r="V36" s="7">
        <f t="shared" si="25"/>
        <v>5.2765289580974838E-2</v>
      </c>
      <c r="W36" s="2"/>
      <c r="X36" s="6">
        <f t="shared" si="26"/>
        <v>-18794.209999999992</v>
      </c>
      <c r="Y36" s="2"/>
      <c r="Z36" s="7">
        <f t="shared" si="27"/>
        <v>-0.17835104091826695</v>
      </c>
    </row>
    <row r="37" spans="1:26" s="24" customFormat="1" hidden="1" outlineLevel="2" x14ac:dyDescent="0.25">
      <c r="A37" s="25"/>
      <c r="B37" s="11" t="str">
        <f>CONCATENATE("          ", "6005", " - ", "TEMPORARY WAGES-HOURLY")</f>
        <v xml:space="preserve">          6005 - TEMPORARY WAGES-HOURLY</v>
      </c>
      <c r="C37" s="11"/>
      <c r="D37" s="6">
        <v>12819.28</v>
      </c>
      <c r="E37" s="2"/>
      <c r="F37" s="7">
        <f t="shared" si="20"/>
        <v>0.11896234509666652</v>
      </c>
      <c r="G37" s="2"/>
      <c r="H37" s="6">
        <v>14473.38</v>
      </c>
      <c r="I37" s="2"/>
      <c r="J37" s="7">
        <f t="shared" si="21"/>
        <v>3.3199780726171829E-2</v>
      </c>
      <c r="K37" s="2"/>
      <c r="L37" s="6">
        <f t="shared" si="22"/>
        <v>-1654.0999999999985</v>
      </c>
      <c r="M37" s="2"/>
      <c r="N37" s="7">
        <f t="shared" si="23"/>
        <v>-0.11428567480436488</v>
      </c>
      <c r="O37" s="11"/>
      <c r="P37" s="6">
        <v>50543.09</v>
      </c>
      <c r="Q37" s="2"/>
      <c r="R37" s="7">
        <f t="shared" si="24"/>
        <v>9.5794706489052084E-2</v>
      </c>
      <c r="S37" s="2"/>
      <c r="T37" s="6">
        <v>97116.25</v>
      </c>
      <c r="U37" s="2"/>
      <c r="V37" s="7">
        <f t="shared" si="25"/>
        <v>4.8628604137978315E-2</v>
      </c>
      <c r="W37" s="2"/>
      <c r="X37" s="6">
        <f t="shared" si="26"/>
        <v>-46573.16</v>
      </c>
      <c r="Y37" s="2"/>
      <c r="Z37" s="7">
        <f t="shared" si="27"/>
        <v>-0.47956093856589399</v>
      </c>
    </row>
    <row r="38" spans="1:26" s="24" customFormat="1" hidden="1" outlineLevel="2" x14ac:dyDescent="0.25">
      <c r="A38" s="25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0"/>
        <v>0</v>
      </c>
      <c r="G38" s="2"/>
      <c r="H38" s="6">
        <v>858</v>
      </c>
      <c r="I38" s="2"/>
      <c r="J38" s="7">
        <f t="shared" si="21"/>
        <v>1.9681243678432701E-3</v>
      </c>
      <c r="K38" s="2"/>
      <c r="L38" s="6">
        <f t="shared" si="22"/>
        <v>-858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8067</v>
      </c>
      <c r="U38" s="2"/>
      <c r="V38" s="7">
        <f t="shared" si="25"/>
        <v>4.0393543776769706E-3</v>
      </c>
      <c r="W38" s="2"/>
      <c r="X38" s="6">
        <f t="shared" si="26"/>
        <v>-8067</v>
      </c>
      <c r="Y38" s="2"/>
      <c r="Z38" s="7">
        <f t="shared" si="27"/>
        <v>-1</v>
      </c>
    </row>
    <row r="39" spans="1:26" s="24" customFormat="1" hidden="1" outlineLevel="2" x14ac:dyDescent="0.25">
      <c r="A39" s="25"/>
      <c r="B39" s="11" t="str">
        <f>CONCATENATE("          ", "6007", " - ", "STUDENT HOURLY")</f>
        <v xml:space="preserve">          6007 - STUDENT HOURLY</v>
      </c>
      <c r="C39" s="11"/>
      <c r="D39" s="6">
        <v>15212.46</v>
      </c>
      <c r="E39" s="2"/>
      <c r="F39" s="7">
        <f t="shared" si="20"/>
        <v>0.14117094846896514</v>
      </c>
      <c r="G39" s="2"/>
      <c r="H39" s="6">
        <v>30944.060000000005</v>
      </c>
      <c r="I39" s="2"/>
      <c r="J39" s="7">
        <f t="shared" si="21"/>
        <v>7.098107054312848E-2</v>
      </c>
      <c r="K39" s="2"/>
      <c r="L39" s="6">
        <f t="shared" si="22"/>
        <v>-15731.600000000006</v>
      </c>
      <c r="M39" s="2"/>
      <c r="N39" s="7">
        <f t="shared" si="23"/>
        <v>-0.50838836274231636</v>
      </c>
      <c r="O39" s="11"/>
      <c r="P39" s="6">
        <v>58468.97</v>
      </c>
      <c r="Q39" s="2"/>
      <c r="R39" s="7">
        <f t="shared" si="24"/>
        <v>0.11081668769889597</v>
      </c>
      <c r="S39" s="2"/>
      <c r="T39" s="6">
        <v>147153.97</v>
      </c>
      <c r="U39" s="2"/>
      <c r="V39" s="7">
        <f t="shared" si="25"/>
        <v>7.3683777477630538E-2</v>
      </c>
      <c r="W39" s="2"/>
      <c r="X39" s="6">
        <f t="shared" si="26"/>
        <v>-88685</v>
      </c>
      <c r="Y39" s="2"/>
      <c r="Z39" s="7">
        <f t="shared" si="27"/>
        <v>-0.60266807616539331</v>
      </c>
    </row>
    <row r="40" spans="1:26" s="24" customFormat="1" hidden="1" outlineLevel="2" x14ac:dyDescent="0.25">
      <c r="A40" s="25"/>
      <c r="B40" s="11" t="str">
        <f>CONCATENATE("          ", "6008", " - ", "STUDENT HOURLY-FICA EXEMPT")</f>
        <v xml:space="preserve">          6008 - STUDENT HOURLY-FICA EXEMPT</v>
      </c>
      <c r="C40" s="11"/>
      <c r="D40" s="6">
        <v>1839.89</v>
      </c>
      <c r="E40" s="2"/>
      <c r="F40" s="7">
        <f t="shared" si="20"/>
        <v>1.7074096916512141E-2</v>
      </c>
      <c r="G40" s="2"/>
      <c r="H40" s="6">
        <v>9804</v>
      </c>
      <c r="I40" s="2"/>
      <c r="J40" s="7">
        <f t="shared" si="21"/>
        <v>2.2488917601789535E-2</v>
      </c>
      <c r="K40" s="2"/>
      <c r="L40" s="6">
        <f t="shared" si="22"/>
        <v>-7964.11</v>
      </c>
      <c r="M40" s="2"/>
      <c r="N40" s="7">
        <f t="shared" si="23"/>
        <v>-0.81233272133822931</v>
      </c>
      <c r="O40" s="11"/>
      <c r="P40" s="6">
        <v>9534.85</v>
      </c>
      <c r="Q40" s="2"/>
      <c r="R40" s="7">
        <f t="shared" si="24"/>
        <v>1.8071474402675782E-2</v>
      </c>
      <c r="S40" s="2"/>
      <c r="T40" s="6">
        <v>51063</v>
      </c>
      <c r="U40" s="2"/>
      <c r="V40" s="7">
        <f t="shared" si="25"/>
        <v>2.5568557405146786E-2</v>
      </c>
      <c r="W40" s="2"/>
      <c r="X40" s="6">
        <f t="shared" si="26"/>
        <v>-41528.15</v>
      </c>
      <c r="Y40" s="2"/>
      <c r="Z40" s="7">
        <f t="shared" si="27"/>
        <v>-0.81327281984998923</v>
      </c>
    </row>
    <row r="41" spans="1:26" s="26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2" si="28">IF(D$12=0,0,D41/D$12)</f>
        <v>0</v>
      </c>
      <c r="G41" s="1"/>
      <c r="H41" s="1">
        <f>SUM(OSRRefH22_2x_0)</f>
        <v>73.47</v>
      </c>
      <c r="I41" s="1"/>
      <c r="J41" s="5">
        <f t="shared" ref="J41:J62" si="29">IF(H$12=0,0,H41/H$12)</f>
        <v>1.6852925093874716E-4</v>
      </c>
      <c r="K41" s="1"/>
      <c r="L41" s="1">
        <f t="shared" ref="L41:L62" si="30">+D41-H41</f>
        <v>-73.47</v>
      </c>
      <c r="M41" s="1"/>
      <c r="N41" s="5">
        <f t="shared" ref="N41:N62" si="31">IF(H41=0,0,L41/H41)</f>
        <v>-1</v>
      </c>
      <c r="O41" s="13"/>
      <c r="P41" s="1">
        <f>SUM(OSRRefP22_2x_0)</f>
        <v>1224.25</v>
      </c>
      <c r="Q41" s="1"/>
      <c r="R41" s="5">
        <f t="shared" ref="R41:R62" si="32">IF(P$12=0,0,P41/P$12)</f>
        <v>2.3203304233916449E-3</v>
      </c>
      <c r="S41" s="1"/>
      <c r="T41" s="1">
        <f>SUM(OSRRefT22_2x_0)</f>
        <v>2435.9499999999998</v>
      </c>
      <c r="U41" s="1"/>
      <c r="V41" s="5">
        <f t="shared" ref="V41:V62" si="33">IF(T$12=0,0,T41/T$12)</f>
        <v>1.2197428159541608E-3</v>
      </c>
      <c r="W41" s="1"/>
      <c r="X41" s="1">
        <f t="shared" ref="X41:X62" si="34">+P41-T41</f>
        <v>-1211.6999999999998</v>
      </c>
      <c r="Y41" s="1"/>
      <c r="Z41" s="5">
        <f t="shared" ref="Z41:Z62" si="35">IF(T41=0,0,X41/T41)</f>
        <v>-0.49742400295572564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8"/>
        <v>0</v>
      </c>
      <c r="G42" s="2"/>
      <c r="H42" s="6">
        <v>73.47</v>
      </c>
      <c r="I42" s="2"/>
      <c r="J42" s="7">
        <f t="shared" si="29"/>
        <v>1.6852925093874716E-4</v>
      </c>
      <c r="K42" s="2"/>
      <c r="L42" s="6">
        <f t="shared" si="30"/>
        <v>-73.47</v>
      </c>
      <c r="M42" s="2"/>
      <c r="N42" s="7">
        <f t="shared" si="31"/>
        <v>-1</v>
      </c>
      <c r="O42" s="11"/>
      <c r="P42" s="6">
        <v>1224.25</v>
      </c>
      <c r="Q42" s="2"/>
      <c r="R42" s="7">
        <f t="shared" si="32"/>
        <v>2.3203304233916449E-3</v>
      </c>
      <c r="S42" s="2"/>
      <c r="T42" s="6">
        <v>2435.9499999999998</v>
      </c>
      <c r="U42" s="2"/>
      <c r="V42" s="7">
        <f t="shared" si="33"/>
        <v>1.2197428159541608E-3</v>
      </c>
      <c r="W42" s="2"/>
      <c r="X42" s="6">
        <f t="shared" si="34"/>
        <v>-1211.6999999999998</v>
      </c>
      <c r="Y42" s="2"/>
      <c r="Z42" s="7">
        <f t="shared" si="35"/>
        <v>-0.49742400295572564</v>
      </c>
    </row>
    <row r="43" spans="1:26" s="26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3"/>
      <c r="P43" s="1">
        <f>SUM(OSRRefP22_3x_0)</f>
        <v>40</v>
      </c>
      <c r="Q43" s="1"/>
      <c r="R43" s="5">
        <f t="shared" si="32"/>
        <v>7.5812307074262446E-5</v>
      </c>
      <c r="S43" s="1"/>
      <c r="T43" s="1">
        <f>SUM(OSRRefT22_3x_0)</f>
        <v>16.239999999999998</v>
      </c>
      <c r="U43" s="1"/>
      <c r="V43" s="5">
        <f t="shared" si="33"/>
        <v>8.1317856816008427E-6</v>
      </c>
      <c r="W43" s="1"/>
      <c r="X43" s="1">
        <f t="shared" si="34"/>
        <v>23.76</v>
      </c>
      <c r="Y43" s="1"/>
      <c r="Z43" s="5">
        <f t="shared" si="35"/>
        <v>1.4630541871921185</v>
      </c>
    </row>
    <row r="44" spans="1:26" s="24" customFormat="1" hidden="1" outlineLevel="2" x14ac:dyDescent="0.25">
      <c r="A44" s="25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28"/>
        <v>0</v>
      </c>
      <c r="G44" s="2"/>
      <c r="H44" s="6"/>
      <c r="I44" s="2"/>
      <c r="J44" s="7">
        <f t="shared" si="29"/>
        <v>0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>
        <v>40</v>
      </c>
      <c r="Q44" s="2"/>
      <c r="R44" s="7">
        <f t="shared" si="32"/>
        <v>7.5812307074262446E-5</v>
      </c>
      <c r="S44" s="2"/>
      <c r="T44" s="6">
        <v>16.239999999999998</v>
      </c>
      <c r="U44" s="2"/>
      <c r="V44" s="7">
        <f t="shared" si="33"/>
        <v>8.1317856816008427E-6</v>
      </c>
      <c r="W44" s="2"/>
      <c r="X44" s="6">
        <f t="shared" si="34"/>
        <v>23.76</v>
      </c>
      <c r="Y44" s="2"/>
      <c r="Z44" s="7">
        <f t="shared" si="35"/>
        <v>1.4630541871921185</v>
      </c>
    </row>
    <row r="45" spans="1:26" s="26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10.17</v>
      </c>
      <c r="E45" s="1"/>
      <c r="F45" s="5">
        <f t="shared" si="28"/>
        <v>9.437714517766196E-5</v>
      </c>
      <c r="G45" s="1"/>
      <c r="H45" s="1">
        <f>SUM(OSRRefH22_4x_0)</f>
        <v>133.75</v>
      </c>
      <c r="I45" s="1"/>
      <c r="J45" s="5">
        <f t="shared" si="29"/>
        <v>3.0680260396158203E-4</v>
      </c>
      <c r="K45" s="1"/>
      <c r="L45" s="1">
        <f t="shared" si="30"/>
        <v>-123.58</v>
      </c>
      <c r="M45" s="1"/>
      <c r="N45" s="5">
        <f t="shared" si="31"/>
        <v>-0.92396261682242986</v>
      </c>
      <c r="O45" s="13"/>
      <c r="P45" s="1">
        <f>SUM(OSRRefP22_4x_0)</f>
        <v>10.17</v>
      </c>
      <c r="Q45" s="1"/>
      <c r="R45" s="5">
        <f t="shared" si="32"/>
        <v>1.9275279073631226E-5</v>
      </c>
      <c r="S45" s="1"/>
      <c r="T45" s="1">
        <f>SUM(OSRRefT22_4x_0)</f>
        <v>844.08</v>
      </c>
      <c r="U45" s="1"/>
      <c r="V45" s="5">
        <f t="shared" si="33"/>
        <v>4.2265256515551969E-4</v>
      </c>
      <c r="W45" s="1"/>
      <c r="X45" s="1">
        <f t="shared" si="34"/>
        <v>-833.91000000000008</v>
      </c>
      <c r="Y45" s="1"/>
      <c r="Z45" s="5">
        <f t="shared" si="35"/>
        <v>-0.987951379016207</v>
      </c>
    </row>
    <row r="46" spans="1:26" s="24" customFormat="1" hidden="1" outlineLevel="2" x14ac:dyDescent="0.25">
      <c r="A46" s="25"/>
      <c r="B46" s="11" t="str">
        <f>CONCATENATE("          ", "6381", " - ", "BANK/CREDIT CARD FEES")</f>
        <v xml:space="preserve">          6381 - BANK/CREDIT CARD FEES</v>
      </c>
      <c r="C46" s="11"/>
      <c r="D46" s="6">
        <v>10.17</v>
      </c>
      <c r="E46" s="2"/>
      <c r="F46" s="7">
        <f t="shared" si="28"/>
        <v>9.437714517766196E-5</v>
      </c>
      <c r="G46" s="2"/>
      <c r="H46" s="6">
        <v>133.75</v>
      </c>
      <c r="I46" s="2"/>
      <c r="J46" s="7">
        <f t="shared" si="29"/>
        <v>3.0680260396158203E-4</v>
      </c>
      <c r="K46" s="2"/>
      <c r="L46" s="6">
        <f t="shared" si="30"/>
        <v>-123.58</v>
      </c>
      <c r="M46" s="2"/>
      <c r="N46" s="7">
        <f t="shared" si="31"/>
        <v>-0.92396261682242986</v>
      </c>
      <c r="O46" s="11"/>
      <c r="P46" s="6">
        <v>10.17</v>
      </c>
      <c r="Q46" s="2"/>
      <c r="R46" s="7">
        <f t="shared" si="32"/>
        <v>1.9275279073631226E-5</v>
      </c>
      <c r="S46" s="2"/>
      <c r="T46" s="6">
        <v>844.08</v>
      </c>
      <c r="U46" s="2"/>
      <c r="V46" s="7">
        <f t="shared" si="33"/>
        <v>4.2265256515551969E-4</v>
      </c>
      <c r="W46" s="2"/>
      <c r="X46" s="6">
        <f t="shared" si="34"/>
        <v>-833.91000000000008</v>
      </c>
      <c r="Y46" s="2"/>
      <c r="Z46" s="7">
        <f t="shared" si="35"/>
        <v>-0.987951379016207</v>
      </c>
    </row>
    <row r="47" spans="1:26" s="26" customFormat="1" outlineLevel="1" collapsed="1" x14ac:dyDescent="0.25">
      <c r="A47" s="27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272.74</v>
      </c>
      <c r="E47" s="1"/>
      <c r="F47" s="5">
        <f t="shared" si="28"/>
        <v>2.5310150025325E-3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272.74</v>
      </c>
      <c r="M47" s="1"/>
      <c r="N47" s="5">
        <f t="shared" si="31"/>
        <v>0</v>
      </c>
      <c r="O47" s="13"/>
      <c r="P47" s="1">
        <f>SUM(OSRRefP22_5x_0)</f>
        <v>1099.48</v>
      </c>
      <c r="Q47" s="1"/>
      <c r="R47" s="5">
        <f t="shared" si="32"/>
        <v>2.0838528845502518E-3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1099.48</v>
      </c>
      <c r="Y47" s="1"/>
      <c r="Z47" s="5">
        <f t="shared" si="35"/>
        <v>0</v>
      </c>
    </row>
    <row r="48" spans="1:26" s="24" customFormat="1" hidden="1" outlineLevel="2" x14ac:dyDescent="0.25">
      <c r="A48" s="25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272.74</v>
      </c>
      <c r="E48" s="2"/>
      <c r="F48" s="7">
        <f t="shared" si="28"/>
        <v>2.5310150025325E-3</v>
      </c>
      <c r="G48" s="2"/>
      <c r="H48" s="6"/>
      <c r="I48" s="2"/>
      <c r="J48" s="7">
        <f t="shared" si="29"/>
        <v>0</v>
      </c>
      <c r="K48" s="2"/>
      <c r="L48" s="6">
        <f t="shared" si="30"/>
        <v>272.74</v>
      </c>
      <c r="M48" s="2"/>
      <c r="N48" s="7">
        <f t="shared" si="31"/>
        <v>0</v>
      </c>
      <c r="O48" s="11"/>
      <c r="P48" s="6">
        <v>1099.48</v>
      </c>
      <c r="Q48" s="2"/>
      <c r="R48" s="7">
        <f t="shared" si="32"/>
        <v>2.0838528845502518E-3</v>
      </c>
      <c r="S48" s="2"/>
      <c r="T48" s="6"/>
      <c r="U48" s="2"/>
      <c r="V48" s="7">
        <f t="shared" si="33"/>
        <v>0</v>
      </c>
      <c r="W48" s="2"/>
      <c r="X48" s="6">
        <f t="shared" si="34"/>
        <v>1099.48</v>
      </c>
      <c r="Y48" s="2"/>
      <c r="Z48" s="7">
        <f t="shared" si="35"/>
        <v>0</v>
      </c>
    </row>
    <row r="49" spans="1:26" s="26" customFormat="1" outlineLevel="1" collapsed="1" x14ac:dyDescent="0.25">
      <c r="A49" s="27"/>
      <c r="B49" s="13" t="str">
        <f>CONCATENATE("     ","Donations                                         ")</f>
        <v xml:space="preserve">     Donations                                         </v>
      </c>
      <c r="C49" s="13"/>
      <c r="D49" s="1">
        <f>SUM(OSRRefD22_6x_0)</f>
        <v>7935.78</v>
      </c>
      <c r="E49" s="1"/>
      <c r="F49" s="5">
        <f t="shared" si="28"/>
        <v>7.3643683496360496E-2</v>
      </c>
      <c r="G49" s="1"/>
      <c r="H49" s="1">
        <f>SUM(OSRRefH22_6x_0)</f>
        <v>3538.59</v>
      </c>
      <c r="I49" s="1"/>
      <c r="J49" s="5">
        <f t="shared" si="29"/>
        <v>8.1169990755320717E-3</v>
      </c>
      <c r="K49" s="1"/>
      <c r="L49" s="1">
        <f t="shared" si="30"/>
        <v>4397.1899999999996</v>
      </c>
      <c r="M49" s="1"/>
      <c r="N49" s="5">
        <f t="shared" si="31"/>
        <v>1.2426390172356785</v>
      </c>
      <c r="O49" s="13"/>
      <c r="P49" s="1">
        <f>SUM(OSRRefP22_6x_0)</f>
        <v>30155.96</v>
      </c>
      <c r="Q49" s="1"/>
      <c r="R49" s="5">
        <f t="shared" si="32"/>
        <v>5.7154822490979383E-2</v>
      </c>
      <c r="S49" s="1"/>
      <c r="T49" s="1">
        <f>SUM(OSRRefT22_6x_0)</f>
        <v>14885.070000000002</v>
      </c>
      <c r="U49" s="1"/>
      <c r="V49" s="5">
        <f t="shared" si="33"/>
        <v>7.4533373827356079E-3</v>
      </c>
      <c r="W49" s="1"/>
      <c r="X49" s="1">
        <f t="shared" si="34"/>
        <v>15270.889999999998</v>
      </c>
      <c r="Y49" s="1"/>
      <c r="Z49" s="5">
        <f t="shared" si="35"/>
        <v>1.0259199318511767</v>
      </c>
    </row>
    <row r="50" spans="1:26" s="24" customFormat="1" hidden="1" outlineLevel="2" x14ac:dyDescent="0.25">
      <c r="A50" s="25"/>
      <c r="B50" s="11" t="str">
        <f>CONCATENATE("          ", "6399", " - ", "DONATION-ON CAMPUS")</f>
        <v xml:space="preserve">          6399 - DONATION-ON CAMPUS</v>
      </c>
      <c r="C50" s="11"/>
      <c r="D50" s="6">
        <v>7935.78</v>
      </c>
      <c r="E50" s="2"/>
      <c r="F50" s="7">
        <f t="shared" si="28"/>
        <v>7.3643683496360496E-2</v>
      </c>
      <c r="G50" s="2"/>
      <c r="H50" s="6">
        <v>3538.59</v>
      </c>
      <c r="I50" s="2"/>
      <c r="J50" s="7">
        <f t="shared" si="29"/>
        <v>8.1169990755320717E-3</v>
      </c>
      <c r="K50" s="2"/>
      <c r="L50" s="6">
        <f t="shared" si="30"/>
        <v>4397.1899999999996</v>
      </c>
      <c r="M50" s="2"/>
      <c r="N50" s="7">
        <f t="shared" si="31"/>
        <v>1.2426390172356785</v>
      </c>
      <c r="O50" s="11"/>
      <c r="P50" s="6">
        <v>30155.96</v>
      </c>
      <c r="Q50" s="2"/>
      <c r="R50" s="7">
        <f t="shared" si="32"/>
        <v>5.7154822490979383E-2</v>
      </c>
      <c r="S50" s="2"/>
      <c r="T50" s="6">
        <v>14885.070000000002</v>
      </c>
      <c r="U50" s="2"/>
      <c r="V50" s="7">
        <f t="shared" si="33"/>
        <v>7.4533373827356079E-3</v>
      </c>
      <c r="W50" s="2"/>
      <c r="X50" s="6">
        <f t="shared" si="34"/>
        <v>15270.889999999998</v>
      </c>
      <c r="Y50" s="2"/>
      <c r="Z50" s="7">
        <f t="shared" si="35"/>
        <v>1.0259199318511767</v>
      </c>
    </row>
    <row r="51" spans="1:26" s="26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172.19</v>
      </c>
      <c r="I51" s="1"/>
      <c r="J51" s="5">
        <f t="shared" si="29"/>
        <v>3.9497824580295187E-4</v>
      </c>
      <c r="K51" s="1"/>
      <c r="L51" s="1">
        <f t="shared" si="30"/>
        <v>-172.19</v>
      </c>
      <c r="M51" s="1"/>
      <c r="N51" s="5">
        <f t="shared" si="31"/>
        <v>-1</v>
      </c>
      <c r="O51" s="13"/>
      <c r="P51" s="1">
        <f>SUM(OSRRefP22_7x_0)</f>
        <v>0</v>
      </c>
      <c r="Q51" s="1"/>
      <c r="R51" s="5">
        <f t="shared" si="32"/>
        <v>0</v>
      </c>
      <c r="S51" s="1"/>
      <c r="T51" s="1">
        <f>SUM(OSRRefT22_7x_0)</f>
        <v>1012.18</v>
      </c>
      <c r="U51" s="1"/>
      <c r="V51" s="5">
        <f t="shared" si="33"/>
        <v>5.068245585715973E-4</v>
      </c>
      <c r="W51" s="1"/>
      <c r="X51" s="1">
        <f t="shared" si="34"/>
        <v>-1012.18</v>
      </c>
      <c r="Y51" s="1"/>
      <c r="Z51" s="5">
        <f t="shared" si="35"/>
        <v>-1</v>
      </c>
    </row>
    <row r="52" spans="1:26" s="24" customFormat="1" hidden="1" outlineLevel="2" x14ac:dyDescent="0.25">
      <c r="A52" s="25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28"/>
        <v>0</v>
      </c>
      <c r="G52" s="2"/>
      <c r="H52" s="6">
        <v>172.19</v>
      </c>
      <c r="I52" s="2"/>
      <c r="J52" s="7">
        <f t="shared" si="29"/>
        <v>3.9497824580295187E-4</v>
      </c>
      <c r="K52" s="2"/>
      <c r="L52" s="6">
        <f t="shared" si="30"/>
        <v>-172.19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1012.18</v>
      </c>
      <c r="U52" s="2"/>
      <c r="V52" s="7">
        <f t="shared" si="33"/>
        <v>5.068245585715973E-4</v>
      </c>
      <c r="W52" s="2"/>
      <c r="X52" s="6">
        <f t="shared" si="34"/>
        <v>-1012.18</v>
      </c>
      <c r="Y52" s="2"/>
      <c r="Z52" s="7">
        <f t="shared" si="35"/>
        <v>-1</v>
      </c>
    </row>
    <row r="53" spans="1:26" s="26" customFormat="1" outlineLevel="1" collapsed="1" x14ac:dyDescent="0.25">
      <c r="A53" s="27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SUM(OSRRefD22_8x_0)</f>
        <v>129.26</v>
      </c>
      <c r="E53" s="1"/>
      <c r="F53" s="5">
        <f t="shared" si="28"/>
        <v>1.1995270192393889E-3</v>
      </c>
      <c r="G53" s="1"/>
      <c r="H53" s="1">
        <f>SUM(OSRRefH22_8x_0)</f>
        <v>-2817.31</v>
      </c>
      <c r="I53" s="1"/>
      <c r="J53" s="5">
        <f t="shared" si="29"/>
        <v>-6.4624900498467634E-3</v>
      </c>
      <c r="K53" s="1"/>
      <c r="L53" s="1">
        <f t="shared" si="30"/>
        <v>2946.5699999999997</v>
      </c>
      <c r="M53" s="1"/>
      <c r="N53" s="5">
        <f t="shared" si="31"/>
        <v>-1.0458806450124409</v>
      </c>
      <c r="O53" s="13"/>
      <c r="P53" s="1">
        <f>SUM(OSRRefP22_8x_0)</f>
        <v>1410.6</v>
      </c>
      <c r="Q53" s="1"/>
      <c r="R53" s="5">
        <f t="shared" si="32"/>
        <v>2.6735210089738649E-3</v>
      </c>
      <c r="S53" s="1"/>
      <c r="T53" s="1">
        <f>SUM(OSRRefT22_8x_0)</f>
        <v>1392.89</v>
      </c>
      <c r="U53" s="1"/>
      <c r="V53" s="5">
        <f t="shared" si="33"/>
        <v>6.9745584717025857E-4</v>
      </c>
      <c r="W53" s="1"/>
      <c r="X53" s="1">
        <f t="shared" si="34"/>
        <v>17.709999999999809</v>
      </c>
      <c r="Y53" s="1"/>
      <c r="Z53" s="5">
        <f t="shared" si="35"/>
        <v>1.2714571861381594E-2</v>
      </c>
    </row>
    <row r="54" spans="1:26" s="24" customFormat="1" hidden="1" outlineLevel="2" x14ac:dyDescent="0.25">
      <c r="A54" s="25"/>
      <c r="B54" s="11" t="str">
        <f>CONCATENATE("          ", "6351", " - ", "EQUIPMENT RENTAL")</f>
        <v xml:space="preserve">          6351 - EQUIPMENT RENTAL</v>
      </c>
      <c r="C54" s="11"/>
      <c r="D54" s="6">
        <v>129.26</v>
      </c>
      <c r="E54" s="2"/>
      <c r="F54" s="7">
        <f t="shared" si="28"/>
        <v>1.1995270192393889E-3</v>
      </c>
      <c r="G54" s="2"/>
      <c r="H54" s="6">
        <v>-2817.31</v>
      </c>
      <c r="I54" s="2"/>
      <c r="J54" s="7">
        <f t="shared" si="29"/>
        <v>-6.4624900498467634E-3</v>
      </c>
      <c r="K54" s="2"/>
      <c r="L54" s="6">
        <f t="shared" si="30"/>
        <v>2946.5699999999997</v>
      </c>
      <c r="M54" s="2"/>
      <c r="N54" s="7">
        <f t="shared" si="31"/>
        <v>-1.0458806450124409</v>
      </c>
      <c r="O54" s="11"/>
      <c r="P54" s="6">
        <v>1410.6</v>
      </c>
      <c r="Q54" s="2"/>
      <c r="R54" s="7">
        <f t="shared" si="32"/>
        <v>2.6735210089738649E-3</v>
      </c>
      <c r="S54" s="2"/>
      <c r="T54" s="6">
        <v>1392.89</v>
      </c>
      <c r="U54" s="2"/>
      <c r="V54" s="7">
        <f t="shared" si="33"/>
        <v>6.9745584717025857E-4</v>
      </c>
      <c r="W54" s="2"/>
      <c r="X54" s="6">
        <f t="shared" si="34"/>
        <v>17.709999999999809</v>
      </c>
      <c r="Y54" s="2"/>
      <c r="Z54" s="7">
        <f t="shared" si="35"/>
        <v>1.2714571861381594E-2</v>
      </c>
    </row>
    <row r="55" spans="1:26" s="26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0</v>
      </c>
      <c r="E55" s="1"/>
      <c r="F55" s="5">
        <f t="shared" si="28"/>
        <v>0</v>
      </c>
      <c r="G55" s="1"/>
      <c r="H55" s="1">
        <f>SUM(OSRRefH22_9x_0)</f>
        <v>0</v>
      </c>
      <c r="I55" s="1"/>
      <c r="J55" s="5">
        <f t="shared" si="29"/>
        <v>0</v>
      </c>
      <c r="K55" s="1"/>
      <c r="L55" s="1">
        <f t="shared" si="30"/>
        <v>0</v>
      </c>
      <c r="M55" s="1"/>
      <c r="N55" s="5">
        <f t="shared" si="31"/>
        <v>0</v>
      </c>
      <c r="O55" s="13"/>
      <c r="P55" s="1">
        <f>SUM(OSRRefP22_9x_0)</f>
        <v>1439.55</v>
      </c>
      <c r="Q55" s="1"/>
      <c r="R55" s="5">
        <f t="shared" si="32"/>
        <v>2.7283901662188627E-3</v>
      </c>
      <c r="S55" s="1"/>
      <c r="T55" s="1">
        <f>SUM(OSRRefT22_9x_0)</f>
        <v>2539.62</v>
      </c>
      <c r="U55" s="1"/>
      <c r="V55" s="5">
        <f t="shared" si="33"/>
        <v>1.2716530512750697E-3</v>
      </c>
      <c r="W55" s="1"/>
      <c r="X55" s="1">
        <f t="shared" si="34"/>
        <v>-1100.07</v>
      </c>
      <c r="Y55" s="1"/>
      <c r="Z55" s="5">
        <f t="shared" si="35"/>
        <v>-0.43316322914451766</v>
      </c>
    </row>
    <row r="56" spans="1:26" s="24" customFormat="1" hidden="1" outlineLevel="2" x14ac:dyDescent="0.25">
      <c r="A56" s="25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28"/>
        <v>0</v>
      </c>
      <c r="G56" s="2"/>
      <c r="H56" s="6"/>
      <c r="I56" s="2"/>
      <c r="J56" s="7">
        <f t="shared" si="29"/>
        <v>0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1439.55</v>
      </c>
      <c r="Q56" s="2"/>
      <c r="R56" s="7">
        <f t="shared" si="32"/>
        <v>2.7283901662188627E-3</v>
      </c>
      <c r="S56" s="2"/>
      <c r="T56" s="6">
        <v>2539.62</v>
      </c>
      <c r="U56" s="2"/>
      <c r="V56" s="7">
        <f t="shared" si="33"/>
        <v>1.2716530512750697E-3</v>
      </c>
      <c r="W56" s="2"/>
      <c r="X56" s="6">
        <f t="shared" si="34"/>
        <v>-1100.07</v>
      </c>
      <c r="Y56" s="2"/>
      <c r="Z56" s="7">
        <f t="shared" si="35"/>
        <v>-0.43316322914451766</v>
      </c>
    </row>
    <row r="57" spans="1:26" s="26" customFormat="1" outlineLevel="1" collapsed="1" x14ac:dyDescent="0.25">
      <c r="A57" s="27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SUM(OSRRefD22_10x_0)</f>
        <v>7985.87</v>
      </c>
      <c r="E57" s="1"/>
      <c r="F57" s="5">
        <f t="shared" si="28"/>
        <v>7.4108516456237492E-2</v>
      </c>
      <c r="G57" s="1"/>
      <c r="H57" s="1">
        <f>SUM(OSRRefH22_10x_0)</f>
        <v>34460.519999999997</v>
      </c>
      <c r="I57" s="1"/>
      <c r="J57" s="5">
        <f t="shared" si="29"/>
        <v>7.9047306690618144E-2</v>
      </c>
      <c r="K57" s="1"/>
      <c r="L57" s="1">
        <f t="shared" si="30"/>
        <v>-26474.649999999998</v>
      </c>
      <c r="M57" s="1"/>
      <c r="N57" s="5">
        <f t="shared" si="31"/>
        <v>-0.76826031644328063</v>
      </c>
      <c r="O57" s="13"/>
      <c r="P57" s="1">
        <f>SUM(OSRRefP22_10x_0)</f>
        <v>34790.899999999994</v>
      </c>
      <c r="Q57" s="1"/>
      <c r="R57" s="5">
        <f t="shared" si="32"/>
        <v>6.5939459854748916E-2</v>
      </c>
      <c r="S57" s="1"/>
      <c r="T57" s="1">
        <f>SUM(OSRRefT22_10x_0)</f>
        <v>154819.35999999999</v>
      </c>
      <c r="U57" s="1"/>
      <c r="V57" s="5">
        <f t="shared" si="33"/>
        <v>7.7522035399175251E-2</v>
      </c>
      <c r="W57" s="1"/>
      <c r="X57" s="1">
        <f t="shared" si="34"/>
        <v>-120028.45999999999</v>
      </c>
      <c r="Y57" s="1"/>
      <c r="Z57" s="5">
        <f t="shared" si="35"/>
        <v>-0.77528068841002828</v>
      </c>
    </row>
    <row r="58" spans="1:26" s="24" customFormat="1" hidden="1" outlineLevel="2" x14ac:dyDescent="0.25">
      <c r="A58" s="25"/>
      <c r="B58" s="11" t="str">
        <f>CONCATENATE("          ", "6387", " - ", "COMMISSION DUE HOUSING")</f>
        <v xml:space="preserve">          6387 - COMMISSION DUE HOUSING</v>
      </c>
      <c r="C58" s="11"/>
      <c r="D58" s="6">
        <v>7985.87</v>
      </c>
      <c r="E58" s="2"/>
      <c r="F58" s="7">
        <f t="shared" si="28"/>
        <v>7.4108516456237492E-2</v>
      </c>
      <c r="G58" s="2"/>
      <c r="H58" s="6">
        <v>34460.519999999997</v>
      </c>
      <c r="I58" s="2"/>
      <c r="J58" s="7">
        <f t="shared" si="29"/>
        <v>7.9047306690618144E-2</v>
      </c>
      <c r="K58" s="2"/>
      <c r="L58" s="6">
        <f t="shared" si="30"/>
        <v>-26474.649999999998</v>
      </c>
      <c r="M58" s="2"/>
      <c r="N58" s="7">
        <f t="shared" si="31"/>
        <v>-0.76826031644328063</v>
      </c>
      <c r="O58" s="11"/>
      <c r="P58" s="6">
        <v>34790.899999999994</v>
      </c>
      <c r="Q58" s="2"/>
      <c r="R58" s="7">
        <f t="shared" si="32"/>
        <v>6.5939459854748916E-2</v>
      </c>
      <c r="S58" s="2"/>
      <c r="T58" s="6">
        <v>154819.35999999999</v>
      </c>
      <c r="U58" s="2"/>
      <c r="V58" s="7">
        <f t="shared" si="33"/>
        <v>7.7522035399175251E-2</v>
      </c>
      <c r="W58" s="2"/>
      <c r="X58" s="6">
        <f t="shared" si="34"/>
        <v>-120028.45999999999</v>
      </c>
      <c r="Y58" s="2"/>
      <c r="Z58" s="7">
        <f t="shared" si="35"/>
        <v>-0.77528068841002828</v>
      </c>
    </row>
    <row r="59" spans="1:26" s="26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1083.72</v>
      </c>
      <c r="E59" s="1"/>
      <c r="F59" s="5">
        <f t="shared" si="28"/>
        <v>1.0056873133916993E-2</v>
      </c>
      <c r="G59" s="1"/>
      <c r="H59" s="1">
        <f>SUM(OSRRefH22_11x_0)</f>
        <v>8311.6099999999988</v>
      </c>
      <c r="I59" s="1"/>
      <c r="J59" s="5">
        <f t="shared" si="29"/>
        <v>1.9065596942901865E-2</v>
      </c>
      <c r="K59" s="1"/>
      <c r="L59" s="1">
        <f t="shared" si="30"/>
        <v>-7227.8899999999985</v>
      </c>
      <c r="M59" s="1"/>
      <c r="N59" s="5">
        <f t="shared" si="31"/>
        <v>-0.86961370901666457</v>
      </c>
      <c r="O59" s="13"/>
      <c r="P59" s="1">
        <f>SUM(OSRRefP22_11x_0)</f>
        <v>3181.84</v>
      </c>
      <c r="Q59" s="1"/>
      <c r="R59" s="5">
        <f t="shared" si="32"/>
        <v>6.0305657785292809E-3</v>
      </c>
      <c r="S59" s="1"/>
      <c r="T59" s="1">
        <f>SUM(OSRRefT22_11x_0)</f>
        <v>8530.8000000000011</v>
      </c>
      <c r="U59" s="1"/>
      <c r="V59" s="5">
        <f t="shared" si="33"/>
        <v>4.2715909662931328E-3</v>
      </c>
      <c r="W59" s="1"/>
      <c r="X59" s="1">
        <f t="shared" si="34"/>
        <v>-5348.9600000000009</v>
      </c>
      <c r="Y59" s="1"/>
      <c r="Z59" s="5">
        <f t="shared" si="35"/>
        <v>-0.62701739578937499</v>
      </c>
    </row>
    <row r="60" spans="1:26" s="24" customFormat="1" hidden="1" outlineLevel="2" x14ac:dyDescent="0.25">
      <c r="A60" s="25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8"/>
        <v>0</v>
      </c>
      <c r="G60" s="2"/>
      <c r="H60" s="6">
        <v>8238.75</v>
      </c>
      <c r="I60" s="2"/>
      <c r="J60" s="7">
        <f t="shared" si="29"/>
        <v>1.8898466941222311E-2</v>
      </c>
      <c r="K60" s="2"/>
      <c r="L60" s="6">
        <f t="shared" si="30"/>
        <v>-8238.75</v>
      </c>
      <c r="M60" s="2"/>
      <c r="N60" s="7">
        <f t="shared" si="31"/>
        <v>-1</v>
      </c>
      <c r="O60" s="11"/>
      <c r="P60" s="6"/>
      <c r="Q60" s="2"/>
      <c r="R60" s="7">
        <f t="shared" si="32"/>
        <v>0</v>
      </c>
      <c r="S60" s="2"/>
      <c r="T60" s="6">
        <v>8238.75</v>
      </c>
      <c r="U60" s="2"/>
      <c r="V60" s="7">
        <f t="shared" si="33"/>
        <v>4.1253540199685306E-3</v>
      </c>
      <c r="W60" s="2"/>
      <c r="X60" s="6">
        <f t="shared" si="34"/>
        <v>-8238.75</v>
      </c>
      <c r="Y60" s="2"/>
      <c r="Z60" s="7">
        <f t="shared" si="35"/>
        <v>-1</v>
      </c>
    </row>
    <row r="61" spans="1:26" s="24" customFormat="1" hidden="1" outlineLevel="2" x14ac:dyDescent="0.25">
      <c r="A61" s="25"/>
      <c r="B61" s="11" t="str">
        <f>CONCATENATE("          ", "6373", " - ", "MAINTENANCE CONTRACTS")</f>
        <v xml:space="preserve">          6373 - MAINTENANCE CONTRACTS</v>
      </c>
      <c r="C61" s="11"/>
      <c r="D61" s="6">
        <v>8.52</v>
      </c>
      <c r="E61" s="2"/>
      <c r="F61" s="7">
        <f t="shared" si="28"/>
        <v>7.9065218968896742E-5</v>
      </c>
      <c r="G61" s="2"/>
      <c r="H61" s="6">
        <v>9.73</v>
      </c>
      <c r="I61" s="2"/>
      <c r="J61" s="7">
        <f t="shared" si="29"/>
        <v>2.2319172609691166E-5</v>
      </c>
      <c r="K61" s="2"/>
      <c r="L61" s="6">
        <f t="shared" si="30"/>
        <v>-1.2100000000000009</v>
      </c>
      <c r="M61" s="2"/>
      <c r="N61" s="7">
        <f t="shared" si="31"/>
        <v>-0.12435765673175753</v>
      </c>
      <c r="O61" s="11"/>
      <c r="P61" s="6">
        <v>1505.02</v>
      </c>
      <c r="Q61" s="2"/>
      <c r="R61" s="7">
        <f t="shared" si="32"/>
        <v>2.8524759598226616E-3</v>
      </c>
      <c r="S61" s="2"/>
      <c r="T61" s="6">
        <v>123.43</v>
      </c>
      <c r="U61" s="2"/>
      <c r="V61" s="7">
        <f t="shared" si="33"/>
        <v>6.1804575534482275E-5</v>
      </c>
      <c r="W61" s="2"/>
      <c r="X61" s="6">
        <f t="shared" si="34"/>
        <v>1381.59</v>
      </c>
      <c r="Y61" s="2"/>
      <c r="Z61" s="7">
        <f t="shared" si="35"/>
        <v>11.193307947824676</v>
      </c>
    </row>
    <row r="62" spans="1:26" s="24" customFormat="1" hidden="1" outlineLevel="2" x14ac:dyDescent="0.25">
      <c r="A62" s="25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1075.2</v>
      </c>
      <c r="E62" s="2"/>
      <c r="F62" s="7">
        <f t="shared" si="28"/>
        <v>9.9778079149480964E-3</v>
      </c>
      <c r="G62" s="2"/>
      <c r="H62" s="6">
        <v>63.13</v>
      </c>
      <c r="I62" s="2"/>
      <c r="J62" s="7">
        <f t="shared" si="29"/>
        <v>1.4481082906986673E-4</v>
      </c>
      <c r="K62" s="2"/>
      <c r="L62" s="6">
        <f t="shared" si="30"/>
        <v>1012.07</v>
      </c>
      <c r="M62" s="2"/>
      <c r="N62" s="7">
        <f t="shared" si="31"/>
        <v>16.031522255662917</v>
      </c>
      <c r="O62" s="11"/>
      <c r="P62" s="6">
        <v>1676.82</v>
      </c>
      <c r="Q62" s="2"/>
      <c r="R62" s="7">
        <f t="shared" si="32"/>
        <v>3.1780898187066188E-3</v>
      </c>
      <c r="S62" s="2"/>
      <c r="T62" s="6">
        <v>168.62</v>
      </c>
      <c r="U62" s="2"/>
      <c r="V62" s="7">
        <f t="shared" si="33"/>
        <v>8.4432370790119102E-5</v>
      </c>
      <c r="W62" s="2"/>
      <c r="X62" s="6">
        <f t="shared" si="34"/>
        <v>1508.1999999999998</v>
      </c>
      <c r="Y62" s="2"/>
      <c r="Z62" s="7">
        <f t="shared" si="35"/>
        <v>8.9443719606215151</v>
      </c>
    </row>
    <row r="63" spans="1:26" s="26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4756.5400000000009</v>
      </c>
      <c r="E63" s="1"/>
      <c r="F63" s="5">
        <f t="shared" ref="F63:F66" si="36">IF(D$12=0,0,D63/D$12)</f>
        <v>4.4140478478206124E-2</v>
      </c>
      <c r="G63" s="1"/>
      <c r="H63" s="1">
        <f>SUM(OSRRefH22_12x_0)</f>
        <v>5601.8</v>
      </c>
      <c r="I63" s="1"/>
      <c r="J63" s="5">
        <f t="shared" ref="J63:J66" si="37">IF(H$12=0,0,H63/H$12)</f>
        <v>1.2849695901846656E-2</v>
      </c>
      <c r="K63" s="1"/>
      <c r="L63" s="1">
        <f t="shared" ref="L63:L66" si="38">+D63-H63</f>
        <v>-845.25999999999931</v>
      </c>
      <c r="M63" s="1"/>
      <c r="N63" s="5">
        <f t="shared" ref="N63:N66" si="39">IF(H63=0,0,L63/H63)</f>
        <v>-0.15089078510478762</v>
      </c>
      <c r="O63" s="13"/>
      <c r="P63" s="1">
        <f>SUM(OSRRefP22_12x_0)</f>
        <v>20713.46</v>
      </c>
      <c r="Q63" s="1"/>
      <c r="R63" s="5">
        <f t="shared" ref="R63:R66" si="40">IF(P$12=0,0,P63/P$12)</f>
        <v>3.9258379752261305E-2</v>
      </c>
      <c r="S63" s="1"/>
      <c r="T63" s="1">
        <f>SUM(OSRRefT22_12x_0)</f>
        <v>31511.1</v>
      </c>
      <c r="U63" s="1"/>
      <c r="V63" s="5">
        <f t="shared" ref="V63:V66" si="41">IF(T$12=0,0,T63/T$12)</f>
        <v>1.577841821376184E-2</v>
      </c>
      <c r="W63" s="1"/>
      <c r="X63" s="1">
        <f t="shared" ref="X63:X66" si="42">+P63-T63</f>
        <v>-10797.64</v>
      </c>
      <c r="Y63" s="1"/>
      <c r="Z63" s="5">
        <f t="shared" ref="Z63:Z66" si="43">IF(T63=0,0,X63/T63)</f>
        <v>-0.34266147484537196</v>
      </c>
    </row>
    <row r="64" spans="1:26" s="24" customFormat="1" hidden="1" outlineLevel="2" x14ac:dyDescent="0.25">
      <c r="A64" s="25"/>
      <c r="B64" s="11" t="str">
        <f>CONCATENATE("          ", "6282", " - ", "JANITORIAL/EXTERMINATOR EXPENS")</f>
        <v xml:space="preserve">          6282 - JANITORIAL/EXTERMINATOR EXPENS</v>
      </c>
      <c r="C64" s="11"/>
      <c r="D64" s="6"/>
      <c r="E64" s="2"/>
      <c r="F64" s="7">
        <f t="shared" si="36"/>
        <v>0</v>
      </c>
      <c r="G64" s="2"/>
      <c r="H64" s="6">
        <v>421.34</v>
      </c>
      <c r="I64" s="2"/>
      <c r="J64" s="7">
        <f t="shared" si="37"/>
        <v>9.6649128338820904E-4</v>
      </c>
      <c r="K64" s="2"/>
      <c r="L64" s="6">
        <f t="shared" si="38"/>
        <v>-421.34</v>
      </c>
      <c r="M64" s="2"/>
      <c r="N64" s="7">
        <f t="shared" si="39"/>
        <v>-1</v>
      </c>
      <c r="O64" s="11"/>
      <c r="P64" s="6">
        <v>842.68</v>
      </c>
      <c r="Q64" s="2"/>
      <c r="R64" s="7">
        <f t="shared" si="40"/>
        <v>1.5971378731334869E-3</v>
      </c>
      <c r="S64" s="2"/>
      <c r="T64" s="6">
        <v>2106.6999999999998</v>
      </c>
      <c r="U64" s="2"/>
      <c r="V64" s="7">
        <f t="shared" si="41"/>
        <v>1.0548788728712126E-3</v>
      </c>
      <c r="W64" s="2"/>
      <c r="X64" s="6">
        <f t="shared" si="42"/>
        <v>-1264.02</v>
      </c>
      <c r="Y64" s="2"/>
      <c r="Z64" s="7">
        <f t="shared" si="43"/>
        <v>-0.60000000000000009</v>
      </c>
    </row>
    <row r="65" spans="1:26" s="24" customFormat="1" hidden="1" outlineLevel="2" x14ac:dyDescent="0.25">
      <c r="A65" s="25"/>
      <c r="B65" s="11" t="str">
        <f>CONCATENATE("          ", "6285", " - ", "JANITORIAL SERVICES")</f>
        <v xml:space="preserve">          6285 - JANITORIAL SERVICES</v>
      </c>
      <c r="C65" s="11"/>
      <c r="D65" s="6">
        <v>4194.1000000000004</v>
      </c>
      <c r="E65" s="2"/>
      <c r="F65" s="7">
        <f t="shared" si="36"/>
        <v>3.8921060431625569E-2</v>
      </c>
      <c r="G65" s="2"/>
      <c r="H65" s="6">
        <v>3916.67</v>
      </c>
      <c r="I65" s="2"/>
      <c r="J65" s="7">
        <f t="shared" si="37"/>
        <v>8.984258354080071E-3</v>
      </c>
      <c r="K65" s="2"/>
      <c r="L65" s="6">
        <f t="shared" si="38"/>
        <v>277.43000000000029</v>
      </c>
      <c r="M65" s="2"/>
      <c r="N65" s="7">
        <f t="shared" si="39"/>
        <v>7.0833131205845862E-2</v>
      </c>
      <c r="O65" s="11"/>
      <c r="P65" s="6">
        <v>16008.529999999999</v>
      </c>
      <c r="Q65" s="2"/>
      <c r="R65" s="7">
        <f t="shared" si="40"/>
        <v>3.0341089804188561E-2</v>
      </c>
      <c r="S65" s="2"/>
      <c r="T65" s="6">
        <v>22237.85</v>
      </c>
      <c r="U65" s="2"/>
      <c r="V65" s="7">
        <f t="shared" si="41"/>
        <v>1.1135063437166704E-2</v>
      </c>
      <c r="W65" s="2"/>
      <c r="X65" s="6">
        <f t="shared" si="42"/>
        <v>-6229.32</v>
      </c>
      <c r="Y65" s="2"/>
      <c r="Z65" s="7">
        <f t="shared" si="43"/>
        <v>-0.28012240391944365</v>
      </c>
    </row>
    <row r="66" spans="1:26" s="24" customFormat="1" hidden="1" outlineLevel="2" x14ac:dyDescent="0.25">
      <c r="A66" s="25"/>
      <c r="B66" s="11" t="str">
        <f>CONCATENATE("          ", "6286", " - ", "LAUNDRY EXPENSE")</f>
        <v xml:space="preserve">          6286 - LAUNDRY EXPENSE</v>
      </c>
      <c r="C66" s="11"/>
      <c r="D66" s="6">
        <v>562.44000000000005</v>
      </c>
      <c r="E66" s="2"/>
      <c r="F66" s="7">
        <f t="shared" si="36"/>
        <v>5.2194180465805502E-3</v>
      </c>
      <c r="G66" s="2"/>
      <c r="H66" s="6">
        <v>1263.79</v>
      </c>
      <c r="I66" s="2"/>
      <c r="J66" s="7">
        <f t="shared" si="37"/>
        <v>2.8989462643783759E-3</v>
      </c>
      <c r="K66" s="2"/>
      <c r="L66" s="6">
        <f t="shared" si="38"/>
        <v>-701.34999999999991</v>
      </c>
      <c r="M66" s="2"/>
      <c r="N66" s="7">
        <f t="shared" si="39"/>
        <v>-0.55495770658099841</v>
      </c>
      <c r="O66" s="11"/>
      <c r="P66" s="6">
        <v>3862.25</v>
      </c>
      <c r="Q66" s="2"/>
      <c r="R66" s="7">
        <f t="shared" si="40"/>
        <v>7.3201520749392535E-3</v>
      </c>
      <c r="S66" s="2"/>
      <c r="T66" s="6">
        <v>7166.55</v>
      </c>
      <c r="U66" s="2"/>
      <c r="V66" s="7">
        <f t="shared" si="41"/>
        <v>3.5884759037239236E-3</v>
      </c>
      <c r="W66" s="2"/>
      <c r="X66" s="6">
        <f t="shared" si="42"/>
        <v>-3304.3</v>
      </c>
      <c r="Y66" s="2"/>
      <c r="Z66" s="7">
        <f t="shared" si="43"/>
        <v>-0.46107262211245303</v>
      </c>
    </row>
    <row r="67" spans="1:26" s="26" customFormat="1" outlineLevel="1" collapsed="1" x14ac:dyDescent="0.25">
      <c r="A67" s="27"/>
      <c r="B67" s="13" t="str">
        <f>CONCATENATE("     ","Subscriptions &amp; Dues                              ")</f>
        <v xml:space="preserve">     Subscriptions &amp; Dues                              </v>
      </c>
      <c r="C67" s="13"/>
      <c r="D67" s="1">
        <f>SUM(OSRRefD22_13x_0)</f>
        <v>795</v>
      </c>
      <c r="E67" s="1"/>
      <c r="F67" s="5">
        <f t="shared" ref="F67:F78" si="44">IF(D$12=0,0,D67/D$12)</f>
        <v>7.3775644460414213E-3</v>
      </c>
      <c r="G67" s="1"/>
      <c r="H67" s="1">
        <f>SUM(OSRRefH22_13x_0)</f>
        <v>0</v>
      </c>
      <c r="I67" s="1"/>
      <c r="J67" s="5">
        <f t="shared" ref="J67:J78" si="45">IF(H$12=0,0,H67/H$12)</f>
        <v>0</v>
      </c>
      <c r="K67" s="1"/>
      <c r="L67" s="1">
        <f t="shared" ref="L67:L78" si="46">+D67-H67</f>
        <v>795</v>
      </c>
      <c r="M67" s="1"/>
      <c r="N67" s="5">
        <f t="shared" ref="N67:N78" si="47">IF(H67=0,0,L67/H67)</f>
        <v>0</v>
      </c>
      <c r="O67" s="13"/>
      <c r="P67" s="1">
        <f>SUM(OSRRefP22_13x_0)</f>
        <v>795</v>
      </c>
      <c r="Q67" s="1"/>
      <c r="R67" s="5">
        <f t="shared" ref="R67:R78" si="48">IF(P$12=0,0,P67/P$12)</f>
        <v>1.5067696031009661E-3</v>
      </c>
      <c r="S67" s="1"/>
      <c r="T67" s="1">
        <f>SUM(OSRRefT22_13x_0)</f>
        <v>0</v>
      </c>
      <c r="U67" s="1"/>
      <c r="V67" s="5">
        <f t="shared" ref="V67:V78" si="49">IF(T$12=0,0,T67/T$12)</f>
        <v>0</v>
      </c>
      <c r="W67" s="1"/>
      <c r="X67" s="1">
        <f t="shared" ref="X67:X78" si="50">+P67-T67</f>
        <v>795</v>
      </c>
      <c r="Y67" s="1"/>
      <c r="Z67" s="5">
        <f t="shared" ref="Z67:Z78" si="51">IF(T67=0,0,X67/T67)</f>
        <v>0</v>
      </c>
    </row>
    <row r="68" spans="1:26" s="24" customFormat="1" hidden="1" outlineLevel="2" x14ac:dyDescent="0.25">
      <c r="A68" s="25"/>
      <c r="B68" s="11" t="str">
        <f>CONCATENATE("          ", "6258", " - ", "MEMBERSHIP DUES")</f>
        <v xml:space="preserve">          6258 - MEMBERSHIP DUES</v>
      </c>
      <c r="C68" s="11"/>
      <c r="D68" s="6">
        <v>795</v>
      </c>
      <c r="E68" s="2"/>
      <c r="F68" s="7">
        <f t="shared" si="44"/>
        <v>7.3775644460414213E-3</v>
      </c>
      <c r="G68" s="2"/>
      <c r="H68" s="6"/>
      <c r="I68" s="2"/>
      <c r="J68" s="7">
        <f t="shared" si="45"/>
        <v>0</v>
      </c>
      <c r="K68" s="2"/>
      <c r="L68" s="6">
        <f t="shared" si="46"/>
        <v>795</v>
      </c>
      <c r="M68" s="2"/>
      <c r="N68" s="7">
        <f t="shared" si="47"/>
        <v>0</v>
      </c>
      <c r="O68" s="11"/>
      <c r="P68" s="6">
        <v>795</v>
      </c>
      <c r="Q68" s="2"/>
      <c r="R68" s="7">
        <f t="shared" si="48"/>
        <v>1.5067696031009661E-3</v>
      </c>
      <c r="S68" s="2"/>
      <c r="T68" s="6"/>
      <c r="U68" s="2"/>
      <c r="V68" s="7">
        <f t="shared" si="49"/>
        <v>0</v>
      </c>
      <c r="W68" s="2"/>
      <c r="X68" s="6">
        <f t="shared" si="50"/>
        <v>795</v>
      </c>
      <c r="Y68" s="2"/>
      <c r="Z68" s="7">
        <f t="shared" si="51"/>
        <v>0</v>
      </c>
    </row>
    <row r="69" spans="1:26" s="26" customFormat="1" outlineLevel="1" collapsed="1" x14ac:dyDescent="0.25">
      <c r="A69" s="27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SUM(OSRRefD22_14x_0)</f>
        <v>21390.29</v>
      </c>
      <c r="E69" s="1"/>
      <c r="F69" s="5">
        <f t="shared" si="44"/>
        <v>0.19850093458429607</v>
      </c>
      <c r="G69" s="1"/>
      <c r="H69" s="1">
        <f>SUM(OSRRefH22_14x_0)</f>
        <v>8857.59</v>
      </c>
      <c r="I69" s="1"/>
      <c r="J69" s="5">
        <f t="shared" si="45"/>
        <v>2.0317993845413603E-2</v>
      </c>
      <c r="K69" s="1"/>
      <c r="L69" s="1">
        <f t="shared" si="46"/>
        <v>12532.7</v>
      </c>
      <c r="M69" s="1"/>
      <c r="N69" s="5">
        <f t="shared" si="47"/>
        <v>1.4149108278888503</v>
      </c>
      <c r="O69" s="13"/>
      <c r="P69" s="1">
        <f>SUM(OSRRefP22_14x_0)</f>
        <v>63020.450000000012</v>
      </c>
      <c r="Q69" s="1"/>
      <c r="R69" s="5">
        <f t="shared" si="48"/>
        <v>0.11944314268395509</v>
      </c>
      <c r="S69" s="1"/>
      <c r="T69" s="1">
        <f>SUM(OSRRefT22_14x_0)</f>
        <v>53922.07</v>
      </c>
      <c r="U69" s="1"/>
      <c r="V69" s="5">
        <f t="shared" si="49"/>
        <v>2.7000167287455565E-2</v>
      </c>
      <c r="W69" s="1"/>
      <c r="X69" s="1">
        <f t="shared" si="50"/>
        <v>9098.3800000000119</v>
      </c>
      <c r="Y69" s="1"/>
      <c r="Z69" s="5">
        <f t="shared" si="51"/>
        <v>0.16873202382623687</v>
      </c>
    </row>
    <row r="70" spans="1:26" s="24" customFormat="1" hidden="1" outlineLevel="2" x14ac:dyDescent="0.25">
      <c r="A70" s="25"/>
      <c r="B70" s="11" t="str">
        <f>CONCATENATE("          ", "6234", " - ", "EXPENDABLE SUPPLIES &amp; EQUIPMEN")</f>
        <v xml:space="preserve">          6234 - EXPENDABLE SUPPLIES &amp; EQUIPMEN</v>
      </c>
      <c r="C70" s="11"/>
      <c r="D70" s="6"/>
      <c r="E70" s="2"/>
      <c r="F70" s="7">
        <f t="shared" si="44"/>
        <v>0</v>
      </c>
      <c r="G70" s="2"/>
      <c r="H70" s="6"/>
      <c r="I70" s="2"/>
      <c r="J70" s="7">
        <f t="shared" si="45"/>
        <v>0</v>
      </c>
      <c r="K70" s="2"/>
      <c r="L70" s="6">
        <f t="shared" si="46"/>
        <v>0</v>
      </c>
      <c r="M70" s="2"/>
      <c r="N70" s="7">
        <f t="shared" si="47"/>
        <v>0</v>
      </c>
      <c r="O70" s="11"/>
      <c r="P70" s="6"/>
      <c r="Q70" s="2"/>
      <c r="R70" s="7">
        <f t="shared" si="48"/>
        <v>0</v>
      </c>
      <c r="S70" s="2"/>
      <c r="T70" s="6">
        <v>100</v>
      </c>
      <c r="U70" s="2"/>
      <c r="V70" s="7">
        <f t="shared" si="49"/>
        <v>5.0072571931039669E-5</v>
      </c>
      <c r="W70" s="2"/>
      <c r="X70" s="6">
        <f t="shared" si="50"/>
        <v>-100</v>
      </c>
      <c r="Y70" s="2"/>
      <c r="Z70" s="7">
        <f t="shared" si="51"/>
        <v>-1</v>
      </c>
    </row>
    <row r="71" spans="1:26" s="24" customFormat="1" hidden="1" outlineLevel="2" x14ac:dyDescent="0.25">
      <c r="A71" s="25"/>
      <c r="B71" s="11" t="str">
        <f>CONCATENATE("          ", "6235", " - ", "COVID-19 EXPENSES")</f>
        <v xml:space="preserve">          6235 - COVID-19 EXPENSES</v>
      </c>
      <c r="C71" s="11"/>
      <c r="D71" s="6">
        <v>11925.52</v>
      </c>
      <c r="E71" s="2"/>
      <c r="F71" s="7">
        <f t="shared" si="44"/>
        <v>0.11066829226736591</v>
      </c>
      <c r="G71" s="2"/>
      <c r="H71" s="6"/>
      <c r="I71" s="2"/>
      <c r="J71" s="7">
        <f t="shared" si="45"/>
        <v>0</v>
      </c>
      <c r="K71" s="2"/>
      <c r="L71" s="6">
        <f t="shared" si="46"/>
        <v>11925.52</v>
      </c>
      <c r="M71" s="2"/>
      <c r="N71" s="7">
        <f t="shared" si="47"/>
        <v>0</v>
      </c>
      <c r="O71" s="11"/>
      <c r="P71" s="6">
        <v>36697.89</v>
      </c>
      <c r="Q71" s="2"/>
      <c r="R71" s="7">
        <f t="shared" si="48"/>
        <v>6.9553792641437628E-2</v>
      </c>
      <c r="S71" s="2"/>
      <c r="T71" s="6"/>
      <c r="U71" s="2"/>
      <c r="V71" s="7">
        <f t="shared" si="49"/>
        <v>0</v>
      </c>
      <c r="W71" s="2"/>
      <c r="X71" s="6">
        <f t="shared" si="50"/>
        <v>36697.89</v>
      </c>
      <c r="Y71" s="2"/>
      <c r="Z71" s="7">
        <f t="shared" si="51"/>
        <v>0</v>
      </c>
    </row>
    <row r="72" spans="1:26" s="24" customFormat="1" hidden="1" outlineLevel="2" x14ac:dyDescent="0.25">
      <c r="A72" s="25"/>
      <c r="B72" s="11" t="str">
        <f>CONCATENATE("          ", "6237", " - ", "JANITORIAL SUPPLIES")</f>
        <v xml:space="preserve">          6237 - JANITORIAL SUPPLIES</v>
      </c>
      <c r="C72" s="11"/>
      <c r="D72" s="6">
        <v>390.1</v>
      </c>
      <c r="E72" s="2"/>
      <c r="F72" s="7">
        <f t="shared" si="44"/>
        <v>3.6201105539632188E-3</v>
      </c>
      <c r="G72" s="2"/>
      <c r="H72" s="6">
        <v>3485.61</v>
      </c>
      <c r="I72" s="2"/>
      <c r="J72" s="7">
        <f t="shared" si="45"/>
        <v>7.9954708365946158E-3</v>
      </c>
      <c r="K72" s="2"/>
      <c r="L72" s="6">
        <f t="shared" si="46"/>
        <v>-3095.51</v>
      </c>
      <c r="M72" s="2"/>
      <c r="N72" s="7">
        <f t="shared" si="47"/>
        <v>-0.88808271722883514</v>
      </c>
      <c r="O72" s="11"/>
      <c r="P72" s="6">
        <v>5731.27</v>
      </c>
      <c r="Q72" s="2"/>
      <c r="R72" s="7">
        <f t="shared" si="48"/>
        <v>1.0862520029137703E-2</v>
      </c>
      <c r="S72" s="2"/>
      <c r="T72" s="6">
        <v>21001.4</v>
      </c>
      <c r="U72" s="2"/>
      <c r="V72" s="7">
        <f t="shared" si="49"/>
        <v>1.0515941121525367E-2</v>
      </c>
      <c r="W72" s="2"/>
      <c r="X72" s="6">
        <f t="shared" si="50"/>
        <v>-15270.130000000001</v>
      </c>
      <c r="Y72" s="2"/>
      <c r="Z72" s="7">
        <f t="shared" si="51"/>
        <v>-0.72710057424743113</v>
      </c>
    </row>
    <row r="73" spans="1:26" s="24" customFormat="1" hidden="1" outlineLevel="2" x14ac:dyDescent="0.25">
      <c r="A73" s="25"/>
      <c r="B73" s="11" t="str">
        <f>CONCATENATE("          ", "6239", " - ", "KITCHEN SUPPLIES")</f>
        <v xml:space="preserve">          6239 - KITCHEN SUPPLIES</v>
      </c>
      <c r="C73" s="11"/>
      <c r="D73" s="6">
        <v>1494.83</v>
      </c>
      <c r="E73" s="2"/>
      <c r="F73" s="7">
        <f t="shared" si="44"/>
        <v>1.387195554827182E-2</v>
      </c>
      <c r="G73" s="2"/>
      <c r="H73" s="6">
        <v>1752.95</v>
      </c>
      <c r="I73" s="2"/>
      <c r="J73" s="7">
        <f t="shared" si="45"/>
        <v>4.0210065391734972E-3</v>
      </c>
      <c r="K73" s="2"/>
      <c r="L73" s="6">
        <f t="shared" si="46"/>
        <v>-258.12000000000012</v>
      </c>
      <c r="M73" s="2"/>
      <c r="N73" s="7">
        <f t="shared" si="47"/>
        <v>-0.147248923243675</v>
      </c>
      <c r="O73" s="11"/>
      <c r="P73" s="6">
        <v>4635.4399999999996</v>
      </c>
      <c r="Q73" s="2"/>
      <c r="R73" s="7">
        <f t="shared" si="48"/>
        <v>8.7855850176079778E-3</v>
      </c>
      <c r="S73" s="2"/>
      <c r="T73" s="6">
        <v>15652.969999999998</v>
      </c>
      <c r="U73" s="2"/>
      <c r="V73" s="7">
        <f t="shared" si="49"/>
        <v>7.8378446625940595E-3</v>
      </c>
      <c r="W73" s="2"/>
      <c r="X73" s="6">
        <f t="shared" si="50"/>
        <v>-11017.529999999999</v>
      </c>
      <c r="Y73" s="2"/>
      <c r="Z73" s="7">
        <f t="shared" si="51"/>
        <v>-0.70386195079911351</v>
      </c>
    </row>
    <row r="74" spans="1:26" s="24" customFormat="1" hidden="1" outlineLevel="2" x14ac:dyDescent="0.25">
      <c r="A74" s="25"/>
      <c r="B74" s="11" t="str">
        <f>CONCATENATE("          ", "6241", " - ", "OFFICE EXPENSE")</f>
        <v xml:space="preserve">          6241 - OFFICE EXPENSE</v>
      </c>
      <c r="C74" s="11"/>
      <c r="D74" s="6">
        <v>1207.05</v>
      </c>
      <c r="E74" s="2"/>
      <c r="F74" s="7">
        <f t="shared" si="44"/>
        <v>1.1201370018357608E-2</v>
      </c>
      <c r="G74" s="2"/>
      <c r="H74" s="6">
        <v>1130.3900000000001</v>
      </c>
      <c r="I74" s="2"/>
      <c r="J74" s="7">
        <f t="shared" si="45"/>
        <v>2.5929465083523945E-3</v>
      </c>
      <c r="K74" s="2"/>
      <c r="L74" s="6">
        <f t="shared" si="46"/>
        <v>76.659999999999854</v>
      </c>
      <c r="M74" s="2"/>
      <c r="N74" s="7">
        <f t="shared" si="47"/>
        <v>6.7817301993117279E-2</v>
      </c>
      <c r="O74" s="11"/>
      <c r="P74" s="6">
        <v>2485.12</v>
      </c>
      <c r="Q74" s="2"/>
      <c r="R74" s="7">
        <f t="shared" si="48"/>
        <v>4.710067013909777E-3</v>
      </c>
      <c r="S74" s="2"/>
      <c r="T74" s="6">
        <v>2439.85</v>
      </c>
      <c r="U74" s="2"/>
      <c r="V74" s="7">
        <f t="shared" si="49"/>
        <v>1.2216956462594714E-3</v>
      </c>
      <c r="W74" s="2"/>
      <c r="X74" s="6">
        <f t="shared" si="50"/>
        <v>45.269999999999982</v>
      </c>
      <c r="Y74" s="2"/>
      <c r="Z74" s="7">
        <f t="shared" si="51"/>
        <v>1.8554419329057107E-2</v>
      </c>
    </row>
    <row r="75" spans="1:26" s="24" customFormat="1" hidden="1" outlineLevel="2" x14ac:dyDescent="0.25">
      <c r="A75" s="25"/>
      <c r="B75" s="11" t="str">
        <f>CONCATENATE("          ", "6243", " - ", "PAPER SUPPLIES")</f>
        <v xml:space="preserve">          6243 - PAPER SUPPLIES</v>
      </c>
      <c r="C75" s="11"/>
      <c r="D75" s="6">
        <v>5686.88</v>
      </c>
      <c r="E75" s="2"/>
      <c r="F75" s="7">
        <f t="shared" si="44"/>
        <v>5.2773992071577409E-2</v>
      </c>
      <c r="G75" s="2"/>
      <c r="H75" s="6">
        <v>1918.24</v>
      </c>
      <c r="I75" s="2"/>
      <c r="J75" s="7">
        <f t="shared" si="45"/>
        <v>4.4001572113888977E-3</v>
      </c>
      <c r="K75" s="2"/>
      <c r="L75" s="6">
        <f t="shared" si="46"/>
        <v>3768.6400000000003</v>
      </c>
      <c r="M75" s="2"/>
      <c r="N75" s="7">
        <f t="shared" si="47"/>
        <v>1.9646342480607224</v>
      </c>
      <c r="O75" s="11"/>
      <c r="P75" s="6">
        <v>8970.14</v>
      </c>
      <c r="Q75" s="2"/>
      <c r="R75" s="7">
        <f t="shared" si="48"/>
        <v>1.7001175204478112E-2</v>
      </c>
      <c r="S75" s="2"/>
      <c r="T75" s="6">
        <v>12294.73</v>
      </c>
      <c r="U75" s="2"/>
      <c r="V75" s="7">
        <f t="shared" si="49"/>
        <v>6.1562875229771137E-3</v>
      </c>
      <c r="W75" s="2"/>
      <c r="X75" s="6">
        <f t="shared" si="50"/>
        <v>-3324.59</v>
      </c>
      <c r="Y75" s="2"/>
      <c r="Z75" s="7">
        <f t="shared" si="51"/>
        <v>-0.27040772753854703</v>
      </c>
    </row>
    <row r="76" spans="1:26" s="24" customFormat="1" hidden="1" outlineLevel="2" x14ac:dyDescent="0.25">
      <c r="A76" s="25"/>
      <c r="B76" s="11" t="str">
        <f>CONCATENATE("          ", "6245", " - ", "PRINTING")</f>
        <v xml:space="preserve">          6245 - PRINTING</v>
      </c>
      <c r="C76" s="11"/>
      <c r="D76" s="6"/>
      <c r="E76" s="2"/>
      <c r="F76" s="7">
        <f t="shared" si="44"/>
        <v>0</v>
      </c>
      <c r="G76" s="2"/>
      <c r="H76" s="6"/>
      <c r="I76" s="2"/>
      <c r="J76" s="7">
        <f t="shared" si="45"/>
        <v>0</v>
      </c>
      <c r="K76" s="2"/>
      <c r="L76" s="6">
        <f t="shared" si="46"/>
        <v>0</v>
      </c>
      <c r="M76" s="2"/>
      <c r="N76" s="7">
        <f t="shared" si="47"/>
        <v>0</v>
      </c>
      <c r="O76" s="11"/>
      <c r="P76" s="6"/>
      <c r="Q76" s="2"/>
      <c r="R76" s="7">
        <f t="shared" si="48"/>
        <v>0</v>
      </c>
      <c r="S76" s="2"/>
      <c r="T76" s="6">
        <v>441</v>
      </c>
      <c r="U76" s="2"/>
      <c r="V76" s="7">
        <f t="shared" si="49"/>
        <v>2.2082004221588494E-4</v>
      </c>
      <c r="W76" s="2"/>
      <c r="X76" s="6">
        <f t="shared" si="50"/>
        <v>-441</v>
      </c>
      <c r="Y76" s="2"/>
      <c r="Z76" s="7">
        <f t="shared" si="51"/>
        <v>-1</v>
      </c>
    </row>
    <row r="77" spans="1:26" s="24" customFormat="1" hidden="1" outlineLevel="2" x14ac:dyDescent="0.25">
      <c r="A77" s="25"/>
      <c r="B77" s="11" t="str">
        <f>CONCATENATE("          ", "6247", " - ", "STORE SUPPLIES")</f>
        <v xml:space="preserve">          6247 - STORE SUPPLIES</v>
      </c>
      <c r="C77" s="11"/>
      <c r="D77" s="6"/>
      <c r="E77" s="2"/>
      <c r="F77" s="7">
        <f t="shared" si="44"/>
        <v>0</v>
      </c>
      <c r="G77" s="2"/>
      <c r="H77" s="6"/>
      <c r="I77" s="2"/>
      <c r="J77" s="7">
        <f t="shared" si="45"/>
        <v>0</v>
      </c>
      <c r="K77" s="2"/>
      <c r="L77" s="6">
        <f t="shared" si="46"/>
        <v>0</v>
      </c>
      <c r="M77" s="2"/>
      <c r="N77" s="7">
        <f t="shared" si="47"/>
        <v>0</v>
      </c>
      <c r="O77" s="11"/>
      <c r="P77" s="6"/>
      <c r="Q77" s="2"/>
      <c r="R77" s="7">
        <f t="shared" si="48"/>
        <v>0</v>
      </c>
      <c r="S77" s="2"/>
      <c r="T77" s="6">
        <v>153.87</v>
      </c>
      <c r="U77" s="2"/>
      <c r="V77" s="7">
        <f t="shared" si="49"/>
        <v>7.7046666430290747E-5</v>
      </c>
      <c r="W77" s="2"/>
      <c r="X77" s="6">
        <f t="shared" si="50"/>
        <v>-153.87</v>
      </c>
      <c r="Y77" s="2"/>
      <c r="Z77" s="7">
        <f t="shared" si="51"/>
        <v>-1</v>
      </c>
    </row>
    <row r="78" spans="1:26" s="24" customFormat="1" hidden="1" outlineLevel="2" x14ac:dyDescent="0.25">
      <c r="A78" s="25"/>
      <c r="B78" s="11" t="str">
        <f>CONCATENATE("          ", "6248", " - ", "UNIFORMS")</f>
        <v xml:space="preserve">          6248 - UNIFORMS</v>
      </c>
      <c r="C78" s="11"/>
      <c r="D78" s="6">
        <v>685.91</v>
      </c>
      <c r="E78" s="2"/>
      <c r="F78" s="7">
        <f t="shared" si="44"/>
        <v>6.3652141247600895E-3</v>
      </c>
      <c r="G78" s="2"/>
      <c r="H78" s="6">
        <v>570.4</v>
      </c>
      <c r="I78" s="2"/>
      <c r="J78" s="7">
        <f t="shared" si="45"/>
        <v>1.3084127499041972E-3</v>
      </c>
      <c r="K78" s="2"/>
      <c r="L78" s="6">
        <f t="shared" si="46"/>
        <v>115.50999999999999</v>
      </c>
      <c r="M78" s="2"/>
      <c r="N78" s="7">
        <f t="shared" si="47"/>
        <v>0.20250701262272089</v>
      </c>
      <c r="O78" s="11"/>
      <c r="P78" s="6">
        <v>4500.59</v>
      </c>
      <c r="Q78" s="2"/>
      <c r="R78" s="7">
        <f t="shared" si="48"/>
        <v>8.5300027773838709E-3</v>
      </c>
      <c r="S78" s="2"/>
      <c r="T78" s="6">
        <v>1838.25</v>
      </c>
      <c r="U78" s="2"/>
      <c r="V78" s="7">
        <f t="shared" si="49"/>
        <v>9.2045905352233673E-4</v>
      </c>
      <c r="W78" s="2"/>
      <c r="X78" s="6">
        <f t="shared" si="50"/>
        <v>2662.34</v>
      </c>
      <c r="Y78" s="2"/>
      <c r="Z78" s="7">
        <f t="shared" si="51"/>
        <v>1.4483013735890113</v>
      </c>
    </row>
    <row r="79" spans="1:26" s="26" customFormat="1" outlineLevel="1" collapsed="1" x14ac:dyDescent="0.25">
      <c r="A79" s="27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SUM(OSRRefD22_15x_0)</f>
        <v>259</v>
      </c>
      <c r="E79" s="1"/>
      <c r="F79" s="5">
        <f t="shared" ref="F79:F84" si="52">IF(D$12=0,0,D79/D$12)</f>
        <v>2.4035084170122368E-3</v>
      </c>
      <c r="G79" s="1"/>
      <c r="H79" s="1">
        <f>SUM(OSRRefH22_15x_0)</f>
        <v>312</v>
      </c>
      <c r="I79" s="1"/>
      <c r="J79" s="5">
        <f t="shared" ref="J79:J84" si="53">IF(H$12=0,0,H79/H$12)</f>
        <v>7.1568158830664366E-4</v>
      </c>
      <c r="K79" s="1"/>
      <c r="L79" s="1">
        <f t="shared" ref="L79:L84" si="54">+D79-H79</f>
        <v>-53</v>
      </c>
      <c r="M79" s="1"/>
      <c r="N79" s="5">
        <f t="shared" ref="N79:N84" si="55">IF(H79=0,0,L79/H79)</f>
        <v>-0.16987179487179488</v>
      </c>
      <c r="O79" s="13"/>
      <c r="P79" s="1">
        <f>SUM(OSRRefP22_15x_0)</f>
        <v>1446</v>
      </c>
      <c r="Q79" s="1"/>
      <c r="R79" s="5">
        <f t="shared" ref="R79:R84" si="56">IF(P$12=0,0,P79/P$12)</f>
        <v>2.7406149007345873E-3</v>
      </c>
      <c r="S79" s="1"/>
      <c r="T79" s="1">
        <f>SUM(OSRRefT22_15x_0)</f>
        <v>1654.45</v>
      </c>
      <c r="U79" s="1"/>
      <c r="V79" s="5">
        <f t="shared" ref="V79:V84" si="57">IF(T$12=0,0,T79/T$12)</f>
        <v>8.2842566631308591E-4</v>
      </c>
      <c r="W79" s="1"/>
      <c r="X79" s="1">
        <f t="shared" ref="X79:X84" si="58">+P79-T79</f>
        <v>-208.45000000000005</v>
      </c>
      <c r="Y79" s="1"/>
      <c r="Z79" s="5">
        <f t="shared" ref="Z79:Z84" si="59">IF(T79=0,0,X79/T79)</f>
        <v>-0.12599353259391341</v>
      </c>
    </row>
    <row r="80" spans="1:26" s="24" customFormat="1" hidden="1" outlineLevel="2" x14ac:dyDescent="0.25">
      <c r="A80" s="25"/>
      <c r="B80" s="11" t="str">
        <f>CONCATENATE("          ", "6309", " - ", "TELEPHONE")</f>
        <v xml:space="preserve">          6309 - TELEPHONE</v>
      </c>
      <c r="C80" s="11"/>
      <c r="D80" s="6">
        <v>259</v>
      </c>
      <c r="E80" s="2"/>
      <c r="F80" s="7">
        <f t="shared" si="52"/>
        <v>2.4035084170122368E-3</v>
      </c>
      <c r="G80" s="2"/>
      <c r="H80" s="6">
        <v>312</v>
      </c>
      <c r="I80" s="2"/>
      <c r="J80" s="7">
        <f t="shared" si="53"/>
        <v>7.1568158830664366E-4</v>
      </c>
      <c r="K80" s="2"/>
      <c r="L80" s="6">
        <f t="shared" si="54"/>
        <v>-53</v>
      </c>
      <c r="M80" s="2"/>
      <c r="N80" s="7">
        <f t="shared" si="55"/>
        <v>-0.16987179487179488</v>
      </c>
      <c r="O80" s="11"/>
      <c r="P80" s="6">
        <v>1446</v>
      </c>
      <c r="Q80" s="2"/>
      <c r="R80" s="7">
        <f t="shared" si="56"/>
        <v>2.7406149007345873E-3</v>
      </c>
      <c r="S80" s="2"/>
      <c r="T80" s="6">
        <v>1654.45</v>
      </c>
      <c r="U80" s="2"/>
      <c r="V80" s="7">
        <f t="shared" si="57"/>
        <v>8.2842566631308591E-4</v>
      </c>
      <c r="W80" s="2"/>
      <c r="X80" s="6">
        <f t="shared" si="58"/>
        <v>-208.45000000000005</v>
      </c>
      <c r="Y80" s="2"/>
      <c r="Z80" s="7">
        <f t="shared" si="59"/>
        <v>-0.12599353259391341</v>
      </c>
    </row>
    <row r="81" spans="1:26" s="26" customFormat="1" outlineLevel="1" collapsed="1" x14ac:dyDescent="0.25">
      <c r="A81" s="27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SUM(OSRRefD22_16x_0)</f>
        <v>0</v>
      </c>
      <c r="E81" s="1"/>
      <c r="F81" s="5">
        <f t="shared" si="52"/>
        <v>0</v>
      </c>
      <c r="G81" s="1"/>
      <c r="H81" s="1">
        <f>SUM(OSRRefH22_16x_0)</f>
        <v>125</v>
      </c>
      <c r="I81" s="1"/>
      <c r="J81" s="5">
        <f t="shared" si="53"/>
        <v>2.8673140557157202E-4</v>
      </c>
      <c r="K81" s="1"/>
      <c r="L81" s="1">
        <f t="shared" si="54"/>
        <v>-125</v>
      </c>
      <c r="M81" s="1"/>
      <c r="N81" s="5">
        <f t="shared" si="55"/>
        <v>-1</v>
      </c>
      <c r="O81" s="13"/>
      <c r="P81" s="1">
        <f>SUM(OSRRefP22_16x_0)</f>
        <v>735</v>
      </c>
      <c r="Q81" s="1"/>
      <c r="R81" s="5">
        <f t="shared" si="56"/>
        <v>1.3930511424895724E-3</v>
      </c>
      <c r="S81" s="1"/>
      <c r="T81" s="1">
        <f>SUM(OSRRefT22_16x_0)</f>
        <v>763</v>
      </c>
      <c r="U81" s="1"/>
      <c r="V81" s="5">
        <f t="shared" si="57"/>
        <v>3.820537238338327E-4</v>
      </c>
      <c r="W81" s="1"/>
      <c r="X81" s="1">
        <f t="shared" si="58"/>
        <v>-28</v>
      </c>
      <c r="Y81" s="1"/>
      <c r="Z81" s="5">
        <f t="shared" si="59"/>
        <v>-3.669724770642202E-2</v>
      </c>
    </row>
    <row r="82" spans="1:26" s="24" customFormat="1" hidden="1" outlineLevel="2" x14ac:dyDescent="0.25">
      <c r="A82" s="25"/>
      <c r="B82" s="11" t="str">
        <f>CONCATENATE("          ", "6376", " - ", "TRAINING")</f>
        <v xml:space="preserve">          6376 - TRAINING</v>
      </c>
      <c r="C82" s="11"/>
      <c r="D82" s="6"/>
      <c r="E82" s="2"/>
      <c r="F82" s="7">
        <f t="shared" si="52"/>
        <v>0</v>
      </c>
      <c r="G82" s="2"/>
      <c r="H82" s="6">
        <v>125</v>
      </c>
      <c r="I82" s="2"/>
      <c r="J82" s="7">
        <f t="shared" si="53"/>
        <v>2.8673140557157202E-4</v>
      </c>
      <c r="K82" s="2"/>
      <c r="L82" s="6">
        <f t="shared" si="54"/>
        <v>-125</v>
      </c>
      <c r="M82" s="2"/>
      <c r="N82" s="7">
        <f t="shared" si="55"/>
        <v>-1</v>
      </c>
      <c r="O82" s="11"/>
      <c r="P82" s="6">
        <v>735</v>
      </c>
      <c r="Q82" s="2"/>
      <c r="R82" s="7">
        <f t="shared" si="56"/>
        <v>1.3930511424895724E-3</v>
      </c>
      <c r="S82" s="2"/>
      <c r="T82" s="6">
        <v>763</v>
      </c>
      <c r="U82" s="2"/>
      <c r="V82" s="7">
        <f t="shared" si="57"/>
        <v>3.820537238338327E-4</v>
      </c>
      <c r="W82" s="2"/>
      <c r="X82" s="6">
        <f t="shared" si="58"/>
        <v>-28</v>
      </c>
      <c r="Y82" s="2"/>
      <c r="Z82" s="7">
        <f t="shared" si="59"/>
        <v>-3.669724770642202E-2</v>
      </c>
    </row>
    <row r="83" spans="1:26" s="26" customFormat="1" outlineLevel="1" collapsed="1" x14ac:dyDescent="0.25">
      <c r="A83" s="27"/>
      <c r="B83" s="13" t="str">
        <f>CONCATENATE("     ","Travel                                            ")</f>
        <v xml:space="preserve">     Travel                                            </v>
      </c>
      <c r="C83" s="13"/>
      <c r="D83" s="1">
        <f>SUM(OSRRefD22_17x_0)</f>
        <v>0</v>
      </c>
      <c r="E83" s="1"/>
      <c r="F83" s="5">
        <f t="shared" si="52"/>
        <v>0</v>
      </c>
      <c r="G83" s="1"/>
      <c r="H83" s="1">
        <f>SUM(OSRRefH22_17x_0)</f>
        <v>0</v>
      </c>
      <c r="I83" s="1"/>
      <c r="J83" s="5">
        <f t="shared" si="53"/>
        <v>0</v>
      </c>
      <c r="K83" s="1"/>
      <c r="L83" s="1">
        <f t="shared" si="54"/>
        <v>0</v>
      </c>
      <c r="M83" s="1"/>
      <c r="N83" s="5">
        <f t="shared" si="55"/>
        <v>0</v>
      </c>
      <c r="O83" s="13"/>
      <c r="P83" s="1">
        <f>SUM(OSRRefP22_17x_0)</f>
        <v>0</v>
      </c>
      <c r="Q83" s="1"/>
      <c r="R83" s="5">
        <f t="shared" si="56"/>
        <v>0</v>
      </c>
      <c r="S83" s="1"/>
      <c r="T83" s="1">
        <f>SUM(OSRRefT22_17x_0)</f>
        <v>326.42</v>
      </c>
      <c r="U83" s="1"/>
      <c r="V83" s="5">
        <f t="shared" si="57"/>
        <v>1.6344688929729971E-4</v>
      </c>
      <c r="W83" s="1"/>
      <c r="X83" s="1">
        <f t="shared" si="58"/>
        <v>-326.42</v>
      </c>
      <c r="Y83" s="1"/>
      <c r="Z83" s="5">
        <f t="shared" si="59"/>
        <v>-1</v>
      </c>
    </row>
    <row r="84" spans="1:26" s="24" customFormat="1" hidden="1" outlineLevel="2" x14ac:dyDescent="0.25">
      <c r="A84" s="25"/>
      <c r="B84" s="11" t="str">
        <f>CONCATENATE("          ", "6292", " - ", "TRAVEL/CONFERENCE")</f>
        <v xml:space="preserve">          6292 - TRAVEL/CONFERENCE</v>
      </c>
      <c r="C84" s="11"/>
      <c r="D84" s="6"/>
      <c r="E84" s="2"/>
      <c r="F84" s="7">
        <f t="shared" si="52"/>
        <v>0</v>
      </c>
      <c r="G84" s="2"/>
      <c r="H84" s="6"/>
      <c r="I84" s="2"/>
      <c r="J84" s="7">
        <f t="shared" si="53"/>
        <v>0</v>
      </c>
      <c r="K84" s="2"/>
      <c r="L84" s="6">
        <f t="shared" si="54"/>
        <v>0</v>
      </c>
      <c r="M84" s="2"/>
      <c r="N84" s="7">
        <f t="shared" si="55"/>
        <v>0</v>
      </c>
      <c r="O84" s="11"/>
      <c r="P84" s="6"/>
      <c r="Q84" s="2"/>
      <c r="R84" s="7">
        <f t="shared" si="56"/>
        <v>0</v>
      </c>
      <c r="S84" s="2"/>
      <c r="T84" s="6">
        <v>326.42</v>
      </c>
      <c r="U84" s="2"/>
      <c r="V84" s="7">
        <f t="shared" si="57"/>
        <v>1.6344688929729971E-4</v>
      </c>
      <c r="W84" s="2"/>
      <c r="X84" s="6">
        <f t="shared" si="58"/>
        <v>-326.42</v>
      </c>
      <c r="Y84" s="2"/>
      <c r="Z84" s="7">
        <f t="shared" si="59"/>
        <v>-1</v>
      </c>
    </row>
    <row r="85" spans="1:26" s="53" customFormat="1" x14ac:dyDescent="0.25">
      <c r="A85" s="37"/>
      <c r="B85" s="37"/>
      <c r="C85" s="37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7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9" t="s">
        <v>0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8" t="s">
        <v>3</v>
      </c>
      <c r="C88" s="28"/>
      <c r="D88" s="20">
        <f>+D21-D23+D86</f>
        <v>-69121.12000000001</v>
      </c>
      <c r="E88" s="14"/>
      <c r="F88" s="22">
        <f>IF(D$12=0,0,D88/D$12)</f>
        <v>-0.64144090236800344</v>
      </c>
      <c r="G88" s="14"/>
      <c r="H88" s="20">
        <f>+H21-H23+H86</f>
        <v>156173.62</v>
      </c>
      <c r="I88" s="14"/>
      <c r="J88" s="22">
        <f>IF(H$12=0,0,H88/H$12)</f>
        <v>0.35823905260640454</v>
      </c>
      <c r="K88" s="15"/>
      <c r="L88" s="20">
        <f>+D88-H88</f>
        <v>-225294.74</v>
      </c>
      <c r="M88" s="15"/>
      <c r="N88" s="22">
        <f>IF(H88=0,0,L88/H88)</f>
        <v>-1.4425915208983437</v>
      </c>
      <c r="O88" s="29"/>
      <c r="P88" s="20">
        <f>+P21-P23+P86</f>
        <v>-256330.49999999988</v>
      </c>
      <c r="Q88" s="14"/>
      <c r="R88" s="22">
        <f>IF(P$12=0,0,P88/P$12)</f>
        <v>-0.48582516446248053</v>
      </c>
      <c r="S88" s="14"/>
      <c r="T88" s="20">
        <f>+T21-T23+T86</f>
        <v>563908.14000000036</v>
      </c>
      <c r="U88" s="14"/>
      <c r="V88" s="22">
        <f>IF(T$12=0,0,T88/T$12)</f>
        <v>0.2823633090264881</v>
      </c>
      <c r="W88" s="15"/>
      <c r="X88" s="20">
        <f>+P88-T88</f>
        <v>-820238.64000000025</v>
      </c>
      <c r="Y88" s="15"/>
      <c r="Z88" s="22">
        <f>IF(T88=0,0,X88/T88)</f>
        <v>-1.454560737498841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1"/>
      <c r="B90" s="10" t="s">
        <v>13</v>
      </c>
      <c r="C90" s="10"/>
      <c r="D90" s="4">
        <v>-7112</v>
      </c>
      <c r="E90" s="4"/>
      <c r="F90" s="12">
        <f>IF(D$12=0,0,D90/D$12)</f>
        <v>-6.5999041937417097E-2</v>
      </c>
      <c r="G90" s="4"/>
      <c r="H90" s="4">
        <v>54329.82</v>
      </c>
      <c r="I90" s="4"/>
      <c r="J90" s="12">
        <f>IF(H$12=0,0,H90/H$12)</f>
        <v>0.12462452522440402</v>
      </c>
      <c r="K90" s="4"/>
      <c r="L90" s="4">
        <f>+D90-H90</f>
        <v>-61441.82</v>
      </c>
      <c r="M90" s="4"/>
      <c r="N90" s="12">
        <f>IF(H90=0,0,L90/H90)</f>
        <v>-1.1309041701224116</v>
      </c>
      <c r="O90" s="10"/>
      <c r="P90" s="4">
        <v>83838.64</v>
      </c>
      <c r="Q90" s="4"/>
      <c r="R90" s="12">
        <f>IF(P$12=0,0,P90/P$12)</f>
        <v>0.15890001800921355</v>
      </c>
      <c r="S90" s="4"/>
      <c r="T90" s="4">
        <v>211479.50999999998</v>
      </c>
      <c r="U90" s="4"/>
      <c r="V90" s="12">
        <f>IF(T$12=0,0,T90/T$12)</f>
        <v>0.10589322976416023</v>
      </c>
      <c r="W90" s="4"/>
      <c r="X90" s="4">
        <f>+P90-T90</f>
        <v>-127640.86999999998</v>
      </c>
      <c r="Y90" s="4"/>
      <c r="Z90" s="12">
        <f>IF(T90=0,0,X90/T90)</f>
        <v>-0.60356140412846615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8" t="s">
        <v>4</v>
      </c>
      <c r="C92" s="28"/>
      <c r="D92" s="31">
        <f>+D88-D90</f>
        <v>-62009.12000000001</v>
      </c>
      <c r="E92" s="14"/>
      <c r="F92" s="34">
        <f>IF(D$12=0,0,D92/D$12)</f>
        <v>-0.57544186043058632</v>
      </c>
      <c r="G92" s="14"/>
      <c r="H92" s="31">
        <f>+H88-H90</f>
        <v>101843.79999999999</v>
      </c>
      <c r="I92" s="14"/>
      <c r="J92" s="34">
        <f>IF(H$12=0,0,H92/H$12)</f>
        <v>0.23361452738200048</v>
      </c>
      <c r="K92" s="15"/>
      <c r="L92" s="31">
        <f>D92-H92</f>
        <v>-163852.91999999998</v>
      </c>
      <c r="M92" s="15"/>
      <c r="N92" s="34">
        <f>IF(H92=0,0,L92/H92)</f>
        <v>-1.6088649480871688</v>
      </c>
      <c r="O92" s="29"/>
      <c r="P92" s="31">
        <f>+P88-P90</f>
        <v>-340169.1399999999</v>
      </c>
      <c r="Q92" s="14"/>
      <c r="R92" s="34">
        <f>IF(P$12=0,0,P92/P$12)</f>
        <v>-0.64472518247169408</v>
      </c>
      <c r="S92" s="14"/>
      <c r="T92" s="31">
        <f>+T88-T90</f>
        <v>352428.63000000035</v>
      </c>
      <c r="U92" s="14"/>
      <c r="V92" s="34">
        <f>IF(T$12=0,0,T92/T$12)</f>
        <v>0.17647007926232783</v>
      </c>
      <c r="W92" s="15"/>
      <c r="X92" s="31">
        <f>P92-T92</f>
        <v>-692597.77000000025</v>
      </c>
      <c r="Y92" s="15"/>
      <c r="Z92" s="34">
        <f>IF(T92=0,0,X92/T92)</f>
        <v>-1.9652142619627684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8" t="s">
        <v>5</v>
      </c>
      <c r="C95" s="28"/>
      <c r="D95" s="32">
        <f>SUM(D92:D94)</f>
        <v>-62009.12000000001</v>
      </c>
      <c r="E95" s="14"/>
      <c r="F95" s="30">
        <f>IF(D$12=0,0,D95/D$12)</f>
        <v>-0.57544186043058632</v>
      </c>
      <c r="G95" s="14"/>
      <c r="H95" s="32">
        <f>SUM(H92:H94)</f>
        <v>101843.79999999999</v>
      </c>
      <c r="I95" s="14"/>
      <c r="J95" s="30">
        <f>IF(H$12=0,0,H95/H$12)</f>
        <v>0.23361452738200048</v>
      </c>
      <c r="K95" s="15"/>
      <c r="L95" s="32">
        <f>+D95-H95</f>
        <v>-163852.91999999998</v>
      </c>
      <c r="M95" s="15"/>
      <c r="N95" s="30">
        <f>IF(H95=0,0,L95/H95)</f>
        <v>-1.6088649480871688</v>
      </c>
      <c r="O95" s="29"/>
      <c r="P95" s="32">
        <f>SUM(P92:P94)</f>
        <v>-340169.1399999999</v>
      </c>
      <c r="Q95" s="14"/>
      <c r="R95" s="30">
        <f>IF(P$12=0,0,P95/P$12)</f>
        <v>-0.64472518247169408</v>
      </c>
      <c r="S95" s="14"/>
      <c r="T95" s="32">
        <f>SUM(T92:T94)</f>
        <v>352428.63000000035</v>
      </c>
      <c r="U95" s="14"/>
      <c r="V95" s="30">
        <f>IF(T$12=0,0,T95/T$12)</f>
        <v>0.17647007926232783</v>
      </c>
      <c r="W95" s="15"/>
      <c r="X95" s="32">
        <f>+P95-T95</f>
        <v>-692597.77000000025</v>
      </c>
      <c r="Y95" s="15"/>
      <c r="Z95" s="30">
        <f>IF(T95=0,0,X95/T95)</f>
        <v>-1.9652142619627684</v>
      </c>
    </row>
    <row r="96" spans="1:26" ht="15.75" thickTop="1" x14ac:dyDescent="0.25">
      <c r="A96" s="9"/>
      <c r="C96" s="9"/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54">
        <v>44174.686239039351</v>
      </c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A98" s="9"/>
      <c r="B98" s="56" t="s">
        <v>313</v>
      </c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25">
      <c r="A99" s="9"/>
      <c r="B99" s="61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4" x14ac:dyDescent="0.25"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","450", " - ", "Beachside Dining Hall")</f>
        <v>Department 450 - Beachside Dining Hall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248936.94999999998</v>
      </c>
      <c r="I12" s="4"/>
      <c r="J12" s="12"/>
      <c r="K12" s="4"/>
      <c r="L12" s="4">
        <f t="shared" ref="L12:L15" si="0">+D12-H12</f>
        <v>-248936.94999999998</v>
      </c>
      <c r="M12" s="4"/>
      <c r="N12" s="12">
        <f t="shared" ref="N12:N15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1108976.18</v>
      </c>
      <c r="U12" s="4"/>
      <c r="V12" s="12"/>
      <c r="W12" s="4"/>
      <c r="X12" s="4">
        <f t="shared" ref="X12:X15" si="2">+P12-T12</f>
        <v>-1108976.18</v>
      </c>
      <c r="Y12" s="4"/>
      <c r="Z12" s="12">
        <f t="shared" ref="Z12:Z15" si="3">IF(T12=0,0,X12/T12)</f>
        <v>-1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5" si="4">0</f>
        <v>0</v>
      </c>
      <c r="E13" s="2"/>
      <c r="F13" s="19"/>
      <c r="G13" s="2"/>
      <c r="H13" s="2">
        <f>--56.59</f>
        <v>56.59</v>
      </c>
      <c r="I13" s="2"/>
      <c r="J13" s="19"/>
      <c r="K13" s="2"/>
      <c r="L13" s="2">
        <f t="shared" si="0"/>
        <v>-56.59</v>
      </c>
      <c r="M13" s="2"/>
      <c r="N13" s="19">
        <f t="shared" si="1"/>
        <v>-1</v>
      </c>
      <c r="O13" s="11"/>
      <c r="P13" s="2">
        <f t="shared" ref="P13:P15" si="5">0</f>
        <v>0</v>
      </c>
      <c r="Q13" s="2"/>
      <c r="R13" s="19"/>
      <c r="S13" s="2"/>
      <c r="T13" s="2">
        <f>--139.14</f>
        <v>139.13999999999999</v>
      </c>
      <c r="U13" s="2"/>
      <c r="V13" s="19"/>
      <c r="W13" s="2"/>
      <c r="X13" s="2">
        <f t="shared" si="2"/>
        <v>-139.13999999999999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--247648.83</f>
        <v>247648.83</v>
      </c>
      <c r="I14" s="2"/>
      <c r="J14" s="19"/>
      <c r="K14" s="2"/>
      <c r="L14" s="2">
        <f t="shared" si="0"/>
        <v>-247648.83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--1103901.7</f>
        <v>1103901.7</v>
      </c>
      <c r="U14" s="2"/>
      <c r="V14" s="19"/>
      <c r="W14" s="2"/>
      <c r="X14" s="2">
        <f t="shared" si="2"/>
        <v>-1103901.7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>
        <f>--1231.53</f>
        <v>1231.53</v>
      </c>
      <c r="I15" s="2"/>
      <c r="J15" s="19"/>
      <c r="K15" s="2"/>
      <c r="L15" s="2">
        <f t="shared" si="0"/>
        <v>-1231.53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--4935.34</f>
        <v>4935.34</v>
      </c>
      <c r="U15" s="2"/>
      <c r="V15" s="19"/>
      <c r="W15" s="2"/>
      <c r="X15" s="2">
        <f t="shared" si="2"/>
        <v>-4935.34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0</v>
      </c>
      <c r="E17" s="4"/>
      <c r="F17" s="12">
        <f t="shared" ref="F17:F19" si="6">IF(D$12=0,0,D17/D$12)</f>
        <v>0</v>
      </c>
      <c r="G17" s="4"/>
      <c r="H17" s="4">
        <f>SUM(OSRRefH16x_0)</f>
        <v>56355.91</v>
      </c>
      <c r="I17" s="4"/>
      <c r="J17" s="12">
        <f t="shared" ref="J17:J19" si="7">IF(H$12=0,0,H17/H$12)</f>
        <v>0.22638627973870495</v>
      </c>
      <c r="K17" s="4"/>
      <c r="L17" s="4">
        <f t="shared" ref="L17:L19" si="8">+D17-H17</f>
        <v>-56355.91</v>
      </c>
      <c r="M17" s="4"/>
      <c r="N17" s="12">
        <f t="shared" ref="N17:N19" si="9">IF(H17=0,0,L17/H17)</f>
        <v>-1</v>
      </c>
      <c r="O17" s="10"/>
      <c r="P17" s="4">
        <f>SUM(OSRRefP16x_0)</f>
        <v>0</v>
      </c>
      <c r="Q17" s="4"/>
      <c r="R17" s="12">
        <f t="shared" ref="R17:R19" si="10">IF(P$12=0,0,P17/P$12)</f>
        <v>0</v>
      </c>
      <c r="S17" s="4"/>
      <c r="T17" s="4">
        <f>SUM(OSRRefT16x_0)</f>
        <v>247690.35</v>
      </c>
      <c r="U17" s="4"/>
      <c r="V17" s="12">
        <f t="shared" ref="V17:V19" si="11">IF(T$12=0,0,T17/T$12)</f>
        <v>0.22335046907860548</v>
      </c>
      <c r="W17" s="4"/>
      <c r="X17" s="4">
        <f t="shared" ref="X17:X19" si="12">+P17-T17</f>
        <v>-247690.35</v>
      </c>
      <c r="Y17" s="4"/>
      <c r="Z17" s="12">
        <f t="shared" ref="Z17:Z19" si="13">IF(T17=0,0,X17/T17)</f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6"/>
        <v>0</v>
      </c>
      <c r="G18" s="2"/>
      <c r="H18" s="2">
        <v>56590.91</v>
      </c>
      <c r="I18" s="2"/>
      <c r="J18" s="19">
        <f t="shared" si="7"/>
        <v>0.22733029387561793</v>
      </c>
      <c r="K18" s="2"/>
      <c r="L18" s="2">
        <f t="shared" si="8"/>
        <v>-56590.91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250530.35</v>
      </c>
      <c r="U18" s="2"/>
      <c r="V18" s="19">
        <f t="shared" si="11"/>
        <v>0.22591138972885785</v>
      </c>
      <c r="W18" s="2"/>
      <c r="X18" s="2">
        <f t="shared" si="12"/>
        <v>-250530.35</v>
      </c>
      <c r="Y18" s="2"/>
      <c r="Z18" s="19">
        <f t="shared" si="13"/>
        <v>-1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6"/>
        <v>0</v>
      </c>
      <c r="G19" s="2"/>
      <c r="H19" s="2">
        <v>-235</v>
      </c>
      <c r="I19" s="2"/>
      <c r="J19" s="19">
        <f t="shared" si="7"/>
        <v>-9.4401413691298146E-4</v>
      </c>
      <c r="K19" s="2"/>
      <c r="L19" s="2">
        <f t="shared" si="8"/>
        <v>235</v>
      </c>
      <c r="M19" s="2"/>
      <c r="N19" s="19">
        <f t="shared" si="9"/>
        <v>-1</v>
      </c>
      <c r="O19" s="11"/>
      <c r="P19" s="2"/>
      <c r="Q19" s="2"/>
      <c r="R19" s="19">
        <f t="shared" si="10"/>
        <v>0</v>
      </c>
      <c r="S19" s="2"/>
      <c r="T19" s="2">
        <v>-2840</v>
      </c>
      <c r="U19" s="2"/>
      <c r="V19" s="19">
        <f t="shared" si="11"/>
        <v>-2.5609206502523797E-3</v>
      </c>
      <c r="W19" s="2"/>
      <c r="X19" s="2">
        <f t="shared" si="12"/>
        <v>2840</v>
      </c>
      <c r="Y19" s="2"/>
      <c r="Z19" s="19">
        <f t="shared" si="13"/>
        <v>-1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0">
        <f>D12-D17</f>
        <v>0</v>
      </c>
      <c r="E21" s="14"/>
      <c r="F21" s="22">
        <f>IF(D$12=0,0,D21/D$12)</f>
        <v>0</v>
      </c>
      <c r="G21" s="14"/>
      <c r="H21" s="20">
        <f>H12-H17</f>
        <v>192581.03999999998</v>
      </c>
      <c r="I21" s="14"/>
      <c r="J21" s="22">
        <f>IF(H$12=0,0,H21/H$12)</f>
        <v>0.77361372026129505</v>
      </c>
      <c r="K21" s="15"/>
      <c r="L21" s="20">
        <f>+D21-H21</f>
        <v>-192581.03999999998</v>
      </c>
      <c r="M21" s="15"/>
      <c r="N21" s="22">
        <f>IF(H21=0,0,L21/H21)</f>
        <v>-1</v>
      </c>
      <c r="O21" s="29"/>
      <c r="P21" s="20">
        <f>P12-P17</f>
        <v>0</v>
      </c>
      <c r="Q21" s="14"/>
      <c r="R21" s="22">
        <f>IF(P$12=0,0,P21/P$12)</f>
        <v>0</v>
      </c>
      <c r="S21" s="14"/>
      <c r="T21" s="20">
        <f>T12-T17</f>
        <v>861285.83</v>
      </c>
      <c r="U21" s="14"/>
      <c r="V21" s="22">
        <f>IF(T$12=0,0,T21/T$12)</f>
        <v>0.77664953092139455</v>
      </c>
      <c r="W21" s="15"/>
      <c r="X21" s="20">
        <f>+P21-T21</f>
        <v>-861285.83</v>
      </c>
      <c r="Y21" s="15"/>
      <c r="Z21" s="22">
        <f>IF(T21=0,0,X21/T21)</f>
        <v>-1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1">
        <f>SUM(OSRRefD22x_0)</f>
        <v>41541.9</v>
      </c>
      <c r="E23" s="21"/>
      <c r="F23" s="35">
        <f t="shared" ref="F23:F33" si="14">IF(D$12=0,0,D23/D$12)</f>
        <v>0</v>
      </c>
      <c r="G23" s="21"/>
      <c r="H23" s="21">
        <f>SUM(OSRRefH22x_0)</f>
        <v>130629.77</v>
      </c>
      <c r="I23" s="21"/>
      <c r="J23" s="35">
        <f t="shared" ref="J23:J33" si="15">IF(H$12=0,0,H23/H$12)</f>
        <v>0.52475042375187775</v>
      </c>
      <c r="K23" s="4"/>
      <c r="L23" s="21">
        <f t="shared" ref="L23:L33" si="16">+D23-H23</f>
        <v>-89087.87</v>
      </c>
      <c r="M23" s="4"/>
      <c r="N23" s="35">
        <f t="shared" ref="N23:N33" si="17">IF(H23=0,0,L23/H23)</f>
        <v>-0.68198749794935709</v>
      </c>
      <c r="O23" s="10"/>
      <c r="P23" s="21">
        <f>SUM(OSRRefP22x_0)</f>
        <v>211039.80000000002</v>
      </c>
      <c r="Q23" s="21"/>
      <c r="R23" s="35">
        <f t="shared" ref="R23:R33" si="18">IF(P$12=0,0,P23/P$12)</f>
        <v>0</v>
      </c>
      <c r="S23" s="21"/>
      <c r="T23" s="21">
        <f>SUM(OSRRefT22x_0)</f>
        <v>636109.23999999987</v>
      </c>
      <c r="U23" s="21"/>
      <c r="V23" s="35">
        <f t="shared" ref="V23:V33" si="19">IF(T$12=0,0,T23/T$12)</f>
        <v>0.57360045370857282</v>
      </c>
      <c r="W23" s="4"/>
      <c r="X23" s="21">
        <f t="shared" ref="X23:X33" si="20">+P23-T23</f>
        <v>-425069.43999999983</v>
      </c>
      <c r="Y23" s="4"/>
      <c r="Z23" s="35">
        <f t="shared" ref="Z23:Z33" si="21">IF(T23=0,0,X23/T23)</f>
        <v>-0.66823339965946715</v>
      </c>
    </row>
    <row r="24" spans="1:26" s="26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20032.95</v>
      </c>
      <c r="E24" s="1"/>
      <c r="F24" s="5">
        <f t="shared" si="14"/>
        <v>0</v>
      </c>
      <c r="G24" s="1"/>
      <c r="H24" s="1">
        <f>SUM(OSRRefH22_0x_0)</f>
        <v>28282.499999999996</v>
      </c>
      <c r="I24" s="1"/>
      <c r="J24" s="5">
        <f t="shared" si="15"/>
        <v>0.11361310564783572</v>
      </c>
      <c r="K24" s="1"/>
      <c r="L24" s="1">
        <f t="shared" si="16"/>
        <v>-8249.5499999999956</v>
      </c>
      <c r="M24" s="1"/>
      <c r="N24" s="5">
        <f t="shared" si="17"/>
        <v>-0.29168390347387951</v>
      </c>
      <c r="O24" s="13"/>
      <c r="P24" s="1">
        <f>SUM(OSRRefP22_0x_0)</f>
        <v>99007.260000000009</v>
      </c>
      <c r="Q24" s="1"/>
      <c r="R24" s="5">
        <f t="shared" si="18"/>
        <v>0</v>
      </c>
      <c r="S24" s="1"/>
      <c r="T24" s="1">
        <f>SUM(OSRRefT22_0x_0)</f>
        <v>132227.54</v>
      </c>
      <c r="U24" s="1"/>
      <c r="V24" s="5">
        <f t="shared" si="19"/>
        <v>0.11923388652044808</v>
      </c>
      <c r="W24" s="1"/>
      <c r="X24" s="1">
        <f t="shared" si="20"/>
        <v>-33220.28</v>
      </c>
      <c r="Y24" s="1"/>
      <c r="Z24" s="5">
        <f t="shared" si="21"/>
        <v>-0.25123571080578216</v>
      </c>
    </row>
    <row r="25" spans="1:26" s="24" customFormat="1" hidden="1" outlineLevel="2" x14ac:dyDescent="0.25">
      <c r="A25" s="25"/>
      <c r="B25" s="11" t="str">
        <f>CONCATENATE("          ", "6111", " - ", "F.I.C.A.")</f>
        <v xml:space="preserve">          6111 - F.I.C.A.</v>
      </c>
      <c r="C25" s="11"/>
      <c r="D25" s="6">
        <v>1650.74</v>
      </c>
      <c r="E25" s="2"/>
      <c r="F25" s="7">
        <f t="shared" si="14"/>
        <v>0</v>
      </c>
      <c r="G25" s="2"/>
      <c r="H25" s="6">
        <v>3806.53</v>
      </c>
      <c r="I25" s="2"/>
      <c r="J25" s="7">
        <f t="shared" si="15"/>
        <v>1.5291140989716474E-2</v>
      </c>
      <c r="K25" s="2"/>
      <c r="L25" s="6">
        <f t="shared" si="16"/>
        <v>-2155.79</v>
      </c>
      <c r="M25" s="2"/>
      <c r="N25" s="7">
        <f t="shared" si="17"/>
        <v>-0.56633994740616778</v>
      </c>
      <c r="O25" s="11"/>
      <c r="P25" s="6">
        <v>8764.26</v>
      </c>
      <c r="Q25" s="2"/>
      <c r="R25" s="7">
        <f t="shared" si="18"/>
        <v>0</v>
      </c>
      <c r="S25" s="2"/>
      <c r="T25" s="6">
        <v>19638.670000000002</v>
      </c>
      <c r="U25" s="2"/>
      <c r="V25" s="7">
        <f t="shared" si="19"/>
        <v>1.7708829417778842E-2</v>
      </c>
      <c r="W25" s="2"/>
      <c r="X25" s="6">
        <f t="shared" si="20"/>
        <v>-10874.410000000002</v>
      </c>
      <c r="Y25" s="2"/>
      <c r="Z25" s="7">
        <f t="shared" si="21"/>
        <v>-0.55372436117109769</v>
      </c>
    </row>
    <row r="26" spans="1:26" s="24" customFormat="1" hidden="1" outlineLevel="2" x14ac:dyDescent="0.25">
      <c r="A26" s="25"/>
      <c r="B26" s="11" t="str">
        <f>CONCATENATE("          ", "6112", " - ", "COMPENSATION INSURANCE")</f>
        <v xml:space="preserve">          6112 - COMPENSATION INSURANCE</v>
      </c>
      <c r="C26" s="11"/>
      <c r="D26" s="6">
        <v>1428.3</v>
      </c>
      <c r="E26" s="2"/>
      <c r="F26" s="7">
        <f t="shared" si="14"/>
        <v>0</v>
      </c>
      <c r="G26" s="2"/>
      <c r="H26" s="6">
        <v>3101.68</v>
      </c>
      <c r="I26" s="2"/>
      <c r="J26" s="7">
        <f t="shared" si="15"/>
        <v>1.2459701141192579E-2</v>
      </c>
      <c r="K26" s="2"/>
      <c r="L26" s="6">
        <f t="shared" si="16"/>
        <v>-1673.3799999999999</v>
      </c>
      <c r="M26" s="2"/>
      <c r="N26" s="7">
        <f t="shared" si="17"/>
        <v>-0.53950762167599497</v>
      </c>
      <c r="O26" s="11"/>
      <c r="P26" s="6">
        <v>4763.79</v>
      </c>
      <c r="Q26" s="2"/>
      <c r="R26" s="7">
        <f t="shared" si="18"/>
        <v>0</v>
      </c>
      <c r="S26" s="2"/>
      <c r="T26" s="6">
        <v>9195.84</v>
      </c>
      <c r="U26" s="2"/>
      <c r="V26" s="7">
        <f t="shared" si="19"/>
        <v>8.2921889269073398E-3</v>
      </c>
      <c r="W26" s="2"/>
      <c r="X26" s="6">
        <f t="shared" si="20"/>
        <v>-4432.05</v>
      </c>
      <c r="Y26" s="2"/>
      <c r="Z26" s="7">
        <f t="shared" si="21"/>
        <v>-0.48196249608518638</v>
      </c>
    </row>
    <row r="27" spans="1:26" s="24" customFormat="1" hidden="1" outlineLevel="2" x14ac:dyDescent="0.25">
      <c r="A27" s="25"/>
      <c r="B27" s="11" t="str">
        <f>CONCATENATE("          ", "6113", " - ", "GROUP INSURANCE")</f>
        <v xml:space="preserve">          6113 - GROUP INSURANCE</v>
      </c>
      <c r="C27" s="11"/>
      <c r="D27" s="6">
        <v>12616.92</v>
      </c>
      <c r="E27" s="2"/>
      <c r="F27" s="7">
        <f t="shared" si="14"/>
        <v>0</v>
      </c>
      <c r="G27" s="2"/>
      <c r="H27" s="6">
        <v>14845.84</v>
      </c>
      <c r="I27" s="2"/>
      <c r="J27" s="7">
        <f t="shared" si="15"/>
        <v>5.9636948231269006E-2</v>
      </c>
      <c r="K27" s="2"/>
      <c r="L27" s="6">
        <f t="shared" si="16"/>
        <v>-2228.92</v>
      </c>
      <c r="M27" s="2"/>
      <c r="N27" s="7">
        <f t="shared" si="17"/>
        <v>-0.15013768166705285</v>
      </c>
      <c r="O27" s="11"/>
      <c r="P27" s="6">
        <v>63084.659999999996</v>
      </c>
      <c r="Q27" s="2"/>
      <c r="R27" s="7">
        <f t="shared" si="18"/>
        <v>0</v>
      </c>
      <c r="S27" s="2"/>
      <c r="T27" s="6">
        <v>67133.25</v>
      </c>
      <c r="U27" s="2"/>
      <c r="V27" s="7">
        <f t="shared" si="19"/>
        <v>6.0536241635054777E-2</v>
      </c>
      <c r="W27" s="2"/>
      <c r="X27" s="6">
        <f t="shared" si="20"/>
        <v>-4048.5900000000038</v>
      </c>
      <c r="Y27" s="2"/>
      <c r="Z27" s="7">
        <f t="shared" si="21"/>
        <v>-6.0306777937907126E-2</v>
      </c>
    </row>
    <row r="28" spans="1:26" s="24" customFormat="1" hidden="1" outlineLevel="2" x14ac:dyDescent="0.25">
      <c r="A28" s="25"/>
      <c r="B28" s="11" t="str">
        <f>CONCATENATE("          ", "6114", " - ", "STATE UNEMPLOYMENT INSURANCE")</f>
        <v xml:space="preserve">          6114 - STATE UNEMPLOYMENT INSURANCE</v>
      </c>
      <c r="C28" s="11"/>
      <c r="D28" s="6">
        <v>86.56</v>
      </c>
      <c r="E28" s="2"/>
      <c r="F28" s="7">
        <f t="shared" si="14"/>
        <v>0</v>
      </c>
      <c r="G28" s="2"/>
      <c r="H28" s="6">
        <v>207.84</v>
      </c>
      <c r="I28" s="2"/>
      <c r="J28" s="7">
        <f t="shared" si="15"/>
        <v>8.3491020517444288E-4</v>
      </c>
      <c r="K28" s="2"/>
      <c r="L28" s="6">
        <f t="shared" si="16"/>
        <v>-121.28</v>
      </c>
      <c r="M28" s="2"/>
      <c r="N28" s="7">
        <f t="shared" si="17"/>
        <v>-0.58352578906851427</v>
      </c>
      <c r="O28" s="11"/>
      <c r="P28" s="6">
        <v>297.38</v>
      </c>
      <c r="Q28" s="2"/>
      <c r="R28" s="7">
        <f t="shared" si="18"/>
        <v>0</v>
      </c>
      <c r="S28" s="2"/>
      <c r="T28" s="6">
        <v>859.39</v>
      </c>
      <c r="U28" s="2"/>
      <c r="V28" s="7">
        <f t="shared" si="19"/>
        <v>7.7493999916211013E-4</v>
      </c>
      <c r="W28" s="2"/>
      <c r="X28" s="6">
        <f t="shared" si="20"/>
        <v>-562.01</v>
      </c>
      <c r="Y28" s="2"/>
      <c r="Z28" s="7">
        <f t="shared" si="21"/>
        <v>-0.65396385808538615</v>
      </c>
    </row>
    <row r="29" spans="1:26" s="24" customFormat="1" hidden="1" outlineLevel="2" x14ac:dyDescent="0.25">
      <c r="A29" s="25"/>
      <c r="B29" s="11" t="str">
        <f>CONCATENATE("          ", "6115", " - ", "P.E.R.S.")</f>
        <v xml:space="preserve">          6115 - P.E.R.S.</v>
      </c>
      <c r="C29" s="11"/>
      <c r="D29" s="6">
        <v>603.29999999999995</v>
      </c>
      <c r="E29" s="2"/>
      <c r="F29" s="7">
        <f t="shared" si="14"/>
        <v>0</v>
      </c>
      <c r="G29" s="2"/>
      <c r="H29" s="6">
        <v>959.64</v>
      </c>
      <c r="I29" s="2"/>
      <c r="J29" s="7">
        <f t="shared" si="15"/>
        <v>3.854952027009249E-3</v>
      </c>
      <c r="K29" s="2"/>
      <c r="L29" s="6">
        <f t="shared" si="16"/>
        <v>-356.34000000000003</v>
      </c>
      <c r="M29" s="2"/>
      <c r="N29" s="7">
        <f t="shared" si="17"/>
        <v>-0.37132674753032391</v>
      </c>
      <c r="O29" s="11"/>
      <c r="P29" s="6">
        <v>2786.11</v>
      </c>
      <c r="Q29" s="2"/>
      <c r="R29" s="7">
        <f t="shared" si="18"/>
        <v>0</v>
      </c>
      <c r="S29" s="2"/>
      <c r="T29" s="6">
        <v>5924.24</v>
      </c>
      <c r="U29" s="2"/>
      <c r="V29" s="7">
        <f t="shared" si="19"/>
        <v>5.3420804764264642E-3</v>
      </c>
      <c r="W29" s="2"/>
      <c r="X29" s="6">
        <f t="shared" si="20"/>
        <v>-3138.1299999999997</v>
      </c>
      <c r="Y29" s="2"/>
      <c r="Z29" s="7">
        <f t="shared" si="21"/>
        <v>-0.52971014003483985</v>
      </c>
    </row>
    <row r="30" spans="1:26" s="24" customFormat="1" hidden="1" outlineLevel="2" x14ac:dyDescent="0.25">
      <c r="A30" s="25"/>
      <c r="B30" s="11" t="str">
        <f>CONCATENATE("          ", "6117", " - ", "RETIREMENT STAFF HOURLY")</f>
        <v xml:space="preserve">          6117 - RETIREMENT STAFF HOURLY</v>
      </c>
      <c r="C30" s="11"/>
      <c r="D30" s="6">
        <v>574.07000000000005</v>
      </c>
      <c r="E30" s="2"/>
      <c r="F30" s="7">
        <f t="shared" si="14"/>
        <v>0</v>
      </c>
      <c r="G30" s="2"/>
      <c r="H30" s="6">
        <v>553.28</v>
      </c>
      <c r="I30" s="2"/>
      <c r="J30" s="7">
        <f t="shared" si="15"/>
        <v>2.2225708156221888E-3</v>
      </c>
      <c r="K30" s="2"/>
      <c r="L30" s="6">
        <f t="shared" si="16"/>
        <v>20.790000000000077</v>
      </c>
      <c r="M30" s="2"/>
      <c r="N30" s="7">
        <f t="shared" si="17"/>
        <v>3.7575910931174232E-2</v>
      </c>
      <c r="O30" s="11"/>
      <c r="P30" s="6">
        <v>2904.9</v>
      </c>
      <c r="Q30" s="2"/>
      <c r="R30" s="7">
        <f t="shared" si="18"/>
        <v>0</v>
      </c>
      <c r="S30" s="2"/>
      <c r="T30" s="6">
        <v>2371.5100000000002</v>
      </c>
      <c r="U30" s="2"/>
      <c r="V30" s="7">
        <f t="shared" si="19"/>
        <v>2.1384679335493036E-3</v>
      </c>
      <c r="W30" s="2"/>
      <c r="X30" s="6">
        <f t="shared" si="20"/>
        <v>533.38999999999987</v>
      </c>
      <c r="Y30" s="2"/>
      <c r="Z30" s="7">
        <f t="shared" si="21"/>
        <v>0.22491577096449089</v>
      </c>
    </row>
    <row r="31" spans="1:26" s="24" customFormat="1" hidden="1" outlineLevel="2" x14ac:dyDescent="0.25">
      <c r="A31" s="25"/>
      <c r="B31" s="11" t="str">
        <f>CONCATENATE("          ", "6118", " - ", "VACATION")</f>
        <v xml:space="preserve">          6118 - VACATION</v>
      </c>
      <c r="C31" s="11"/>
      <c r="D31" s="6">
        <v>1242.1400000000001</v>
      </c>
      <c r="E31" s="2"/>
      <c r="F31" s="7">
        <f t="shared" si="14"/>
        <v>0</v>
      </c>
      <c r="G31" s="2"/>
      <c r="H31" s="6">
        <v>2050.14</v>
      </c>
      <c r="I31" s="2"/>
      <c r="J31" s="7">
        <f t="shared" si="15"/>
        <v>8.235579330428849E-3</v>
      </c>
      <c r="K31" s="2"/>
      <c r="L31" s="6">
        <f t="shared" si="16"/>
        <v>-807.99999999999977</v>
      </c>
      <c r="M31" s="2"/>
      <c r="N31" s="7">
        <f t="shared" si="17"/>
        <v>-0.3941194259904201</v>
      </c>
      <c r="O31" s="11"/>
      <c r="P31" s="6">
        <v>6767.93</v>
      </c>
      <c r="Q31" s="2"/>
      <c r="R31" s="7">
        <f t="shared" si="18"/>
        <v>0</v>
      </c>
      <c r="S31" s="2"/>
      <c r="T31" s="6">
        <v>12053.79</v>
      </c>
      <c r="U31" s="2"/>
      <c r="V31" s="7">
        <f t="shared" si="19"/>
        <v>1.0869295677748463E-2</v>
      </c>
      <c r="W31" s="2"/>
      <c r="X31" s="6">
        <f t="shared" si="20"/>
        <v>-5285.8600000000006</v>
      </c>
      <c r="Y31" s="2"/>
      <c r="Z31" s="7">
        <f t="shared" si="21"/>
        <v>-0.43852265552992048</v>
      </c>
    </row>
    <row r="32" spans="1:26" s="24" customFormat="1" hidden="1" outlineLevel="2" x14ac:dyDescent="0.25">
      <c r="A32" s="25"/>
      <c r="B32" s="11" t="str">
        <f>CONCATENATE("          ", "6119", " - ", "SICK LEAVE")</f>
        <v xml:space="preserve">          6119 - SICK LEAVE</v>
      </c>
      <c r="C32" s="11"/>
      <c r="D32" s="6">
        <v>946.52</v>
      </c>
      <c r="E32" s="2"/>
      <c r="F32" s="7">
        <f t="shared" si="14"/>
        <v>0</v>
      </c>
      <c r="G32" s="2"/>
      <c r="H32" s="6">
        <v>1637.12</v>
      </c>
      <c r="I32" s="2"/>
      <c r="J32" s="7">
        <f t="shared" si="15"/>
        <v>6.5764443566935322E-3</v>
      </c>
      <c r="K32" s="2"/>
      <c r="L32" s="6">
        <f t="shared" si="16"/>
        <v>-690.59999999999991</v>
      </c>
      <c r="M32" s="2"/>
      <c r="N32" s="7">
        <f t="shared" si="17"/>
        <v>-0.42183835027365124</v>
      </c>
      <c r="O32" s="11"/>
      <c r="P32" s="6">
        <v>5205.8500000000004</v>
      </c>
      <c r="Q32" s="2"/>
      <c r="R32" s="7">
        <f t="shared" si="18"/>
        <v>0</v>
      </c>
      <c r="S32" s="2"/>
      <c r="T32" s="6">
        <v>9501.26</v>
      </c>
      <c r="U32" s="2"/>
      <c r="V32" s="7">
        <f t="shared" si="19"/>
        <v>8.5675961047242694E-3</v>
      </c>
      <c r="W32" s="2"/>
      <c r="X32" s="6">
        <f t="shared" si="20"/>
        <v>-4295.41</v>
      </c>
      <c r="Y32" s="2"/>
      <c r="Z32" s="7">
        <f t="shared" si="21"/>
        <v>-0.45208845984637824</v>
      </c>
    </row>
    <row r="33" spans="1:26" s="24" customFormat="1" hidden="1" outlineLevel="2" x14ac:dyDescent="0.25">
      <c r="A33" s="25"/>
      <c r="B33" s="11" t="str">
        <f>CONCATENATE("          ", "6156", " - ", "EMPLOYEE MEALS")</f>
        <v xml:space="preserve">          6156 - EMPLOYEE MEALS</v>
      </c>
      <c r="C33" s="11"/>
      <c r="D33" s="6">
        <v>884.4</v>
      </c>
      <c r="E33" s="2"/>
      <c r="F33" s="7">
        <f t="shared" si="14"/>
        <v>0</v>
      </c>
      <c r="G33" s="2"/>
      <c r="H33" s="6">
        <v>1120.43</v>
      </c>
      <c r="I33" s="2"/>
      <c r="J33" s="7">
        <f t="shared" si="15"/>
        <v>4.5008585507294125E-3</v>
      </c>
      <c r="K33" s="2"/>
      <c r="L33" s="6">
        <f t="shared" si="16"/>
        <v>-236.03000000000009</v>
      </c>
      <c r="M33" s="2"/>
      <c r="N33" s="7">
        <f t="shared" si="17"/>
        <v>-0.21066019296163085</v>
      </c>
      <c r="O33" s="11"/>
      <c r="P33" s="6">
        <v>4432.38</v>
      </c>
      <c r="Q33" s="2"/>
      <c r="R33" s="7">
        <f t="shared" si="18"/>
        <v>0</v>
      </c>
      <c r="S33" s="2"/>
      <c r="T33" s="6">
        <v>5549.59</v>
      </c>
      <c r="U33" s="2"/>
      <c r="V33" s="7">
        <f t="shared" si="19"/>
        <v>5.004246349096516E-3</v>
      </c>
      <c r="W33" s="2"/>
      <c r="X33" s="6">
        <f t="shared" si="20"/>
        <v>-1117.21</v>
      </c>
      <c r="Y33" s="2"/>
      <c r="Z33" s="7">
        <f t="shared" si="21"/>
        <v>-0.20131397094199752</v>
      </c>
    </row>
    <row r="34" spans="1:26" s="26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21240.030000000002</v>
      </c>
      <c r="E34" s="1"/>
      <c r="F34" s="5">
        <f t="shared" ref="F34:F40" si="22">IF(D$12=0,0,D34/D$12)</f>
        <v>0</v>
      </c>
      <c r="G34" s="1"/>
      <c r="H34" s="1">
        <f>SUM(OSRRefH22_1x_0)</f>
        <v>69394.81</v>
      </c>
      <c r="I34" s="1"/>
      <c r="J34" s="5">
        <f t="shared" ref="J34:J40" si="23">IF(H$12=0,0,H34/H$12)</f>
        <v>0.27876460284421417</v>
      </c>
      <c r="K34" s="1"/>
      <c r="L34" s="1">
        <f t="shared" ref="L34:L40" si="24">+D34-H34</f>
        <v>-48154.78</v>
      </c>
      <c r="M34" s="1"/>
      <c r="N34" s="5">
        <f t="shared" ref="N34:N40" si="25">IF(H34=0,0,L34/H34)</f>
        <v>-0.69392480503945464</v>
      </c>
      <c r="O34" s="13"/>
      <c r="P34" s="1">
        <f>SUM(OSRRefP22_1x_0)</f>
        <v>106708.81999999999</v>
      </c>
      <c r="Q34" s="1"/>
      <c r="R34" s="5">
        <f t="shared" ref="R34:R40" si="26">IF(P$12=0,0,P34/P$12)</f>
        <v>0</v>
      </c>
      <c r="S34" s="1"/>
      <c r="T34" s="1">
        <f>SUM(OSRRefT22_1x_0)</f>
        <v>336763.47</v>
      </c>
      <c r="U34" s="1"/>
      <c r="V34" s="5">
        <f t="shared" ref="V34:V40" si="27">IF(T$12=0,0,T34/T$12)</f>
        <v>0.30367060724424216</v>
      </c>
      <c r="W34" s="1"/>
      <c r="X34" s="1">
        <f t="shared" ref="X34:X40" si="28">+P34-T34</f>
        <v>-230054.64999999997</v>
      </c>
      <c r="Y34" s="1"/>
      <c r="Z34" s="5">
        <f t="shared" ref="Z34:Z40" si="29">IF(T34=0,0,X34/T34)</f>
        <v>-0.68313421880348246</v>
      </c>
    </row>
    <row r="35" spans="1:26" s="24" customFormat="1" hidden="1" outlineLevel="2" x14ac:dyDescent="0.25">
      <c r="A35" s="25"/>
      <c r="B35" s="11" t="str">
        <f>CONCATENATE("          ", "6002", " - ", "STAFF SALARIES")</f>
        <v xml:space="preserve">          6002 - STAFF SALARIES</v>
      </c>
      <c r="C35" s="11"/>
      <c r="D35" s="6">
        <v>4397.32</v>
      </c>
      <c r="E35" s="2"/>
      <c r="F35" s="7">
        <f t="shared" si="22"/>
        <v>0</v>
      </c>
      <c r="G35" s="2"/>
      <c r="H35" s="6">
        <v>8640.1299999999992</v>
      </c>
      <c r="I35" s="2"/>
      <c r="J35" s="7">
        <f t="shared" si="23"/>
        <v>3.4708105807514711E-2</v>
      </c>
      <c r="K35" s="2"/>
      <c r="L35" s="6">
        <f t="shared" si="24"/>
        <v>-4242.8099999999995</v>
      </c>
      <c r="M35" s="2"/>
      <c r="N35" s="7">
        <f t="shared" si="25"/>
        <v>-0.4910585836092744</v>
      </c>
      <c r="O35" s="11"/>
      <c r="P35" s="6">
        <v>23085.919999999998</v>
      </c>
      <c r="Q35" s="2"/>
      <c r="R35" s="7">
        <f t="shared" si="26"/>
        <v>0</v>
      </c>
      <c r="S35" s="2"/>
      <c r="T35" s="6">
        <v>49481.369999999995</v>
      </c>
      <c r="U35" s="2"/>
      <c r="V35" s="7">
        <f t="shared" si="27"/>
        <v>4.4618965575978373E-2</v>
      </c>
      <c r="W35" s="2"/>
      <c r="X35" s="6">
        <f t="shared" si="28"/>
        <v>-26395.449999999997</v>
      </c>
      <c r="Y35" s="2"/>
      <c r="Z35" s="7">
        <f t="shared" si="29"/>
        <v>-0.53344218238096475</v>
      </c>
    </row>
    <row r="36" spans="1:26" s="24" customFormat="1" hidden="1" outlineLevel="2" x14ac:dyDescent="0.25">
      <c r="A36" s="25"/>
      <c r="B36" s="11" t="str">
        <f>CONCATENATE("          ", "6004", " - ", "STAFF HOURLY")</f>
        <v xml:space="preserve">          6004 - STAFF HOURLY</v>
      </c>
      <c r="C36" s="11"/>
      <c r="D36" s="6">
        <v>16842.710000000003</v>
      </c>
      <c r="E36" s="2"/>
      <c r="F36" s="7">
        <f t="shared" si="22"/>
        <v>0</v>
      </c>
      <c r="G36" s="2"/>
      <c r="H36" s="6">
        <v>22985.86</v>
      </c>
      <c r="I36" s="2"/>
      <c r="J36" s="7">
        <f t="shared" si="23"/>
        <v>9.2336071442989887E-2</v>
      </c>
      <c r="K36" s="2"/>
      <c r="L36" s="6">
        <f t="shared" si="24"/>
        <v>-6143.1499999999978</v>
      </c>
      <c r="M36" s="2"/>
      <c r="N36" s="7">
        <f t="shared" si="25"/>
        <v>-0.26725778369832576</v>
      </c>
      <c r="O36" s="11"/>
      <c r="P36" s="6">
        <v>83622.899999999994</v>
      </c>
      <c r="Q36" s="2"/>
      <c r="R36" s="7">
        <f t="shared" si="26"/>
        <v>0</v>
      </c>
      <c r="S36" s="2"/>
      <c r="T36" s="6">
        <v>108255.96</v>
      </c>
      <c r="U36" s="2"/>
      <c r="V36" s="7">
        <f t="shared" si="27"/>
        <v>9.7617930801723818E-2</v>
      </c>
      <c r="W36" s="2"/>
      <c r="X36" s="6">
        <f t="shared" si="28"/>
        <v>-24633.060000000012</v>
      </c>
      <c r="Y36" s="2"/>
      <c r="Z36" s="7">
        <f t="shared" si="29"/>
        <v>-0.22754460816753194</v>
      </c>
    </row>
    <row r="37" spans="1:26" s="24" customFormat="1" hidden="1" outlineLevel="2" x14ac:dyDescent="0.25">
      <c r="A37" s="25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2"/>
        <v>0</v>
      </c>
      <c r="G37" s="2"/>
      <c r="H37" s="6">
        <v>13620.7</v>
      </c>
      <c r="I37" s="2"/>
      <c r="J37" s="7">
        <f t="shared" si="23"/>
        <v>5.4715461083619778E-2</v>
      </c>
      <c r="K37" s="2"/>
      <c r="L37" s="6">
        <f t="shared" si="24"/>
        <v>-13620.7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60521.479999999996</v>
      </c>
      <c r="U37" s="2"/>
      <c r="V37" s="7">
        <f t="shared" si="27"/>
        <v>5.4574192928111401E-2</v>
      </c>
      <c r="W37" s="2"/>
      <c r="X37" s="6">
        <f t="shared" si="28"/>
        <v>-60521.479999999996</v>
      </c>
      <c r="Y37" s="2"/>
      <c r="Z37" s="7">
        <f t="shared" si="29"/>
        <v>-1</v>
      </c>
    </row>
    <row r="38" spans="1:26" s="24" customFormat="1" hidden="1" outlineLevel="2" x14ac:dyDescent="0.25">
      <c r="A38" s="25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2"/>
        <v>0</v>
      </c>
      <c r="G38" s="2"/>
      <c r="H38" s="6">
        <v>1994</v>
      </c>
      <c r="I38" s="2"/>
      <c r="J38" s="7">
        <f t="shared" si="23"/>
        <v>8.0100603787424899E-3</v>
      </c>
      <c r="K38" s="2"/>
      <c r="L38" s="6">
        <f t="shared" si="24"/>
        <v>-1994</v>
      </c>
      <c r="M38" s="2"/>
      <c r="N38" s="7">
        <f t="shared" si="25"/>
        <v>-1</v>
      </c>
      <c r="O38" s="11"/>
      <c r="P38" s="6"/>
      <c r="Q38" s="2"/>
      <c r="R38" s="7">
        <f t="shared" si="26"/>
        <v>0</v>
      </c>
      <c r="S38" s="2"/>
      <c r="T38" s="6">
        <v>9798.2199999999993</v>
      </c>
      <c r="U38" s="2"/>
      <c r="V38" s="7">
        <f t="shared" si="27"/>
        <v>8.8353746245478423E-3</v>
      </c>
      <c r="W38" s="2"/>
      <c r="X38" s="6">
        <f t="shared" si="28"/>
        <v>-9798.2199999999993</v>
      </c>
      <c r="Y38" s="2"/>
      <c r="Z38" s="7">
        <f t="shared" si="29"/>
        <v>-1</v>
      </c>
    </row>
    <row r="39" spans="1:26" s="24" customFormat="1" hidden="1" outlineLevel="2" x14ac:dyDescent="0.25">
      <c r="A39" s="25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22"/>
        <v>0</v>
      </c>
      <c r="G39" s="2"/>
      <c r="H39" s="6">
        <v>15155.12</v>
      </c>
      <c r="I39" s="2"/>
      <c r="J39" s="7">
        <f t="shared" si="23"/>
        <v>6.0879351177075165E-2</v>
      </c>
      <c r="K39" s="2"/>
      <c r="L39" s="6">
        <f t="shared" si="24"/>
        <v>-15155.12</v>
      </c>
      <c r="M39" s="2"/>
      <c r="N39" s="7">
        <f t="shared" si="25"/>
        <v>-1</v>
      </c>
      <c r="O39" s="11"/>
      <c r="P39" s="6">
        <v>0</v>
      </c>
      <c r="Q39" s="2"/>
      <c r="R39" s="7">
        <f t="shared" si="26"/>
        <v>0</v>
      </c>
      <c r="S39" s="2"/>
      <c r="T39" s="6">
        <v>74282.94</v>
      </c>
      <c r="U39" s="2"/>
      <c r="V39" s="7">
        <f t="shared" si="27"/>
        <v>6.6983350354738916E-2</v>
      </c>
      <c r="W39" s="2"/>
      <c r="X39" s="6">
        <f t="shared" si="28"/>
        <v>-74282.94</v>
      </c>
      <c r="Y39" s="2"/>
      <c r="Z39" s="7">
        <f t="shared" si="29"/>
        <v>-1</v>
      </c>
    </row>
    <row r="40" spans="1:26" s="24" customFormat="1" hidden="1" outlineLevel="2" x14ac:dyDescent="0.25">
      <c r="A40" s="25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2"/>
        <v>0</v>
      </c>
      <c r="G40" s="2"/>
      <c r="H40" s="6">
        <v>6999</v>
      </c>
      <c r="I40" s="2"/>
      <c r="J40" s="7">
        <f t="shared" si="23"/>
        <v>2.8115552954272156E-2</v>
      </c>
      <c r="K40" s="2"/>
      <c r="L40" s="6">
        <f t="shared" si="24"/>
        <v>-6999</v>
      </c>
      <c r="M40" s="2"/>
      <c r="N40" s="7">
        <f t="shared" si="25"/>
        <v>-1</v>
      </c>
      <c r="O40" s="11"/>
      <c r="P40" s="6"/>
      <c r="Q40" s="2"/>
      <c r="R40" s="7">
        <f t="shared" si="26"/>
        <v>0</v>
      </c>
      <c r="S40" s="2"/>
      <c r="T40" s="6">
        <v>34423.5</v>
      </c>
      <c r="U40" s="2"/>
      <c r="V40" s="7">
        <f t="shared" si="27"/>
        <v>3.104079295914183E-2</v>
      </c>
      <c r="W40" s="2"/>
      <c r="X40" s="6">
        <f t="shared" si="28"/>
        <v>-34423.5</v>
      </c>
      <c r="Y40" s="2"/>
      <c r="Z40" s="7">
        <f t="shared" si="29"/>
        <v>-1</v>
      </c>
    </row>
    <row r="41" spans="1:26" s="26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6" si="30">IF(D$12=0,0,D41/D$12)</f>
        <v>0</v>
      </c>
      <c r="G41" s="1"/>
      <c r="H41" s="1">
        <f>SUM(OSRRefH22_2x_0)</f>
        <v>54.36</v>
      </c>
      <c r="I41" s="1"/>
      <c r="J41" s="5">
        <f t="shared" ref="J41:J66" si="31">IF(H$12=0,0,H41/H$12)</f>
        <v>2.1836854673442413E-4</v>
      </c>
      <c r="K41" s="1"/>
      <c r="L41" s="1">
        <f t="shared" ref="L41:L66" si="32">+D41-H41</f>
        <v>-54.36</v>
      </c>
      <c r="M41" s="1"/>
      <c r="N41" s="5">
        <f t="shared" ref="N41:N66" si="33">IF(H41=0,0,L41/H41)</f>
        <v>-1</v>
      </c>
      <c r="O41" s="13"/>
      <c r="P41" s="1">
        <f>SUM(OSRRefP22_2x_0)</f>
        <v>0</v>
      </c>
      <c r="Q41" s="1"/>
      <c r="R41" s="5">
        <f t="shared" ref="R41:R66" si="34">IF(P$12=0,0,P41/P$12)</f>
        <v>0</v>
      </c>
      <c r="S41" s="1"/>
      <c r="T41" s="1">
        <f>SUM(OSRRefT22_2x_0)</f>
        <v>2809.67</v>
      </c>
      <c r="U41" s="1"/>
      <c r="V41" s="5">
        <f t="shared" ref="V41:V66" si="35">IF(T$12=0,0,T41/T$12)</f>
        <v>2.5335710997868325E-3</v>
      </c>
      <c r="W41" s="1"/>
      <c r="X41" s="1">
        <f t="shared" ref="X41:X66" si="36">+P41-T41</f>
        <v>-2809.67</v>
      </c>
      <c r="Y41" s="1"/>
      <c r="Z41" s="5">
        <f t="shared" ref="Z41:Z66" si="37">IF(T41=0,0,X41/T41)</f>
        <v>-1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30"/>
        <v>0</v>
      </c>
      <c r="G42" s="2"/>
      <c r="H42" s="6">
        <v>54.36</v>
      </c>
      <c r="I42" s="2"/>
      <c r="J42" s="7">
        <f t="shared" si="31"/>
        <v>2.1836854673442413E-4</v>
      </c>
      <c r="K42" s="2"/>
      <c r="L42" s="6">
        <f t="shared" si="32"/>
        <v>-54.36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2809.67</v>
      </c>
      <c r="U42" s="2"/>
      <c r="V42" s="7">
        <f t="shared" si="35"/>
        <v>2.5335710997868325E-3</v>
      </c>
      <c r="W42" s="2"/>
      <c r="X42" s="6">
        <f t="shared" si="36"/>
        <v>-2809.67</v>
      </c>
      <c r="Y42" s="2"/>
      <c r="Z42" s="7">
        <f t="shared" si="37"/>
        <v>-1</v>
      </c>
    </row>
    <row r="43" spans="1:26" s="26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30"/>
        <v>0</v>
      </c>
      <c r="G43" s="1"/>
      <c r="H43" s="1">
        <f>SUM(OSRRefH22_3x_0)</f>
        <v>-0.15</v>
      </c>
      <c r="I43" s="1"/>
      <c r="J43" s="5">
        <f t="shared" si="31"/>
        <v>-6.0256221505083924E-7</v>
      </c>
      <c r="K43" s="1"/>
      <c r="L43" s="1">
        <f t="shared" si="32"/>
        <v>0.15</v>
      </c>
      <c r="M43" s="1"/>
      <c r="N43" s="5">
        <f t="shared" si="33"/>
        <v>-1</v>
      </c>
      <c r="O43" s="13"/>
      <c r="P43" s="1">
        <f>SUM(OSRRefP22_3x_0)</f>
        <v>29.74</v>
      </c>
      <c r="Q43" s="1"/>
      <c r="R43" s="5">
        <f t="shared" si="34"/>
        <v>0</v>
      </c>
      <c r="S43" s="1"/>
      <c r="T43" s="1">
        <f>SUM(OSRRefT22_3x_0)</f>
        <v>13.18</v>
      </c>
      <c r="U43" s="1"/>
      <c r="V43" s="5">
        <f t="shared" si="35"/>
        <v>1.1884835975467029E-5</v>
      </c>
      <c r="W43" s="1"/>
      <c r="X43" s="1">
        <f t="shared" si="36"/>
        <v>16.559999999999999</v>
      </c>
      <c r="Y43" s="1"/>
      <c r="Z43" s="5">
        <f t="shared" si="37"/>
        <v>1.2564491654021244</v>
      </c>
    </row>
    <row r="44" spans="1:26" s="24" customFormat="1" hidden="1" outlineLevel="2" x14ac:dyDescent="0.25">
      <c r="A44" s="25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30"/>
        <v>0</v>
      </c>
      <c r="G44" s="2"/>
      <c r="H44" s="6">
        <v>-0.15</v>
      </c>
      <c r="I44" s="2"/>
      <c r="J44" s="7">
        <f t="shared" si="31"/>
        <v>-6.0256221505083924E-7</v>
      </c>
      <c r="K44" s="2"/>
      <c r="L44" s="6">
        <f t="shared" si="32"/>
        <v>0.15</v>
      </c>
      <c r="M44" s="2"/>
      <c r="N44" s="7">
        <f t="shared" si="33"/>
        <v>-1</v>
      </c>
      <c r="O44" s="11"/>
      <c r="P44" s="6">
        <v>29.74</v>
      </c>
      <c r="Q44" s="2"/>
      <c r="R44" s="7">
        <f t="shared" si="34"/>
        <v>0</v>
      </c>
      <c r="S44" s="2"/>
      <c r="T44" s="6">
        <v>13.18</v>
      </c>
      <c r="U44" s="2"/>
      <c r="V44" s="7">
        <f t="shared" si="35"/>
        <v>1.1884835975467029E-5</v>
      </c>
      <c r="W44" s="2"/>
      <c r="X44" s="6">
        <f t="shared" si="36"/>
        <v>16.559999999999999</v>
      </c>
      <c r="Y44" s="2"/>
      <c r="Z44" s="7">
        <f t="shared" si="37"/>
        <v>1.2564491654021244</v>
      </c>
    </row>
    <row r="45" spans="1:26" s="26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0</v>
      </c>
      <c r="E45" s="1"/>
      <c r="F45" s="5">
        <f t="shared" si="30"/>
        <v>0</v>
      </c>
      <c r="G45" s="1"/>
      <c r="H45" s="1">
        <f>SUM(OSRRefH22_4x_0)</f>
        <v>11.94</v>
      </c>
      <c r="I45" s="1"/>
      <c r="J45" s="5">
        <f t="shared" si="31"/>
        <v>4.7963952318046803E-5</v>
      </c>
      <c r="K45" s="1"/>
      <c r="L45" s="1">
        <f t="shared" si="32"/>
        <v>-11.94</v>
      </c>
      <c r="M45" s="1"/>
      <c r="N45" s="5">
        <f t="shared" si="33"/>
        <v>-1</v>
      </c>
      <c r="O45" s="13"/>
      <c r="P45" s="1">
        <f>SUM(OSRRefP22_4x_0)</f>
        <v>0</v>
      </c>
      <c r="Q45" s="1"/>
      <c r="R45" s="5">
        <f t="shared" si="34"/>
        <v>0</v>
      </c>
      <c r="S45" s="1"/>
      <c r="T45" s="1">
        <f>SUM(OSRRefT22_4x_0)</f>
        <v>45.57</v>
      </c>
      <c r="U45" s="1"/>
      <c r="V45" s="5">
        <f t="shared" si="35"/>
        <v>4.1091955645070757E-5</v>
      </c>
      <c r="W45" s="1"/>
      <c r="X45" s="1">
        <f t="shared" si="36"/>
        <v>-45.57</v>
      </c>
      <c r="Y45" s="1"/>
      <c r="Z45" s="5">
        <f t="shared" si="37"/>
        <v>-1</v>
      </c>
    </row>
    <row r="46" spans="1:26" s="24" customFormat="1" hidden="1" outlineLevel="2" x14ac:dyDescent="0.25">
      <c r="A46" s="25"/>
      <c r="B46" s="11" t="str">
        <f>CONCATENATE("          ", "6381", " - ", "BANK/CREDIT CARD FEES")</f>
        <v xml:space="preserve">          6381 - BANK/CREDIT CARD FEES</v>
      </c>
      <c r="C46" s="11"/>
      <c r="D46" s="6"/>
      <c r="E46" s="2"/>
      <c r="F46" s="7">
        <f t="shared" si="30"/>
        <v>0</v>
      </c>
      <c r="G46" s="2"/>
      <c r="H46" s="6">
        <v>11.94</v>
      </c>
      <c r="I46" s="2"/>
      <c r="J46" s="7">
        <f t="shared" si="31"/>
        <v>4.7963952318046803E-5</v>
      </c>
      <c r="K46" s="2"/>
      <c r="L46" s="6">
        <f t="shared" si="32"/>
        <v>-11.94</v>
      </c>
      <c r="M46" s="2"/>
      <c r="N46" s="7">
        <f t="shared" si="33"/>
        <v>-1</v>
      </c>
      <c r="O46" s="11"/>
      <c r="P46" s="6"/>
      <c r="Q46" s="2"/>
      <c r="R46" s="7">
        <f t="shared" si="34"/>
        <v>0</v>
      </c>
      <c r="S46" s="2"/>
      <c r="T46" s="6">
        <v>45.57</v>
      </c>
      <c r="U46" s="2"/>
      <c r="V46" s="7">
        <f t="shared" si="35"/>
        <v>4.1091955645070757E-5</v>
      </c>
      <c r="W46" s="2"/>
      <c r="X46" s="6">
        <f t="shared" si="36"/>
        <v>-45.57</v>
      </c>
      <c r="Y46" s="2"/>
      <c r="Z46" s="7">
        <f t="shared" si="37"/>
        <v>-1</v>
      </c>
    </row>
    <row r="47" spans="1:26" s="26" customFormat="1" outlineLevel="1" collapsed="1" x14ac:dyDescent="0.25">
      <c r="A47" s="27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213.02</v>
      </c>
      <c r="E47" s="1"/>
      <c r="F47" s="5">
        <f t="shared" si="30"/>
        <v>0</v>
      </c>
      <c r="G47" s="1"/>
      <c r="H47" s="1">
        <f>SUM(OSRRefH22_5x_0)</f>
        <v>0</v>
      </c>
      <c r="I47" s="1"/>
      <c r="J47" s="5">
        <f t="shared" si="31"/>
        <v>0</v>
      </c>
      <c r="K47" s="1"/>
      <c r="L47" s="1">
        <f t="shared" si="32"/>
        <v>213.02</v>
      </c>
      <c r="M47" s="1"/>
      <c r="N47" s="5">
        <f t="shared" si="33"/>
        <v>0</v>
      </c>
      <c r="O47" s="13"/>
      <c r="P47" s="1">
        <f>SUM(OSRRefP22_5x_0)</f>
        <v>1065.0999999999999</v>
      </c>
      <c r="Q47" s="1"/>
      <c r="R47" s="5">
        <f t="shared" si="34"/>
        <v>0</v>
      </c>
      <c r="S47" s="1"/>
      <c r="T47" s="1">
        <f>SUM(OSRRefT22_5x_0)</f>
        <v>0</v>
      </c>
      <c r="U47" s="1"/>
      <c r="V47" s="5">
        <f t="shared" si="35"/>
        <v>0</v>
      </c>
      <c r="W47" s="1"/>
      <c r="X47" s="1">
        <f t="shared" si="36"/>
        <v>1065.0999999999999</v>
      </c>
      <c r="Y47" s="1"/>
      <c r="Z47" s="5">
        <f t="shared" si="37"/>
        <v>0</v>
      </c>
    </row>
    <row r="48" spans="1:26" s="24" customFormat="1" hidden="1" outlineLevel="2" x14ac:dyDescent="0.25">
      <c r="A48" s="25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213.02</v>
      </c>
      <c r="E48" s="2"/>
      <c r="F48" s="7">
        <f t="shared" si="30"/>
        <v>0</v>
      </c>
      <c r="G48" s="2"/>
      <c r="H48" s="6"/>
      <c r="I48" s="2"/>
      <c r="J48" s="7">
        <f t="shared" si="31"/>
        <v>0</v>
      </c>
      <c r="K48" s="2"/>
      <c r="L48" s="6">
        <f t="shared" si="32"/>
        <v>213.02</v>
      </c>
      <c r="M48" s="2"/>
      <c r="N48" s="7">
        <f t="shared" si="33"/>
        <v>0</v>
      </c>
      <c r="O48" s="11"/>
      <c r="P48" s="6">
        <v>1065.0999999999999</v>
      </c>
      <c r="Q48" s="2"/>
      <c r="R48" s="7">
        <f t="shared" si="34"/>
        <v>0</v>
      </c>
      <c r="S48" s="2"/>
      <c r="T48" s="6"/>
      <c r="U48" s="2"/>
      <c r="V48" s="7">
        <f t="shared" si="35"/>
        <v>0</v>
      </c>
      <c r="W48" s="2"/>
      <c r="X48" s="6">
        <f t="shared" si="36"/>
        <v>1065.0999999999999</v>
      </c>
      <c r="Y48" s="2"/>
      <c r="Z48" s="7">
        <f t="shared" si="37"/>
        <v>0</v>
      </c>
    </row>
    <row r="49" spans="1:26" s="26" customFormat="1" outlineLevel="1" collapsed="1" x14ac:dyDescent="0.25">
      <c r="A49" s="27"/>
      <c r="B49" s="13" t="str">
        <f>CONCATENATE("     ","Donations                                         ")</f>
        <v xml:space="preserve">     Donations                                         </v>
      </c>
      <c r="C49" s="13"/>
      <c r="D49" s="1">
        <f>SUM(OSRRefD22_6x_0)</f>
        <v>0</v>
      </c>
      <c r="E49" s="1"/>
      <c r="F49" s="5">
        <f t="shared" si="30"/>
        <v>0</v>
      </c>
      <c r="G49" s="1"/>
      <c r="H49" s="1">
        <f>SUM(OSRRefH22_6x_0)</f>
        <v>2747.89</v>
      </c>
      <c r="I49" s="1"/>
      <c r="J49" s="5">
        <f t="shared" si="31"/>
        <v>1.103849790077367E-2</v>
      </c>
      <c r="K49" s="1"/>
      <c r="L49" s="1">
        <f t="shared" si="32"/>
        <v>-2747.89</v>
      </c>
      <c r="M49" s="1"/>
      <c r="N49" s="5">
        <f t="shared" si="33"/>
        <v>-1</v>
      </c>
      <c r="O49" s="13"/>
      <c r="P49" s="1">
        <f>SUM(OSRRefP22_6x_0)</f>
        <v>0</v>
      </c>
      <c r="Q49" s="1"/>
      <c r="R49" s="5">
        <f t="shared" si="34"/>
        <v>0</v>
      </c>
      <c r="S49" s="1"/>
      <c r="T49" s="1">
        <f>SUM(OSRRefT22_6x_0)</f>
        <v>11788.16</v>
      </c>
      <c r="U49" s="1"/>
      <c r="V49" s="5">
        <f t="shared" si="35"/>
        <v>1.0629768441013765E-2</v>
      </c>
      <c r="W49" s="1"/>
      <c r="X49" s="1">
        <f t="shared" si="36"/>
        <v>-11788.16</v>
      </c>
      <c r="Y49" s="1"/>
      <c r="Z49" s="5">
        <f t="shared" si="37"/>
        <v>-1</v>
      </c>
    </row>
    <row r="50" spans="1:26" s="24" customFormat="1" hidden="1" outlineLevel="2" x14ac:dyDescent="0.25">
      <c r="A50" s="25"/>
      <c r="B50" s="11" t="str">
        <f>CONCATENATE("          ", "6399", " - ", "DONATION-ON CAMPUS")</f>
        <v xml:space="preserve">          6399 - DONATION-ON CAMPUS</v>
      </c>
      <c r="C50" s="11"/>
      <c r="D50" s="6"/>
      <c r="E50" s="2"/>
      <c r="F50" s="7">
        <f t="shared" si="30"/>
        <v>0</v>
      </c>
      <c r="G50" s="2"/>
      <c r="H50" s="6">
        <v>2747.89</v>
      </c>
      <c r="I50" s="2"/>
      <c r="J50" s="7">
        <f t="shared" si="31"/>
        <v>1.103849790077367E-2</v>
      </c>
      <c r="K50" s="2"/>
      <c r="L50" s="6">
        <f t="shared" si="32"/>
        <v>-2747.89</v>
      </c>
      <c r="M50" s="2"/>
      <c r="N50" s="7">
        <f t="shared" si="33"/>
        <v>-1</v>
      </c>
      <c r="O50" s="11"/>
      <c r="P50" s="6"/>
      <c r="Q50" s="2"/>
      <c r="R50" s="7">
        <f t="shared" si="34"/>
        <v>0</v>
      </c>
      <c r="S50" s="2"/>
      <c r="T50" s="6">
        <v>11788.16</v>
      </c>
      <c r="U50" s="2"/>
      <c r="V50" s="7">
        <f t="shared" si="35"/>
        <v>1.0629768441013765E-2</v>
      </c>
      <c r="W50" s="2"/>
      <c r="X50" s="6">
        <f t="shared" si="36"/>
        <v>-11788.16</v>
      </c>
      <c r="Y50" s="2"/>
      <c r="Z50" s="7">
        <f t="shared" si="37"/>
        <v>-1</v>
      </c>
    </row>
    <row r="51" spans="1:26" s="26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SUM(OSRRefD22_7x_0)</f>
        <v>0</v>
      </c>
      <c r="E51" s="1"/>
      <c r="F51" s="5">
        <f t="shared" si="30"/>
        <v>0</v>
      </c>
      <c r="G51" s="1"/>
      <c r="H51" s="1">
        <f>SUM(OSRRefH22_7x_0)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3"/>
      <c r="P51" s="1">
        <f>SUM(OSRRefP22_7x_0)</f>
        <v>0</v>
      </c>
      <c r="Q51" s="1"/>
      <c r="R51" s="5">
        <f t="shared" si="34"/>
        <v>0</v>
      </c>
      <c r="S51" s="1"/>
      <c r="T51" s="1">
        <f>SUM(OSRRefT22_7x_0)</f>
        <v>21.34</v>
      </c>
      <c r="U51" s="1"/>
      <c r="V51" s="5">
        <f t="shared" si="35"/>
        <v>1.924297418182598E-5</v>
      </c>
      <c r="W51" s="1"/>
      <c r="X51" s="1">
        <f t="shared" si="36"/>
        <v>-21.34</v>
      </c>
      <c r="Y51" s="1"/>
      <c r="Z51" s="5">
        <f t="shared" si="37"/>
        <v>-1</v>
      </c>
    </row>
    <row r="52" spans="1:26" s="24" customFormat="1" hidden="1" outlineLevel="2" x14ac:dyDescent="0.25">
      <c r="A52" s="25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30"/>
        <v>0</v>
      </c>
      <c r="G52" s="2"/>
      <c r="H52" s="6"/>
      <c r="I52" s="2"/>
      <c r="J52" s="7">
        <f t="shared" si="31"/>
        <v>0</v>
      </c>
      <c r="K52" s="2"/>
      <c r="L52" s="6">
        <f t="shared" si="32"/>
        <v>0</v>
      </c>
      <c r="M52" s="2"/>
      <c r="N52" s="7">
        <f t="shared" si="33"/>
        <v>0</v>
      </c>
      <c r="O52" s="11"/>
      <c r="P52" s="6"/>
      <c r="Q52" s="2"/>
      <c r="R52" s="7">
        <f t="shared" si="34"/>
        <v>0</v>
      </c>
      <c r="S52" s="2"/>
      <c r="T52" s="6">
        <v>21.34</v>
      </c>
      <c r="U52" s="2"/>
      <c r="V52" s="7">
        <f t="shared" si="35"/>
        <v>1.924297418182598E-5</v>
      </c>
      <c r="W52" s="2"/>
      <c r="X52" s="6">
        <f t="shared" si="36"/>
        <v>-21.34</v>
      </c>
      <c r="Y52" s="2"/>
      <c r="Z52" s="7">
        <f t="shared" si="37"/>
        <v>-1</v>
      </c>
    </row>
    <row r="53" spans="1:26" s="26" customFormat="1" outlineLevel="1" collapsed="1" x14ac:dyDescent="0.25">
      <c r="A53" s="27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SUM(OSRRefD22_8x_0)</f>
        <v>0</v>
      </c>
      <c r="E53" s="1"/>
      <c r="F53" s="5">
        <f t="shared" si="30"/>
        <v>0</v>
      </c>
      <c r="G53" s="1"/>
      <c r="H53" s="1">
        <f>SUM(OSRRefH22_8x_0)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3"/>
      <c r="P53" s="1">
        <f>SUM(OSRRefP22_8x_0)</f>
        <v>20</v>
      </c>
      <c r="Q53" s="1"/>
      <c r="R53" s="5">
        <f t="shared" si="34"/>
        <v>0</v>
      </c>
      <c r="S53" s="1"/>
      <c r="T53" s="1">
        <f>SUM(OSRRefT22_8x_0)</f>
        <v>0.01</v>
      </c>
      <c r="U53" s="1"/>
      <c r="V53" s="5">
        <f t="shared" si="35"/>
        <v>9.0173262332830268E-9</v>
      </c>
      <c r="W53" s="1"/>
      <c r="X53" s="1">
        <f t="shared" si="36"/>
        <v>19.989999999999998</v>
      </c>
      <c r="Y53" s="1"/>
      <c r="Z53" s="5">
        <f t="shared" si="37"/>
        <v>1998.9999999999998</v>
      </c>
    </row>
    <row r="54" spans="1:26" s="24" customFormat="1" hidden="1" outlineLevel="2" x14ac:dyDescent="0.25">
      <c r="A54" s="25"/>
      <c r="B54" s="11" t="str">
        <f>CONCATENATE("          ", "6351", " - ", "EQUIPMENT RENTAL")</f>
        <v xml:space="preserve">          6351 - EQUIPMENT RENTAL</v>
      </c>
      <c r="C54" s="11"/>
      <c r="D54" s="6"/>
      <c r="E54" s="2"/>
      <c r="F54" s="7">
        <f t="shared" si="30"/>
        <v>0</v>
      </c>
      <c r="G54" s="2"/>
      <c r="H54" s="6"/>
      <c r="I54" s="2"/>
      <c r="J54" s="7">
        <f t="shared" si="31"/>
        <v>0</v>
      </c>
      <c r="K54" s="2"/>
      <c r="L54" s="6">
        <f t="shared" si="32"/>
        <v>0</v>
      </c>
      <c r="M54" s="2"/>
      <c r="N54" s="7">
        <f t="shared" si="33"/>
        <v>0</v>
      </c>
      <c r="O54" s="11"/>
      <c r="P54" s="6">
        <v>20</v>
      </c>
      <c r="Q54" s="2"/>
      <c r="R54" s="7">
        <f t="shared" si="34"/>
        <v>0</v>
      </c>
      <c r="S54" s="2"/>
      <c r="T54" s="6">
        <v>0.01</v>
      </c>
      <c r="U54" s="2"/>
      <c r="V54" s="7">
        <f t="shared" si="35"/>
        <v>9.0173262332830268E-9</v>
      </c>
      <c r="W54" s="2"/>
      <c r="X54" s="6">
        <f t="shared" si="36"/>
        <v>19.989999999999998</v>
      </c>
      <c r="Y54" s="2"/>
      <c r="Z54" s="7">
        <f t="shared" si="37"/>
        <v>1998.9999999999998</v>
      </c>
    </row>
    <row r="55" spans="1:26" s="26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0</v>
      </c>
      <c r="E55" s="1"/>
      <c r="F55" s="5">
        <f t="shared" si="30"/>
        <v>0</v>
      </c>
      <c r="G55" s="1"/>
      <c r="H55" s="1">
        <f>SUM(OSRRefH22_9x_0)</f>
        <v>0</v>
      </c>
      <c r="I55" s="1"/>
      <c r="J55" s="5">
        <f t="shared" si="31"/>
        <v>0</v>
      </c>
      <c r="K55" s="1"/>
      <c r="L55" s="1">
        <f t="shared" si="32"/>
        <v>0</v>
      </c>
      <c r="M55" s="1"/>
      <c r="N55" s="5">
        <f t="shared" si="33"/>
        <v>0</v>
      </c>
      <c r="O55" s="13"/>
      <c r="P55" s="1">
        <f>SUM(OSRRefP22_9x_0)</f>
        <v>1439.55</v>
      </c>
      <c r="Q55" s="1"/>
      <c r="R55" s="5">
        <f t="shared" si="34"/>
        <v>0</v>
      </c>
      <c r="S55" s="1"/>
      <c r="T55" s="1">
        <f>SUM(OSRRefT22_9x_0)</f>
        <v>1517.11</v>
      </c>
      <c r="U55" s="1"/>
      <c r="V55" s="5">
        <f t="shared" si="35"/>
        <v>1.3680275801776012E-3</v>
      </c>
      <c r="W55" s="1"/>
      <c r="X55" s="1">
        <f t="shared" si="36"/>
        <v>-77.559999999999945</v>
      </c>
      <c r="Y55" s="1"/>
      <c r="Z55" s="5">
        <f t="shared" si="37"/>
        <v>-5.1123517740967996E-2</v>
      </c>
    </row>
    <row r="56" spans="1:26" s="24" customFormat="1" hidden="1" outlineLevel="2" x14ac:dyDescent="0.25">
      <c r="A56" s="25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30"/>
        <v>0</v>
      </c>
      <c r="G56" s="2"/>
      <c r="H56" s="6"/>
      <c r="I56" s="2"/>
      <c r="J56" s="7">
        <f t="shared" si="31"/>
        <v>0</v>
      </c>
      <c r="K56" s="2"/>
      <c r="L56" s="6">
        <f t="shared" si="32"/>
        <v>0</v>
      </c>
      <c r="M56" s="2"/>
      <c r="N56" s="7">
        <f t="shared" si="33"/>
        <v>0</v>
      </c>
      <c r="O56" s="11"/>
      <c r="P56" s="6">
        <v>1439.55</v>
      </c>
      <c r="Q56" s="2"/>
      <c r="R56" s="7">
        <f t="shared" si="34"/>
        <v>0</v>
      </c>
      <c r="S56" s="2"/>
      <c r="T56" s="6">
        <v>1517.11</v>
      </c>
      <c r="U56" s="2"/>
      <c r="V56" s="7">
        <f t="shared" si="35"/>
        <v>1.3680275801776012E-3</v>
      </c>
      <c r="W56" s="2"/>
      <c r="X56" s="6">
        <f t="shared" si="36"/>
        <v>-77.559999999999945</v>
      </c>
      <c r="Y56" s="2"/>
      <c r="Z56" s="7">
        <f t="shared" si="37"/>
        <v>-5.1123517740967996E-2</v>
      </c>
    </row>
    <row r="57" spans="1:26" s="26" customFormat="1" outlineLevel="1" collapsed="1" x14ac:dyDescent="0.25">
      <c r="A57" s="27"/>
      <c r="B57" s="13" t="str">
        <f>CONCATENATE("     ","Insurance                                         ")</f>
        <v xml:space="preserve">     Insurance                                         </v>
      </c>
      <c r="C57" s="13"/>
      <c r="D57" s="1">
        <f>SUM(OSRRefD22_10x_0)</f>
        <v>5.9</v>
      </c>
      <c r="E57" s="1"/>
      <c r="F57" s="5">
        <f t="shared" si="30"/>
        <v>0</v>
      </c>
      <c r="G57" s="1"/>
      <c r="H57" s="1">
        <f>SUM(OSRRefH22_10x_0)</f>
        <v>5.9</v>
      </c>
      <c r="I57" s="1"/>
      <c r="J57" s="5">
        <f t="shared" si="31"/>
        <v>2.3700780458666346E-5</v>
      </c>
      <c r="K57" s="1"/>
      <c r="L57" s="1">
        <f t="shared" si="32"/>
        <v>0</v>
      </c>
      <c r="M57" s="1"/>
      <c r="N57" s="5">
        <f t="shared" si="33"/>
        <v>0</v>
      </c>
      <c r="O57" s="13"/>
      <c r="P57" s="1">
        <f>SUM(OSRRefP22_10x_0)</f>
        <v>29.5</v>
      </c>
      <c r="Q57" s="1"/>
      <c r="R57" s="5">
        <f t="shared" si="34"/>
        <v>0</v>
      </c>
      <c r="S57" s="1"/>
      <c r="T57" s="1">
        <f>SUM(OSRRefT22_10x_0)</f>
        <v>29.5</v>
      </c>
      <c r="U57" s="1"/>
      <c r="V57" s="5">
        <f t="shared" si="35"/>
        <v>2.6601112388184932E-5</v>
      </c>
      <c r="W57" s="1"/>
      <c r="X57" s="1">
        <f t="shared" si="36"/>
        <v>0</v>
      </c>
      <c r="Y57" s="1"/>
      <c r="Z57" s="5">
        <f t="shared" si="37"/>
        <v>0</v>
      </c>
    </row>
    <row r="58" spans="1:26" s="24" customFormat="1" hidden="1" outlineLevel="2" x14ac:dyDescent="0.25">
      <c r="A58" s="25"/>
      <c r="B58" s="11" t="str">
        <f>CONCATENATE("          ", "6314", " - ", "LIABILITY INSURANCE")</f>
        <v xml:space="preserve">          6314 - LIABILITY INSURANCE</v>
      </c>
      <c r="C58" s="11"/>
      <c r="D58" s="6">
        <v>5.9</v>
      </c>
      <c r="E58" s="2"/>
      <c r="F58" s="7">
        <f t="shared" si="30"/>
        <v>0</v>
      </c>
      <c r="G58" s="2"/>
      <c r="H58" s="6">
        <v>5.9</v>
      </c>
      <c r="I58" s="2"/>
      <c r="J58" s="7">
        <f t="shared" si="31"/>
        <v>2.3700780458666346E-5</v>
      </c>
      <c r="K58" s="2"/>
      <c r="L58" s="6">
        <f t="shared" si="32"/>
        <v>0</v>
      </c>
      <c r="M58" s="2"/>
      <c r="N58" s="7">
        <f t="shared" si="33"/>
        <v>0</v>
      </c>
      <c r="O58" s="11"/>
      <c r="P58" s="6">
        <v>29.5</v>
      </c>
      <c r="Q58" s="2"/>
      <c r="R58" s="7">
        <f t="shared" si="34"/>
        <v>0</v>
      </c>
      <c r="S58" s="2"/>
      <c r="T58" s="6">
        <v>29.5</v>
      </c>
      <c r="U58" s="2"/>
      <c r="V58" s="7">
        <f t="shared" si="35"/>
        <v>2.6601112388184932E-5</v>
      </c>
      <c r="W58" s="2"/>
      <c r="X58" s="6">
        <f t="shared" si="36"/>
        <v>0</v>
      </c>
      <c r="Y58" s="2"/>
      <c r="Z58" s="7">
        <f t="shared" si="37"/>
        <v>0</v>
      </c>
    </row>
    <row r="59" spans="1:26" s="26" customFormat="1" outlineLevel="1" collapsed="1" x14ac:dyDescent="0.25">
      <c r="A59" s="27"/>
      <c r="B59" s="13" t="str">
        <f>CONCATENATE("     ","R/H Commissions                                   ")</f>
        <v xml:space="preserve">     R/H Commissions                                   </v>
      </c>
      <c r="C59" s="13"/>
      <c r="D59" s="1">
        <f>SUM(OSRRefD22_11x_0)</f>
        <v>0</v>
      </c>
      <c r="E59" s="1"/>
      <c r="F59" s="5">
        <f t="shared" si="30"/>
        <v>0</v>
      </c>
      <c r="G59" s="1"/>
      <c r="H59" s="1">
        <f>SUM(OSRRefH22_11x_0)</f>
        <v>19712.310000000001</v>
      </c>
      <c r="I59" s="1"/>
      <c r="J59" s="5">
        <f t="shared" si="31"/>
        <v>7.9185954515792065E-2</v>
      </c>
      <c r="K59" s="1"/>
      <c r="L59" s="1">
        <f t="shared" si="32"/>
        <v>-19712.310000000001</v>
      </c>
      <c r="M59" s="1"/>
      <c r="N59" s="5">
        <f t="shared" si="33"/>
        <v>-1</v>
      </c>
      <c r="O59" s="13"/>
      <c r="P59" s="1">
        <f>SUM(OSRRefP22_11x_0)</f>
        <v>0</v>
      </c>
      <c r="Q59" s="1"/>
      <c r="R59" s="5">
        <f t="shared" si="34"/>
        <v>0</v>
      </c>
      <c r="S59" s="1"/>
      <c r="T59" s="1">
        <f>SUM(OSRRefT22_11x_0)</f>
        <v>86060.49</v>
      </c>
      <c r="U59" s="1"/>
      <c r="V59" s="5">
        <f t="shared" si="35"/>
        <v>7.7603551412619168E-2</v>
      </c>
      <c r="W59" s="1"/>
      <c r="X59" s="1">
        <f t="shared" si="36"/>
        <v>-86060.49</v>
      </c>
      <c r="Y59" s="1"/>
      <c r="Z59" s="5">
        <f t="shared" si="37"/>
        <v>-1</v>
      </c>
    </row>
    <row r="60" spans="1:26" s="24" customFormat="1" hidden="1" outlineLevel="2" x14ac:dyDescent="0.25">
      <c r="A60" s="25"/>
      <c r="B60" s="11" t="str">
        <f>CONCATENATE("          ", "6387", " - ", "COMMISSION DUE HOUSING")</f>
        <v xml:space="preserve">          6387 - COMMISSION DUE HOUSING</v>
      </c>
      <c r="C60" s="11"/>
      <c r="D60" s="6"/>
      <c r="E60" s="2"/>
      <c r="F60" s="7">
        <f t="shared" si="30"/>
        <v>0</v>
      </c>
      <c r="G60" s="2"/>
      <c r="H60" s="6">
        <v>19712.310000000001</v>
      </c>
      <c r="I60" s="2"/>
      <c r="J60" s="7">
        <f t="shared" si="31"/>
        <v>7.9185954515792065E-2</v>
      </c>
      <c r="K60" s="2"/>
      <c r="L60" s="6">
        <f t="shared" si="32"/>
        <v>-19712.310000000001</v>
      </c>
      <c r="M60" s="2"/>
      <c r="N60" s="7">
        <f t="shared" si="33"/>
        <v>-1</v>
      </c>
      <c r="O60" s="11"/>
      <c r="P60" s="6"/>
      <c r="Q60" s="2"/>
      <c r="R60" s="7">
        <f t="shared" si="34"/>
        <v>0</v>
      </c>
      <c r="S60" s="2"/>
      <c r="T60" s="6">
        <v>86060.49</v>
      </c>
      <c r="U60" s="2"/>
      <c r="V60" s="7">
        <f t="shared" si="35"/>
        <v>7.7603551412619168E-2</v>
      </c>
      <c r="W60" s="2"/>
      <c r="X60" s="6">
        <f t="shared" si="36"/>
        <v>-86060.49</v>
      </c>
      <c r="Y60" s="2"/>
      <c r="Z60" s="7">
        <f t="shared" si="37"/>
        <v>-1</v>
      </c>
    </row>
    <row r="61" spans="1:26" s="26" customFormat="1" outlineLevel="1" collapsed="1" x14ac:dyDescent="0.25">
      <c r="A61" s="27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SUM(OSRRefD22_12x_0)</f>
        <v>0</v>
      </c>
      <c r="E61" s="1"/>
      <c r="F61" s="5">
        <f t="shared" si="30"/>
        <v>0</v>
      </c>
      <c r="G61" s="1"/>
      <c r="H61" s="1">
        <f>SUM(OSRRefH22_12x_0)</f>
        <v>0</v>
      </c>
      <c r="I61" s="1"/>
      <c r="J61" s="5">
        <f t="shared" si="31"/>
        <v>0</v>
      </c>
      <c r="K61" s="1"/>
      <c r="L61" s="1">
        <f t="shared" si="32"/>
        <v>0</v>
      </c>
      <c r="M61" s="1"/>
      <c r="N61" s="5">
        <f t="shared" si="33"/>
        <v>0</v>
      </c>
      <c r="O61" s="13"/>
      <c r="P61" s="1">
        <f>SUM(OSRRefP22_12x_0)</f>
        <v>72.349999999999994</v>
      </c>
      <c r="Q61" s="1"/>
      <c r="R61" s="5">
        <f t="shared" si="34"/>
        <v>0</v>
      </c>
      <c r="S61" s="1"/>
      <c r="T61" s="1">
        <f>SUM(OSRRefT22_12x_0)</f>
        <v>68.48</v>
      </c>
      <c r="U61" s="1"/>
      <c r="V61" s="5">
        <f t="shared" si="35"/>
        <v>6.1750650045522181E-5</v>
      </c>
      <c r="W61" s="1"/>
      <c r="X61" s="1">
        <f t="shared" si="36"/>
        <v>3.8699999999999903</v>
      </c>
      <c r="Y61" s="1"/>
      <c r="Z61" s="5">
        <f t="shared" si="37"/>
        <v>5.6512850467289578E-2</v>
      </c>
    </row>
    <row r="62" spans="1:26" s="24" customFormat="1" hidden="1" outlineLevel="2" x14ac:dyDescent="0.25">
      <c r="A62" s="25"/>
      <c r="B62" s="11" t="str">
        <f>CONCATENATE("          ", "6373", " - ", "MAINTENANCE CONTRACTS")</f>
        <v xml:space="preserve">          6373 - MAINTENANCE CONTRACTS</v>
      </c>
      <c r="C62" s="11"/>
      <c r="D62" s="6"/>
      <c r="E62" s="2"/>
      <c r="F62" s="7">
        <f t="shared" si="30"/>
        <v>0</v>
      </c>
      <c r="G62" s="2"/>
      <c r="H62" s="6"/>
      <c r="I62" s="2"/>
      <c r="J62" s="7">
        <f t="shared" si="31"/>
        <v>0</v>
      </c>
      <c r="K62" s="2"/>
      <c r="L62" s="6">
        <f t="shared" si="32"/>
        <v>0</v>
      </c>
      <c r="M62" s="2"/>
      <c r="N62" s="7">
        <f t="shared" si="33"/>
        <v>0</v>
      </c>
      <c r="O62" s="11"/>
      <c r="P62" s="6">
        <v>72.349999999999994</v>
      </c>
      <c r="Q62" s="2"/>
      <c r="R62" s="7">
        <f t="shared" si="34"/>
        <v>0</v>
      </c>
      <c r="S62" s="2"/>
      <c r="T62" s="6">
        <v>68.48</v>
      </c>
      <c r="U62" s="2"/>
      <c r="V62" s="7">
        <f t="shared" si="35"/>
        <v>6.1750650045522181E-5</v>
      </c>
      <c r="W62" s="2"/>
      <c r="X62" s="6">
        <f t="shared" si="36"/>
        <v>3.8699999999999903</v>
      </c>
      <c r="Y62" s="2"/>
      <c r="Z62" s="7">
        <f t="shared" si="37"/>
        <v>5.6512850467289578E-2</v>
      </c>
    </row>
    <row r="63" spans="1:26" s="26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SUM(OSRRefD22_13x_0)</f>
        <v>0</v>
      </c>
      <c r="E63" s="1"/>
      <c r="F63" s="5">
        <f t="shared" si="30"/>
        <v>0</v>
      </c>
      <c r="G63" s="1"/>
      <c r="H63" s="1">
        <f>SUM(OSRRefH22_13x_0)</f>
        <v>5618.46</v>
      </c>
      <c r="I63" s="1"/>
      <c r="J63" s="5">
        <f t="shared" si="31"/>
        <v>2.2569811351830255E-2</v>
      </c>
      <c r="K63" s="1"/>
      <c r="L63" s="1">
        <f t="shared" si="32"/>
        <v>-5618.46</v>
      </c>
      <c r="M63" s="1"/>
      <c r="N63" s="5">
        <f t="shared" si="33"/>
        <v>-1</v>
      </c>
      <c r="O63" s="13"/>
      <c r="P63" s="1">
        <f>SUM(OSRRefP22_13x_0)</f>
        <v>2080.69</v>
      </c>
      <c r="Q63" s="1"/>
      <c r="R63" s="5">
        <f t="shared" si="34"/>
        <v>0</v>
      </c>
      <c r="S63" s="1"/>
      <c r="T63" s="1">
        <f>SUM(OSRRefT22_13x_0)</f>
        <v>31395.309999999998</v>
      </c>
      <c r="U63" s="1"/>
      <c r="V63" s="5">
        <f t="shared" si="35"/>
        <v>2.8310175246505295E-2</v>
      </c>
      <c r="W63" s="1"/>
      <c r="X63" s="1">
        <f t="shared" si="36"/>
        <v>-29314.62</v>
      </c>
      <c r="Y63" s="1"/>
      <c r="Z63" s="5">
        <f t="shared" si="37"/>
        <v>-0.93372608838708715</v>
      </c>
    </row>
    <row r="64" spans="1:26" s="24" customFormat="1" hidden="1" outlineLevel="2" x14ac:dyDescent="0.25">
      <c r="A64" s="25"/>
      <c r="B64" s="11" t="str">
        <f>CONCATENATE("          ", "6282", " - ", "JANITORIAL/EXTERMINATOR EXPENS")</f>
        <v xml:space="preserve">          6282 - JANITORIAL/EXTERMINATOR EXPENS</v>
      </c>
      <c r="C64" s="11"/>
      <c r="D64" s="6"/>
      <c r="E64" s="2"/>
      <c r="F64" s="7">
        <f t="shared" si="30"/>
        <v>0</v>
      </c>
      <c r="G64" s="2"/>
      <c r="H64" s="6">
        <v>669.64</v>
      </c>
      <c r="I64" s="2"/>
      <c r="J64" s="7">
        <f t="shared" si="31"/>
        <v>2.6899984112442933E-3</v>
      </c>
      <c r="K64" s="2"/>
      <c r="L64" s="6">
        <f t="shared" si="32"/>
        <v>-669.64</v>
      </c>
      <c r="M64" s="2"/>
      <c r="N64" s="7">
        <f t="shared" si="33"/>
        <v>-1</v>
      </c>
      <c r="O64" s="11"/>
      <c r="P64" s="6">
        <v>2080.69</v>
      </c>
      <c r="Q64" s="2"/>
      <c r="R64" s="7">
        <f t="shared" si="34"/>
        <v>0</v>
      </c>
      <c r="S64" s="2"/>
      <c r="T64" s="6">
        <v>3498.2</v>
      </c>
      <c r="U64" s="2"/>
      <c r="V64" s="7">
        <f t="shared" si="35"/>
        <v>3.1544410629270685E-3</v>
      </c>
      <c r="W64" s="2"/>
      <c r="X64" s="6">
        <f t="shared" si="36"/>
        <v>-1417.5099999999998</v>
      </c>
      <c r="Y64" s="2"/>
      <c r="Z64" s="7">
        <f t="shared" si="37"/>
        <v>-0.40521125150077175</v>
      </c>
    </row>
    <row r="65" spans="1:26" s="24" customFormat="1" hidden="1" outlineLevel="2" x14ac:dyDescent="0.25">
      <c r="A65" s="25"/>
      <c r="B65" s="11" t="str">
        <f>CONCATENATE("          ", "6285", " - ", "JANITORIAL SERVICES")</f>
        <v xml:space="preserve">          6285 - JANITORIAL SERVICES</v>
      </c>
      <c r="C65" s="11"/>
      <c r="D65" s="6"/>
      <c r="E65" s="2"/>
      <c r="F65" s="7">
        <f t="shared" si="30"/>
        <v>0</v>
      </c>
      <c r="G65" s="2"/>
      <c r="H65" s="6">
        <v>3639.27</v>
      </c>
      <c r="I65" s="2"/>
      <c r="J65" s="7">
        <f t="shared" si="31"/>
        <v>1.4619243949120451E-2</v>
      </c>
      <c r="K65" s="2"/>
      <c r="L65" s="6">
        <f t="shared" si="32"/>
        <v>-3639.27</v>
      </c>
      <c r="M65" s="2"/>
      <c r="N65" s="7">
        <f t="shared" si="33"/>
        <v>-1</v>
      </c>
      <c r="O65" s="11"/>
      <c r="P65" s="6"/>
      <c r="Q65" s="2"/>
      <c r="R65" s="7">
        <f t="shared" si="34"/>
        <v>0</v>
      </c>
      <c r="S65" s="2"/>
      <c r="T65" s="6">
        <v>19741.849999999999</v>
      </c>
      <c r="U65" s="2"/>
      <c r="V65" s="7">
        <f t="shared" si="35"/>
        <v>1.7801870189853852E-2</v>
      </c>
      <c r="W65" s="2"/>
      <c r="X65" s="6">
        <f t="shared" si="36"/>
        <v>-19741.849999999999</v>
      </c>
      <c r="Y65" s="2"/>
      <c r="Z65" s="7">
        <f t="shared" si="37"/>
        <v>-1</v>
      </c>
    </row>
    <row r="66" spans="1:26" s="24" customFormat="1" hidden="1" outlineLevel="2" x14ac:dyDescent="0.25">
      <c r="A66" s="25"/>
      <c r="B66" s="11" t="str">
        <f>CONCATENATE("          ", "6286", " - ", "LAUNDRY EXPENSE")</f>
        <v xml:space="preserve">          6286 - LAUNDRY EXPENSE</v>
      </c>
      <c r="C66" s="11"/>
      <c r="D66" s="6"/>
      <c r="E66" s="2"/>
      <c r="F66" s="7">
        <f t="shared" si="30"/>
        <v>0</v>
      </c>
      <c r="G66" s="2"/>
      <c r="H66" s="6">
        <v>1309.55</v>
      </c>
      <c r="I66" s="2"/>
      <c r="J66" s="7">
        <f t="shared" si="31"/>
        <v>5.2605689914655097E-3</v>
      </c>
      <c r="K66" s="2"/>
      <c r="L66" s="6">
        <f t="shared" si="32"/>
        <v>-1309.55</v>
      </c>
      <c r="M66" s="2"/>
      <c r="N66" s="7">
        <f t="shared" si="33"/>
        <v>-1</v>
      </c>
      <c r="O66" s="11"/>
      <c r="P66" s="6"/>
      <c r="Q66" s="2"/>
      <c r="R66" s="7">
        <f t="shared" si="34"/>
        <v>0</v>
      </c>
      <c r="S66" s="2"/>
      <c r="T66" s="6">
        <v>8155.26</v>
      </c>
      <c r="U66" s="2"/>
      <c r="V66" s="7">
        <f t="shared" si="35"/>
        <v>7.353863993724374E-3</v>
      </c>
      <c r="W66" s="2"/>
      <c r="X66" s="6">
        <f t="shared" si="36"/>
        <v>-8155.26</v>
      </c>
      <c r="Y66" s="2"/>
      <c r="Z66" s="7">
        <f t="shared" si="37"/>
        <v>-1</v>
      </c>
    </row>
    <row r="67" spans="1:26" s="26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SUM(OSRRefD22_14x_0)</f>
        <v>0</v>
      </c>
      <c r="E67" s="1"/>
      <c r="F67" s="5">
        <f t="shared" ref="F67:F73" si="38">IF(D$12=0,0,D67/D$12)</f>
        <v>0</v>
      </c>
      <c r="G67" s="1"/>
      <c r="H67" s="1">
        <f>SUM(OSRRefH22_14x_0)</f>
        <v>4288.7</v>
      </c>
      <c r="I67" s="1"/>
      <c r="J67" s="5">
        <f t="shared" ref="J67:J73" si="39">IF(H$12=0,0,H67/H$12)</f>
        <v>1.7228057144590227E-2</v>
      </c>
      <c r="K67" s="1"/>
      <c r="L67" s="1">
        <f t="shared" ref="L67:L73" si="40">+D67-H67</f>
        <v>-4288.7</v>
      </c>
      <c r="M67" s="1"/>
      <c r="N67" s="5">
        <f t="shared" ref="N67:N73" si="41">IF(H67=0,0,L67/H67)</f>
        <v>-1</v>
      </c>
      <c r="O67" s="13"/>
      <c r="P67" s="1">
        <f>SUM(OSRRefP22_14x_0)</f>
        <v>57.16</v>
      </c>
      <c r="Q67" s="1"/>
      <c r="R67" s="5">
        <f t="shared" ref="R67:R73" si="42">IF(P$12=0,0,P67/P$12)</f>
        <v>0</v>
      </c>
      <c r="S67" s="1"/>
      <c r="T67" s="1">
        <f>SUM(OSRRefT22_14x_0)</f>
        <v>31057.52</v>
      </c>
      <c r="U67" s="1"/>
      <c r="V67" s="5">
        <f t="shared" ref="V67:V73" si="43">IF(T$12=0,0,T67/T$12)</f>
        <v>2.8005578983671231E-2</v>
      </c>
      <c r="W67" s="1"/>
      <c r="X67" s="1">
        <f t="shared" ref="X67:X73" si="44">+P67-T67</f>
        <v>-31000.36</v>
      </c>
      <c r="Y67" s="1"/>
      <c r="Z67" s="5">
        <f t="shared" ref="Z67:Z73" si="45">IF(T67=0,0,X67/T67)</f>
        <v>-0.99815954396873929</v>
      </c>
    </row>
    <row r="68" spans="1:26" s="24" customFormat="1" hidden="1" outlineLevel="2" x14ac:dyDescent="0.25">
      <c r="A68" s="25"/>
      <c r="B68" s="11" t="str">
        <f>CONCATENATE("          ", "6237", " - ", "JANITORIAL SUPPLIES")</f>
        <v xml:space="preserve">          6237 - JANITORIAL SUPPLIES</v>
      </c>
      <c r="C68" s="11"/>
      <c r="D68" s="6"/>
      <c r="E68" s="2"/>
      <c r="F68" s="7">
        <f t="shared" si="38"/>
        <v>0</v>
      </c>
      <c r="G68" s="2"/>
      <c r="H68" s="6">
        <v>2312.2199999999998</v>
      </c>
      <c r="I68" s="2"/>
      <c r="J68" s="7">
        <f t="shared" si="39"/>
        <v>9.2883760325656751E-3</v>
      </c>
      <c r="K68" s="2"/>
      <c r="L68" s="6">
        <f t="shared" si="40"/>
        <v>-2312.2199999999998</v>
      </c>
      <c r="M68" s="2"/>
      <c r="N68" s="7">
        <f t="shared" si="41"/>
        <v>-1</v>
      </c>
      <c r="O68" s="11"/>
      <c r="P68" s="6"/>
      <c r="Q68" s="2"/>
      <c r="R68" s="7">
        <f t="shared" si="42"/>
        <v>0</v>
      </c>
      <c r="S68" s="2"/>
      <c r="T68" s="6">
        <v>8293.6200000000008</v>
      </c>
      <c r="U68" s="2"/>
      <c r="V68" s="7">
        <f t="shared" si="43"/>
        <v>7.4786277194880792E-3</v>
      </c>
      <c r="W68" s="2"/>
      <c r="X68" s="6">
        <f t="shared" si="44"/>
        <v>-8293.6200000000008</v>
      </c>
      <c r="Y68" s="2"/>
      <c r="Z68" s="7">
        <f t="shared" si="45"/>
        <v>-1</v>
      </c>
    </row>
    <row r="69" spans="1:26" s="24" customFormat="1" hidden="1" outlineLevel="2" x14ac:dyDescent="0.25">
      <c r="A69" s="25"/>
      <c r="B69" s="11" t="str">
        <f>CONCATENATE("          ", "6239", " - ", "KITCHEN SUPPLIES")</f>
        <v xml:space="preserve">          6239 - KITCHEN SUPPLIES</v>
      </c>
      <c r="C69" s="11"/>
      <c r="D69" s="6"/>
      <c r="E69" s="2"/>
      <c r="F69" s="7">
        <f t="shared" si="38"/>
        <v>0</v>
      </c>
      <c r="G69" s="2"/>
      <c r="H69" s="6">
        <v>236</v>
      </c>
      <c r="I69" s="2"/>
      <c r="J69" s="7">
        <f t="shared" si="39"/>
        <v>9.480312183466537E-4</v>
      </c>
      <c r="K69" s="2"/>
      <c r="L69" s="6">
        <f t="shared" si="40"/>
        <v>-236</v>
      </c>
      <c r="M69" s="2"/>
      <c r="N69" s="7">
        <f t="shared" si="41"/>
        <v>-1</v>
      </c>
      <c r="O69" s="11"/>
      <c r="P69" s="6"/>
      <c r="Q69" s="2"/>
      <c r="R69" s="7">
        <f t="shared" si="42"/>
        <v>0</v>
      </c>
      <c r="S69" s="2"/>
      <c r="T69" s="6">
        <v>2498.77</v>
      </c>
      <c r="U69" s="2"/>
      <c r="V69" s="7">
        <f t="shared" si="43"/>
        <v>2.2532224271940631E-3</v>
      </c>
      <c r="W69" s="2"/>
      <c r="X69" s="6">
        <f t="shared" si="44"/>
        <v>-2498.77</v>
      </c>
      <c r="Y69" s="2"/>
      <c r="Z69" s="7">
        <f t="shared" si="45"/>
        <v>-1</v>
      </c>
    </row>
    <row r="70" spans="1:26" s="24" customFormat="1" hidden="1" outlineLevel="2" x14ac:dyDescent="0.25">
      <c r="A70" s="25"/>
      <c r="B70" s="11" t="str">
        <f>CONCATENATE("          ", "6241", " - ", "OFFICE EXPENSE")</f>
        <v xml:space="preserve">          6241 - OFFICE EXPENSE</v>
      </c>
      <c r="C70" s="11"/>
      <c r="D70" s="6"/>
      <c r="E70" s="2"/>
      <c r="F70" s="7">
        <f t="shared" si="38"/>
        <v>0</v>
      </c>
      <c r="G70" s="2"/>
      <c r="H70" s="6">
        <v>227.09</v>
      </c>
      <c r="I70" s="2"/>
      <c r="J70" s="7">
        <f t="shared" si="39"/>
        <v>9.1223902277263384E-4</v>
      </c>
      <c r="K70" s="2"/>
      <c r="L70" s="6">
        <f t="shared" si="40"/>
        <v>-227.09</v>
      </c>
      <c r="M70" s="2"/>
      <c r="N70" s="7">
        <f t="shared" si="41"/>
        <v>-1</v>
      </c>
      <c r="O70" s="11"/>
      <c r="P70" s="6">
        <v>57.16</v>
      </c>
      <c r="Q70" s="2"/>
      <c r="R70" s="7">
        <f t="shared" si="42"/>
        <v>0</v>
      </c>
      <c r="S70" s="2"/>
      <c r="T70" s="6">
        <v>19976.929999999997</v>
      </c>
      <c r="U70" s="2"/>
      <c r="V70" s="7">
        <f t="shared" si="43"/>
        <v>1.8013849494945867E-2</v>
      </c>
      <c r="W70" s="2"/>
      <c r="X70" s="6">
        <f t="shared" si="44"/>
        <v>-19919.769999999997</v>
      </c>
      <c r="Y70" s="2"/>
      <c r="Z70" s="7">
        <f t="shared" si="45"/>
        <v>-0.99713869948986156</v>
      </c>
    </row>
    <row r="71" spans="1:26" s="24" customFormat="1" hidden="1" outlineLevel="2" x14ac:dyDescent="0.25">
      <c r="A71" s="25"/>
      <c r="B71" s="11" t="str">
        <f>CONCATENATE("          ", "6243", " - ", "PAPER SUPPLIES")</f>
        <v xml:space="preserve">          6243 - PAPER SUPPLIES</v>
      </c>
      <c r="C71" s="11"/>
      <c r="D71" s="6"/>
      <c r="E71" s="2"/>
      <c r="F71" s="7">
        <f t="shared" si="38"/>
        <v>0</v>
      </c>
      <c r="G71" s="2"/>
      <c r="H71" s="6">
        <v>1513.39</v>
      </c>
      <c r="I71" s="2"/>
      <c r="J71" s="7">
        <f t="shared" si="39"/>
        <v>6.0794108709052641E-3</v>
      </c>
      <c r="K71" s="2"/>
      <c r="L71" s="6">
        <f t="shared" si="40"/>
        <v>-1513.39</v>
      </c>
      <c r="M71" s="2"/>
      <c r="N71" s="7">
        <f t="shared" si="41"/>
        <v>-1</v>
      </c>
      <c r="O71" s="11"/>
      <c r="P71" s="6"/>
      <c r="Q71" s="2"/>
      <c r="R71" s="7">
        <f t="shared" si="42"/>
        <v>0</v>
      </c>
      <c r="S71" s="2"/>
      <c r="T71" s="6">
        <v>7878.38</v>
      </c>
      <c r="U71" s="2"/>
      <c r="V71" s="7">
        <f t="shared" si="43"/>
        <v>7.1041922649772342E-3</v>
      </c>
      <c r="W71" s="2"/>
      <c r="X71" s="6">
        <f t="shared" si="44"/>
        <v>-7878.38</v>
      </c>
      <c r="Y71" s="2"/>
      <c r="Z71" s="7">
        <f t="shared" si="45"/>
        <v>-1</v>
      </c>
    </row>
    <row r="72" spans="1:26" s="24" customFormat="1" hidden="1" outlineLevel="2" x14ac:dyDescent="0.25">
      <c r="A72" s="25"/>
      <c r="B72" s="11" t="str">
        <f>CONCATENATE("          ", "6245", " - ", "PRINTING")</f>
        <v xml:space="preserve">          6245 - PRINTING</v>
      </c>
      <c r="C72" s="11"/>
      <c r="D72" s="6"/>
      <c r="E72" s="2"/>
      <c r="F72" s="7">
        <f t="shared" si="38"/>
        <v>0</v>
      </c>
      <c r="G72" s="2"/>
      <c r="H72" s="6"/>
      <c r="I72" s="2"/>
      <c r="J72" s="7">
        <f t="shared" si="39"/>
        <v>0</v>
      </c>
      <c r="K72" s="2"/>
      <c r="L72" s="6">
        <f t="shared" si="40"/>
        <v>0</v>
      </c>
      <c r="M72" s="2"/>
      <c r="N72" s="7">
        <f t="shared" si="41"/>
        <v>0</v>
      </c>
      <c r="O72" s="11"/>
      <c r="P72" s="6"/>
      <c r="Q72" s="2"/>
      <c r="R72" s="7">
        <f t="shared" si="42"/>
        <v>0</v>
      </c>
      <c r="S72" s="2"/>
      <c r="T72" s="6">
        <v>469.44</v>
      </c>
      <c r="U72" s="2"/>
      <c r="V72" s="7">
        <f t="shared" si="43"/>
        <v>4.2330936269523845E-4</v>
      </c>
      <c r="W72" s="2"/>
      <c r="X72" s="6">
        <f t="shared" si="44"/>
        <v>-469.44</v>
      </c>
      <c r="Y72" s="2"/>
      <c r="Z72" s="7">
        <f t="shared" si="45"/>
        <v>-1</v>
      </c>
    </row>
    <row r="73" spans="1:26" s="24" customFormat="1" hidden="1" outlineLevel="2" x14ac:dyDescent="0.25">
      <c r="A73" s="25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38"/>
        <v>0</v>
      </c>
      <c r="G73" s="2"/>
      <c r="H73" s="6"/>
      <c r="I73" s="2"/>
      <c r="J73" s="7">
        <f t="shared" si="39"/>
        <v>0</v>
      </c>
      <c r="K73" s="2"/>
      <c r="L73" s="6">
        <f t="shared" si="40"/>
        <v>0</v>
      </c>
      <c r="M73" s="2"/>
      <c r="N73" s="7">
        <f t="shared" si="41"/>
        <v>0</v>
      </c>
      <c r="O73" s="11"/>
      <c r="P73" s="6"/>
      <c r="Q73" s="2"/>
      <c r="R73" s="7">
        <f t="shared" si="42"/>
        <v>0</v>
      </c>
      <c r="S73" s="2"/>
      <c r="T73" s="6">
        <v>-8059.62</v>
      </c>
      <c r="U73" s="2"/>
      <c r="V73" s="7">
        <f t="shared" si="43"/>
        <v>-7.2676222856292551E-3</v>
      </c>
      <c r="W73" s="2"/>
      <c r="X73" s="6">
        <f t="shared" si="44"/>
        <v>8059.62</v>
      </c>
      <c r="Y73" s="2"/>
      <c r="Z73" s="7">
        <f t="shared" si="45"/>
        <v>-1</v>
      </c>
    </row>
    <row r="74" spans="1:26" s="26" customFormat="1" outlineLevel="1" collapsed="1" x14ac:dyDescent="0.25">
      <c r="A74" s="27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SUM(OSRRefD22_15x_0)</f>
        <v>50</v>
      </c>
      <c r="E74" s="1"/>
      <c r="F74" s="5">
        <f t="shared" ref="F74:F79" si="46">IF(D$12=0,0,D74/D$12)</f>
        <v>0</v>
      </c>
      <c r="G74" s="1"/>
      <c r="H74" s="1">
        <f>SUM(OSRRefH22_15x_0)</f>
        <v>113.05</v>
      </c>
      <c r="I74" s="1"/>
      <c r="J74" s="5">
        <f t="shared" ref="J74:J79" si="47">IF(H$12=0,0,H74/H$12)</f>
        <v>4.5413105607664916E-4</v>
      </c>
      <c r="K74" s="1"/>
      <c r="L74" s="1">
        <f t="shared" ref="L74:L79" si="48">+D74-H74</f>
        <v>-63.05</v>
      </c>
      <c r="M74" s="1"/>
      <c r="N74" s="5">
        <f t="shared" ref="N74:N79" si="49">IF(H74=0,0,L74/H74)</f>
        <v>-0.55771782397169389</v>
      </c>
      <c r="O74" s="13"/>
      <c r="P74" s="1">
        <f>SUM(OSRRefP22_15x_0)</f>
        <v>529.63</v>
      </c>
      <c r="Q74" s="1"/>
      <c r="R74" s="5">
        <f t="shared" ref="R74:R79" si="50">IF(P$12=0,0,P74/P$12)</f>
        <v>0</v>
      </c>
      <c r="S74" s="1"/>
      <c r="T74" s="1">
        <f>SUM(OSRRefT22_15x_0)</f>
        <v>676.6</v>
      </c>
      <c r="U74" s="1"/>
      <c r="V74" s="5">
        <f t="shared" ref="V74:V79" si="51">IF(T$12=0,0,T74/T$12)</f>
        <v>6.1011229294392964E-4</v>
      </c>
      <c r="W74" s="1"/>
      <c r="X74" s="1">
        <f t="shared" ref="X74:X79" si="52">+P74-T74</f>
        <v>-146.97000000000003</v>
      </c>
      <c r="Y74" s="1"/>
      <c r="Z74" s="5">
        <f t="shared" ref="Z74:Z79" si="53">IF(T74=0,0,X74/T74)</f>
        <v>-0.21721844516701155</v>
      </c>
    </row>
    <row r="75" spans="1:26" s="24" customFormat="1" hidden="1" outlineLevel="2" x14ac:dyDescent="0.25">
      <c r="A75" s="25"/>
      <c r="B75" s="11" t="str">
        <f>CONCATENATE("          ", "6309", " - ", "TELEPHONE")</f>
        <v xml:space="preserve">          6309 - TELEPHONE</v>
      </c>
      <c r="C75" s="11"/>
      <c r="D75" s="6">
        <v>50</v>
      </c>
      <c r="E75" s="2"/>
      <c r="F75" s="7">
        <f t="shared" si="46"/>
        <v>0</v>
      </c>
      <c r="G75" s="2"/>
      <c r="H75" s="6">
        <v>113.05</v>
      </c>
      <c r="I75" s="2"/>
      <c r="J75" s="7">
        <f t="shared" si="47"/>
        <v>4.5413105607664916E-4</v>
      </c>
      <c r="K75" s="2"/>
      <c r="L75" s="6">
        <f t="shared" si="48"/>
        <v>-63.05</v>
      </c>
      <c r="M75" s="2"/>
      <c r="N75" s="7">
        <f t="shared" si="49"/>
        <v>-0.55771782397169389</v>
      </c>
      <c r="O75" s="11"/>
      <c r="P75" s="6">
        <v>529.63</v>
      </c>
      <c r="Q75" s="2"/>
      <c r="R75" s="7">
        <f t="shared" si="50"/>
        <v>0</v>
      </c>
      <c r="S75" s="2"/>
      <c r="T75" s="6">
        <v>676.6</v>
      </c>
      <c r="U75" s="2"/>
      <c r="V75" s="7">
        <f t="shared" si="51"/>
        <v>6.1011229294392964E-4</v>
      </c>
      <c r="W75" s="2"/>
      <c r="X75" s="6">
        <f t="shared" si="52"/>
        <v>-146.97000000000003</v>
      </c>
      <c r="Y75" s="2"/>
      <c r="Z75" s="7">
        <f t="shared" si="53"/>
        <v>-0.21721844516701155</v>
      </c>
    </row>
    <row r="76" spans="1:26" s="26" customFormat="1" outlineLevel="1" collapsed="1" x14ac:dyDescent="0.25">
      <c r="A76" s="27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SUM(OSRRefD22_16x_0)</f>
        <v>0</v>
      </c>
      <c r="E76" s="1"/>
      <c r="F76" s="5">
        <f t="shared" si="46"/>
        <v>0</v>
      </c>
      <c r="G76" s="1"/>
      <c r="H76" s="1">
        <f>SUM(OSRRefH22_16x_0)</f>
        <v>400</v>
      </c>
      <c r="I76" s="1"/>
      <c r="J76" s="5">
        <f t="shared" si="47"/>
        <v>1.6068325734689046E-3</v>
      </c>
      <c r="K76" s="1"/>
      <c r="L76" s="1">
        <f t="shared" si="48"/>
        <v>-400</v>
      </c>
      <c r="M76" s="1"/>
      <c r="N76" s="5">
        <f t="shared" si="49"/>
        <v>-1</v>
      </c>
      <c r="O76" s="13"/>
      <c r="P76" s="1">
        <f>SUM(OSRRefP22_16x_0)</f>
        <v>0</v>
      </c>
      <c r="Q76" s="1"/>
      <c r="R76" s="5">
        <f t="shared" si="50"/>
        <v>0</v>
      </c>
      <c r="S76" s="1"/>
      <c r="T76" s="1">
        <f>SUM(OSRRefT22_16x_0)</f>
        <v>1555.78</v>
      </c>
      <c r="U76" s="1"/>
      <c r="V76" s="5">
        <f t="shared" si="51"/>
        <v>1.4028975807217068E-3</v>
      </c>
      <c r="W76" s="1"/>
      <c r="X76" s="1">
        <f t="shared" si="52"/>
        <v>-1555.78</v>
      </c>
      <c r="Y76" s="1"/>
      <c r="Z76" s="5">
        <f t="shared" si="53"/>
        <v>-1</v>
      </c>
    </row>
    <row r="77" spans="1:26" s="24" customFormat="1" hidden="1" outlineLevel="2" x14ac:dyDescent="0.25">
      <c r="A77" s="25"/>
      <c r="B77" s="11" t="str">
        <f>CONCATENATE("          ", "6376", " - ", "TRAINING")</f>
        <v xml:space="preserve">          6376 - TRAINING</v>
      </c>
      <c r="C77" s="11"/>
      <c r="D77" s="6"/>
      <c r="E77" s="2"/>
      <c r="F77" s="7">
        <f t="shared" si="46"/>
        <v>0</v>
      </c>
      <c r="G77" s="2"/>
      <c r="H77" s="6">
        <v>400</v>
      </c>
      <c r="I77" s="2"/>
      <c r="J77" s="7">
        <f t="shared" si="47"/>
        <v>1.6068325734689046E-3</v>
      </c>
      <c r="K77" s="2"/>
      <c r="L77" s="6">
        <f t="shared" si="48"/>
        <v>-400</v>
      </c>
      <c r="M77" s="2"/>
      <c r="N77" s="7">
        <f t="shared" si="49"/>
        <v>-1</v>
      </c>
      <c r="O77" s="11"/>
      <c r="P77" s="6"/>
      <c r="Q77" s="2"/>
      <c r="R77" s="7">
        <f t="shared" si="50"/>
        <v>0</v>
      </c>
      <c r="S77" s="2"/>
      <c r="T77" s="6">
        <v>1555.78</v>
      </c>
      <c r="U77" s="2"/>
      <c r="V77" s="7">
        <f t="shared" si="51"/>
        <v>1.4028975807217068E-3</v>
      </c>
      <c r="W77" s="2"/>
      <c r="X77" s="6">
        <f t="shared" si="52"/>
        <v>-1555.78</v>
      </c>
      <c r="Y77" s="2"/>
      <c r="Z77" s="7">
        <f t="shared" si="53"/>
        <v>-1</v>
      </c>
    </row>
    <row r="78" spans="1:26" s="26" customFormat="1" outlineLevel="1" collapsed="1" x14ac:dyDescent="0.25">
      <c r="A78" s="27"/>
      <c r="B78" s="13" t="str">
        <f>CONCATENATE("     ","Travel                                            ")</f>
        <v xml:space="preserve">     Travel                                            </v>
      </c>
      <c r="C78" s="13"/>
      <c r="D78" s="1">
        <f>SUM(OSRRefD22_17x_0)</f>
        <v>0</v>
      </c>
      <c r="E78" s="1"/>
      <c r="F78" s="5">
        <f t="shared" si="46"/>
        <v>0</v>
      </c>
      <c r="G78" s="1"/>
      <c r="H78" s="1">
        <f>SUM(OSRRefH22_17x_0)</f>
        <v>0</v>
      </c>
      <c r="I78" s="1"/>
      <c r="J78" s="5">
        <f t="shared" si="47"/>
        <v>0</v>
      </c>
      <c r="K78" s="1"/>
      <c r="L78" s="1">
        <f t="shared" si="48"/>
        <v>0</v>
      </c>
      <c r="M78" s="1"/>
      <c r="N78" s="5">
        <f t="shared" si="49"/>
        <v>0</v>
      </c>
      <c r="O78" s="13"/>
      <c r="P78" s="1">
        <f>SUM(OSRRefP22_17x_0)</f>
        <v>0</v>
      </c>
      <c r="Q78" s="1"/>
      <c r="R78" s="5">
        <f t="shared" si="50"/>
        <v>0</v>
      </c>
      <c r="S78" s="1"/>
      <c r="T78" s="1">
        <f>SUM(OSRRefT22_17x_0)</f>
        <v>79.510000000000005</v>
      </c>
      <c r="U78" s="1"/>
      <c r="V78" s="5">
        <f t="shared" si="51"/>
        <v>7.1696760880833355E-5</v>
      </c>
      <c r="W78" s="1"/>
      <c r="X78" s="1">
        <f t="shared" si="52"/>
        <v>-79.510000000000005</v>
      </c>
      <c r="Y78" s="1"/>
      <c r="Z78" s="5">
        <f t="shared" si="53"/>
        <v>-1</v>
      </c>
    </row>
    <row r="79" spans="1:26" s="24" customFormat="1" hidden="1" outlineLevel="2" x14ac:dyDescent="0.25">
      <c r="A79" s="25"/>
      <c r="B79" s="11" t="str">
        <f>CONCATENATE("          ", "6292", " - ", "TRAVEL/CONFERENCE")</f>
        <v xml:space="preserve">          6292 - TRAVEL/CONFERENCE</v>
      </c>
      <c r="C79" s="11"/>
      <c r="D79" s="6"/>
      <c r="E79" s="2"/>
      <c r="F79" s="7">
        <f t="shared" si="46"/>
        <v>0</v>
      </c>
      <c r="G79" s="2"/>
      <c r="H79" s="6"/>
      <c r="I79" s="2"/>
      <c r="J79" s="7">
        <f t="shared" si="47"/>
        <v>0</v>
      </c>
      <c r="K79" s="2"/>
      <c r="L79" s="6">
        <f t="shared" si="48"/>
        <v>0</v>
      </c>
      <c r="M79" s="2"/>
      <c r="N79" s="7">
        <f t="shared" si="49"/>
        <v>0</v>
      </c>
      <c r="O79" s="11"/>
      <c r="P79" s="6"/>
      <c r="Q79" s="2"/>
      <c r="R79" s="7">
        <f t="shared" si="50"/>
        <v>0</v>
      </c>
      <c r="S79" s="2"/>
      <c r="T79" s="6">
        <v>79.510000000000005</v>
      </c>
      <c r="U79" s="2"/>
      <c r="V79" s="7">
        <f t="shared" si="51"/>
        <v>7.1696760880833355E-5</v>
      </c>
      <c r="W79" s="2"/>
      <c r="X79" s="6">
        <f t="shared" si="52"/>
        <v>-79.510000000000005</v>
      </c>
      <c r="Y79" s="2"/>
      <c r="Z79" s="7">
        <f t="shared" si="53"/>
        <v>-1</v>
      </c>
    </row>
    <row r="80" spans="1:26" s="53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9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8" t="s">
        <v>3</v>
      </c>
      <c r="C83" s="28"/>
      <c r="D83" s="20">
        <f>+D21-D23+D81</f>
        <v>-41541.9</v>
      </c>
      <c r="E83" s="14"/>
      <c r="F83" s="22">
        <f>IF(D$12=0,0,D83/D$12)</f>
        <v>0</v>
      </c>
      <c r="G83" s="14"/>
      <c r="H83" s="20">
        <f>+H21-H23+H81</f>
        <v>61951.269999999975</v>
      </c>
      <c r="I83" s="14"/>
      <c r="J83" s="22">
        <f>IF(H$12=0,0,H83/H$12)</f>
        <v>0.24886329650941727</v>
      </c>
      <c r="K83" s="15"/>
      <c r="L83" s="20">
        <f>+D83-H83</f>
        <v>-103493.16999999998</v>
      </c>
      <c r="M83" s="15"/>
      <c r="N83" s="22">
        <f>IF(H83=0,0,L83/H83)</f>
        <v>-1.6705576818683463</v>
      </c>
      <c r="O83" s="29"/>
      <c r="P83" s="20">
        <f>+P21-P23+P81</f>
        <v>-211039.80000000002</v>
      </c>
      <c r="Q83" s="14"/>
      <c r="R83" s="22">
        <f>IF(P$12=0,0,P83/P$12)</f>
        <v>0</v>
      </c>
      <c r="S83" s="14"/>
      <c r="T83" s="20">
        <f>+T21-T23+T81</f>
        <v>225176.59000000008</v>
      </c>
      <c r="U83" s="14"/>
      <c r="V83" s="22">
        <f>IF(T$12=0,0,T83/T$12)</f>
        <v>0.20304907721282173</v>
      </c>
      <c r="W83" s="15"/>
      <c r="X83" s="20">
        <f>+P83-T83</f>
        <v>-436216.39000000013</v>
      </c>
      <c r="Y83" s="15"/>
      <c r="Z83" s="22">
        <f>IF(T83=0,0,X83/T83)</f>
        <v>-1.9372190954663624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/>
      <c r="E85" s="4"/>
      <c r="F85" s="12">
        <f>IF(D$12=0,0,D85/D$12)</f>
        <v>0</v>
      </c>
      <c r="G85" s="4"/>
      <c r="H85" s="4">
        <v>30859.329999999998</v>
      </c>
      <c r="I85" s="4"/>
      <c r="J85" s="12">
        <f>IF(H$12=0,0,H85/H$12)</f>
        <v>0.12396444159856541</v>
      </c>
      <c r="K85" s="4"/>
      <c r="L85" s="4">
        <f>+D85-H85</f>
        <v>-30859.329999999998</v>
      </c>
      <c r="M85" s="4"/>
      <c r="N85" s="12">
        <f>IF(H85=0,0,L85/H85)</f>
        <v>-1</v>
      </c>
      <c r="O85" s="10"/>
      <c r="P85" s="4">
        <v>0</v>
      </c>
      <c r="Q85" s="4"/>
      <c r="R85" s="12">
        <f>IF(P$12=0,0,P85/P$12)</f>
        <v>0</v>
      </c>
      <c r="S85" s="4"/>
      <c r="T85" s="4">
        <v>117433.06999999999</v>
      </c>
      <c r="U85" s="4"/>
      <c r="V85" s="12">
        <f>IF(T$12=0,0,T85/T$12)</f>
        <v>0.1058932302765962</v>
      </c>
      <c r="W85" s="4"/>
      <c r="X85" s="4">
        <f>+P85-T85</f>
        <v>-117433.06999999999</v>
      </c>
      <c r="Y85" s="4"/>
      <c r="Z85" s="12">
        <f>IF(T85=0,0,X85/T85)</f>
        <v>-1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4</v>
      </c>
      <c r="C87" s="28"/>
      <c r="D87" s="31">
        <f>+D83-D85</f>
        <v>-41541.9</v>
      </c>
      <c r="E87" s="14"/>
      <c r="F87" s="34">
        <f>IF(D$12=0,0,D87/D$12)</f>
        <v>0</v>
      </c>
      <c r="G87" s="14"/>
      <c r="H87" s="31">
        <f>+H83-H85</f>
        <v>31091.939999999977</v>
      </c>
      <c r="I87" s="14"/>
      <c r="J87" s="34">
        <f>IF(H$12=0,0,H87/H$12)</f>
        <v>0.12489885491085184</v>
      </c>
      <c r="K87" s="15"/>
      <c r="L87" s="31">
        <f>D87-H87</f>
        <v>-72633.839999999982</v>
      </c>
      <c r="M87" s="15"/>
      <c r="N87" s="34">
        <f>IF(H87=0,0,L87/H87)</f>
        <v>-2.3360986802367441</v>
      </c>
      <c r="O87" s="29"/>
      <c r="P87" s="31">
        <f>+P83-P85</f>
        <v>-211039.80000000002</v>
      </c>
      <c r="Q87" s="14"/>
      <c r="R87" s="34">
        <f>IF(P$12=0,0,P87/P$12)</f>
        <v>0</v>
      </c>
      <c r="S87" s="14"/>
      <c r="T87" s="31">
        <f>+T83-T85</f>
        <v>107743.52000000009</v>
      </c>
      <c r="U87" s="14"/>
      <c r="V87" s="34">
        <f>IF(T$12=0,0,T87/T$12)</f>
        <v>9.7155846936225532E-2</v>
      </c>
      <c r="W87" s="15"/>
      <c r="X87" s="31">
        <f>P87-T87</f>
        <v>-318783.32000000012</v>
      </c>
      <c r="Y87" s="15"/>
      <c r="Z87" s="34">
        <f>IF(T87=0,0,X87/T87)</f>
        <v>-2.9587238285884836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5</v>
      </c>
      <c r="C90" s="28"/>
      <c r="D90" s="32">
        <f>SUM(D87:D89)</f>
        <v>-41541.9</v>
      </c>
      <c r="E90" s="14"/>
      <c r="F90" s="30">
        <f>IF(D$12=0,0,D90/D$12)</f>
        <v>0</v>
      </c>
      <c r="G90" s="14"/>
      <c r="H90" s="32">
        <f>SUM(H87:H89)</f>
        <v>31091.939999999977</v>
      </c>
      <c r="I90" s="14"/>
      <c r="J90" s="30">
        <f>IF(H$12=0,0,H90/H$12)</f>
        <v>0.12489885491085184</v>
      </c>
      <c r="K90" s="15"/>
      <c r="L90" s="32">
        <f>+D90-H90</f>
        <v>-72633.839999999982</v>
      </c>
      <c r="M90" s="15"/>
      <c r="N90" s="30">
        <f>IF(H90=0,0,L90/H90)</f>
        <v>-2.3360986802367441</v>
      </c>
      <c r="O90" s="29"/>
      <c r="P90" s="32">
        <f>SUM(P87:P89)</f>
        <v>-211039.80000000002</v>
      </c>
      <c r="Q90" s="14"/>
      <c r="R90" s="30">
        <f>IF(P$12=0,0,P90/P$12)</f>
        <v>0</v>
      </c>
      <c r="S90" s="14"/>
      <c r="T90" s="32">
        <f>SUM(T87:T89)</f>
        <v>107743.52000000009</v>
      </c>
      <c r="U90" s="14"/>
      <c r="V90" s="30">
        <f>IF(T$12=0,0,T90/T$12)</f>
        <v>9.7155846936225532E-2</v>
      </c>
      <c r="W90" s="15"/>
      <c r="X90" s="32">
        <f>+P90-T90</f>
        <v>-318783.32000000012</v>
      </c>
      <c r="Y90" s="15"/>
      <c r="Z90" s="30">
        <f>IF(T90=0,0,X90/T90)</f>
        <v>-2.9587238285884836</v>
      </c>
    </row>
    <row r="91" spans="1:26" ht="15.75" thickTop="1" x14ac:dyDescent="0.25">
      <c r="A91" s="9"/>
      <c r="C91" s="9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54">
        <v>44174.68628603009</v>
      </c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56" t="s">
        <v>313</v>
      </c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61"/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7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296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52842</v>
      </c>
      <c r="E12" s="4"/>
      <c r="F12" s="12"/>
      <c r="G12" s="4"/>
      <c r="H12" s="4">
        <f>SUM(OSRRefH13x_0)</f>
        <v>22315</v>
      </c>
      <c r="I12" s="4"/>
      <c r="J12" s="12"/>
      <c r="K12" s="4"/>
      <c r="L12" s="4">
        <f t="shared" ref="L12:L13" si="0">+D12-H12</f>
        <v>30527</v>
      </c>
      <c r="M12" s="4"/>
      <c r="N12" s="12">
        <f t="shared" ref="N12:N13" si="1">IF(H12=0,0,L12/H12)</f>
        <v>1.3680035850324894</v>
      </c>
      <c r="O12" s="10"/>
      <c r="P12" s="4">
        <f>SUM(OSRRefP13x_0)</f>
        <v>322447</v>
      </c>
      <c r="Q12" s="4"/>
      <c r="R12" s="12"/>
      <c r="S12" s="4"/>
      <c r="T12" s="4">
        <f>SUM(OSRRefT13x_0)</f>
        <v>145451</v>
      </c>
      <c r="U12" s="4"/>
      <c r="V12" s="12"/>
      <c r="W12" s="4"/>
      <c r="X12" s="4">
        <f t="shared" ref="X12:X13" si="2">+P12-T12</f>
        <v>176996</v>
      </c>
      <c r="Y12" s="4"/>
      <c r="Z12" s="12">
        <f t="shared" ref="Z12:Z13" si="3">IF(T12=0,0,X12/T12)</f>
        <v>1.2168771613808087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--52842</f>
        <v>52842</v>
      </c>
      <c r="E13" s="2"/>
      <c r="F13" s="19"/>
      <c r="G13" s="2"/>
      <c r="H13" s="2">
        <f>--22315</f>
        <v>22315</v>
      </c>
      <c r="I13" s="2"/>
      <c r="J13" s="19"/>
      <c r="K13" s="2"/>
      <c r="L13" s="2">
        <f t="shared" si="0"/>
        <v>30527</v>
      </c>
      <c r="M13" s="2"/>
      <c r="N13" s="19">
        <f t="shared" si="1"/>
        <v>1.3680035850324894</v>
      </c>
      <c r="O13" s="11"/>
      <c r="P13" s="2">
        <f>--322447</f>
        <v>322447</v>
      </c>
      <c r="Q13" s="2"/>
      <c r="R13" s="19"/>
      <c r="S13" s="2"/>
      <c r="T13" s="2">
        <f>--145451</f>
        <v>145451</v>
      </c>
      <c r="U13" s="2"/>
      <c r="V13" s="19"/>
      <c r="W13" s="2"/>
      <c r="X13" s="2">
        <f t="shared" si="2"/>
        <v>176996</v>
      </c>
      <c r="Y13" s="2"/>
      <c r="Z13" s="19">
        <f t="shared" si="3"/>
        <v>1.2168771613808087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0">
        <f>D12-D15</f>
        <v>52842</v>
      </c>
      <c r="E17" s="14"/>
      <c r="F17" s="22">
        <f>IF(D$12=0,0,D17/D$12)</f>
        <v>1</v>
      </c>
      <c r="G17" s="14"/>
      <c r="H17" s="20">
        <f>H12-H15</f>
        <v>22315</v>
      </c>
      <c r="I17" s="14"/>
      <c r="J17" s="22">
        <f>IF(H$12=0,0,H17/H$12)</f>
        <v>1</v>
      </c>
      <c r="K17" s="15"/>
      <c r="L17" s="20">
        <f>+D17-H17</f>
        <v>30527</v>
      </c>
      <c r="M17" s="15"/>
      <c r="N17" s="22">
        <f>IF(H17=0,0,L17/H17)</f>
        <v>1.3680035850324894</v>
      </c>
      <c r="O17" s="29"/>
      <c r="P17" s="20">
        <f>P12-P15</f>
        <v>322447</v>
      </c>
      <c r="Q17" s="14"/>
      <c r="R17" s="22">
        <f>IF(P$12=0,0,P17/P$12)</f>
        <v>1</v>
      </c>
      <c r="S17" s="14"/>
      <c r="T17" s="20">
        <f>T12-T15</f>
        <v>145451</v>
      </c>
      <c r="U17" s="14"/>
      <c r="V17" s="22">
        <f>IF(T$12=0,0,T17/T$12)</f>
        <v>1</v>
      </c>
      <c r="W17" s="15"/>
      <c r="X17" s="20">
        <f>+P17-T17</f>
        <v>176996</v>
      </c>
      <c r="Y17" s="15"/>
      <c r="Z17" s="22">
        <f>IF(T17=0,0,X17/T17)</f>
        <v>1.2168771613808087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1">
        <f>SUM(OSRRefD22x_0)</f>
        <v>16452.790000000005</v>
      </c>
      <c r="E19" s="21"/>
      <c r="F19" s="35">
        <f t="shared" ref="F19:F29" si="4">IF(D$12=0,0,D19/D$12)</f>
        <v>0.31135819991673297</v>
      </c>
      <c r="G19" s="21"/>
      <c r="H19" s="21">
        <f>SUM(OSRRefH22x_0)</f>
        <v>22180.92</v>
      </c>
      <c r="I19" s="21"/>
      <c r="J19" s="35">
        <f t="shared" ref="J19:J29" si="5">IF(H$12=0,0,H19/H$12)</f>
        <v>0.99399148554783767</v>
      </c>
      <c r="K19" s="4"/>
      <c r="L19" s="21">
        <f t="shared" ref="L19:L29" si="6">+D19-H19</f>
        <v>-5728.1299999999937</v>
      </c>
      <c r="M19" s="4"/>
      <c r="N19" s="35">
        <f t="shared" ref="N19:N29" si="7">IF(H19=0,0,L19/H19)</f>
        <v>-0.25824582569163018</v>
      </c>
      <c r="O19" s="10"/>
      <c r="P19" s="21">
        <f>SUM(OSRRefP22x_0)</f>
        <v>265164.77</v>
      </c>
      <c r="Q19" s="21"/>
      <c r="R19" s="35">
        <f t="shared" ref="R19:R29" si="8">IF(P$12=0,0,P19/P$12)</f>
        <v>0.82235148722115581</v>
      </c>
      <c r="S19" s="21"/>
      <c r="T19" s="21">
        <f>SUM(OSRRefT22x_0)</f>
        <v>145240.64000000001</v>
      </c>
      <c r="U19" s="21"/>
      <c r="V19" s="35">
        <f t="shared" ref="V19:V29" si="9">IF(T$12=0,0,T19/T$12)</f>
        <v>0.99855373974740647</v>
      </c>
      <c r="W19" s="4"/>
      <c r="X19" s="21">
        <f t="shared" ref="X19:X29" si="10">+P19-T19</f>
        <v>119924.13</v>
      </c>
      <c r="Y19" s="4"/>
      <c r="Z19" s="35">
        <f t="shared" ref="Z19:Z29" si="11">IF(T19=0,0,X19/T19)</f>
        <v>0.82569265737193109</v>
      </c>
    </row>
    <row r="20" spans="1:26" s="26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4514.01</v>
      </c>
      <c r="E20" s="1"/>
      <c r="F20" s="5">
        <f t="shared" si="4"/>
        <v>8.5424662200522319E-2</v>
      </c>
      <c r="G20" s="1"/>
      <c r="H20" s="1">
        <f>SUM(OSRRefH22_0x_0)</f>
        <v>3933.82</v>
      </c>
      <c r="I20" s="1"/>
      <c r="J20" s="5">
        <f t="shared" si="5"/>
        <v>0.17628590634102623</v>
      </c>
      <c r="K20" s="1"/>
      <c r="L20" s="1">
        <f t="shared" si="6"/>
        <v>580.19000000000005</v>
      </c>
      <c r="M20" s="1"/>
      <c r="N20" s="5">
        <f t="shared" si="7"/>
        <v>0.14748768372726764</v>
      </c>
      <c r="O20" s="13"/>
      <c r="P20" s="1">
        <f>SUM(OSRRefP22_0x_0)</f>
        <v>21372.75</v>
      </c>
      <c r="Q20" s="1"/>
      <c r="R20" s="5">
        <f t="shared" si="8"/>
        <v>6.6282986041116834E-2</v>
      </c>
      <c r="S20" s="1"/>
      <c r="T20" s="1">
        <f>SUM(OSRRefT22_0x_0)</f>
        <v>23183.78</v>
      </c>
      <c r="U20" s="1"/>
      <c r="V20" s="5">
        <f t="shared" si="9"/>
        <v>0.15939237268908429</v>
      </c>
      <c r="W20" s="1"/>
      <c r="X20" s="1">
        <f t="shared" si="10"/>
        <v>-1811.0299999999988</v>
      </c>
      <c r="Y20" s="1"/>
      <c r="Z20" s="5">
        <f t="shared" si="11"/>
        <v>-7.8116251965813982E-2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6">
        <v>830.29</v>
      </c>
      <c r="E21" s="2"/>
      <c r="F21" s="7">
        <f t="shared" si="4"/>
        <v>1.5712690662730403E-2</v>
      </c>
      <c r="G21" s="2"/>
      <c r="H21" s="6">
        <v>933.75</v>
      </c>
      <c r="I21" s="2"/>
      <c r="J21" s="7">
        <f t="shared" si="5"/>
        <v>4.184405108671297E-2</v>
      </c>
      <c r="K21" s="2"/>
      <c r="L21" s="6">
        <f t="shared" si="6"/>
        <v>-103.46000000000004</v>
      </c>
      <c r="M21" s="2"/>
      <c r="N21" s="7">
        <f t="shared" si="7"/>
        <v>-0.11080053547523432</v>
      </c>
      <c r="O21" s="11"/>
      <c r="P21" s="6">
        <v>5351.93</v>
      </c>
      <c r="Q21" s="2"/>
      <c r="R21" s="7">
        <f t="shared" si="8"/>
        <v>1.6597859493188028E-2</v>
      </c>
      <c r="S21" s="2"/>
      <c r="T21" s="6">
        <v>5889.58</v>
      </c>
      <c r="U21" s="2"/>
      <c r="V21" s="7">
        <f t="shared" si="9"/>
        <v>4.0491849488831291E-2</v>
      </c>
      <c r="W21" s="2"/>
      <c r="X21" s="6">
        <f t="shared" si="10"/>
        <v>-537.64999999999964</v>
      </c>
      <c r="Y21" s="2"/>
      <c r="Z21" s="7">
        <f t="shared" si="11"/>
        <v>-9.1288343141616143E-2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6">
        <v>171.99</v>
      </c>
      <c r="E22" s="2"/>
      <c r="F22" s="7">
        <f t="shared" si="4"/>
        <v>3.2547973203133872E-3</v>
      </c>
      <c r="G22" s="2"/>
      <c r="H22" s="6">
        <v>53.23</v>
      </c>
      <c r="I22" s="2"/>
      <c r="J22" s="7">
        <f t="shared" si="5"/>
        <v>2.3853909926058701E-3</v>
      </c>
      <c r="K22" s="2"/>
      <c r="L22" s="6">
        <f t="shared" si="6"/>
        <v>118.76000000000002</v>
      </c>
      <c r="M22" s="2"/>
      <c r="N22" s="7">
        <f t="shared" si="7"/>
        <v>2.231072703362766</v>
      </c>
      <c r="O22" s="11"/>
      <c r="P22" s="6">
        <v>495.53</v>
      </c>
      <c r="Q22" s="2"/>
      <c r="R22" s="7">
        <f t="shared" si="8"/>
        <v>1.5367796878246658E-3</v>
      </c>
      <c r="S22" s="2"/>
      <c r="T22" s="6">
        <v>216.64</v>
      </c>
      <c r="U22" s="2"/>
      <c r="V22" s="7">
        <f t="shared" si="9"/>
        <v>1.4894363050099344E-3</v>
      </c>
      <c r="W22" s="2"/>
      <c r="X22" s="6">
        <f t="shared" si="10"/>
        <v>278.89</v>
      </c>
      <c r="Y22" s="2"/>
      <c r="Z22" s="7">
        <f t="shared" si="11"/>
        <v>1.2873430576070901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6">
        <v>1230.45</v>
      </c>
      <c r="E23" s="2"/>
      <c r="F23" s="7">
        <f t="shared" si="4"/>
        <v>2.3285454751901895E-2</v>
      </c>
      <c r="G23" s="2"/>
      <c r="H23" s="6">
        <v>1243.31</v>
      </c>
      <c r="I23" s="2"/>
      <c r="J23" s="7">
        <f t="shared" si="5"/>
        <v>5.5716334304279629E-2</v>
      </c>
      <c r="K23" s="2"/>
      <c r="L23" s="6">
        <f t="shared" si="6"/>
        <v>-12.8599999999999</v>
      </c>
      <c r="M23" s="2"/>
      <c r="N23" s="7">
        <f t="shared" si="7"/>
        <v>-1.0343357650143489E-2</v>
      </c>
      <c r="O23" s="11"/>
      <c r="P23" s="6">
        <v>6172.55</v>
      </c>
      <c r="Q23" s="2"/>
      <c r="R23" s="7">
        <f t="shared" si="8"/>
        <v>1.9142835876903803E-2</v>
      </c>
      <c r="S23" s="2"/>
      <c r="T23" s="6">
        <v>6216.55</v>
      </c>
      <c r="U23" s="2"/>
      <c r="V23" s="7">
        <f t="shared" si="9"/>
        <v>4.2739823033186436E-2</v>
      </c>
      <c r="W23" s="2"/>
      <c r="X23" s="6">
        <f t="shared" si="10"/>
        <v>-44</v>
      </c>
      <c r="Y23" s="2"/>
      <c r="Z23" s="7">
        <f t="shared" si="11"/>
        <v>-7.0778808181386783E-3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6">
        <v>68.3</v>
      </c>
      <c r="E24" s="2"/>
      <c r="F24" s="7">
        <f t="shared" si="4"/>
        <v>1.2925324552439347E-3</v>
      </c>
      <c r="G24" s="2"/>
      <c r="H24" s="6">
        <v>40.71</v>
      </c>
      <c r="I24" s="2"/>
      <c r="J24" s="7">
        <f t="shared" si="5"/>
        <v>1.8243334080215103E-3</v>
      </c>
      <c r="K24" s="2"/>
      <c r="L24" s="6">
        <f t="shared" si="6"/>
        <v>27.589999999999996</v>
      </c>
      <c r="M24" s="2"/>
      <c r="N24" s="7">
        <f t="shared" si="7"/>
        <v>0.67772046180299672</v>
      </c>
      <c r="O24" s="11"/>
      <c r="P24" s="6">
        <v>214.6</v>
      </c>
      <c r="Q24" s="2"/>
      <c r="R24" s="7">
        <f t="shared" si="8"/>
        <v>6.6553573145354116E-4</v>
      </c>
      <c r="S24" s="2"/>
      <c r="T24" s="6">
        <v>234.92</v>
      </c>
      <c r="U24" s="2"/>
      <c r="V24" s="7">
        <f t="shared" si="9"/>
        <v>1.61511436841273E-3</v>
      </c>
      <c r="W24" s="2"/>
      <c r="X24" s="6">
        <f t="shared" si="10"/>
        <v>-20.319999999999993</v>
      </c>
      <c r="Y24" s="2"/>
      <c r="Z24" s="7">
        <f t="shared" si="11"/>
        <v>-8.6497531074408288E-2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6">
        <v>1318.86</v>
      </c>
      <c r="E25" s="2"/>
      <c r="F25" s="7">
        <f t="shared" si="4"/>
        <v>2.4958555694334049E-2</v>
      </c>
      <c r="G25" s="2"/>
      <c r="H25" s="6">
        <v>639.47</v>
      </c>
      <c r="I25" s="2"/>
      <c r="J25" s="7">
        <f t="shared" si="5"/>
        <v>2.8656509074613489E-2</v>
      </c>
      <c r="K25" s="2"/>
      <c r="L25" s="6">
        <f t="shared" si="6"/>
        <v>679.38999999999987</v>
      </c>
      <c r="M25" s="2"/>
      <c r="N25" s="7">
        <f t="shared" si="7"/>
        <v>1.0624266971085428</v>
      </c>
      <c r="O25" s="11"/>
      <c r="P25" s="6">
        <v>4179.3500000000004</v>
      </c>
      <c r="Q25" s="2"/>
      <c r="R25" s="7">
        <f t="shared" si="8"/>
        <v>1.296135488933065E-2</v>
      </c>
      <c r="S25" s="2"/>
      <c r="T25" s="6">
        <v>3967.77</v>
      </c>
      <c r="U25" s="2"/>
      <c r="V25" s="7">
        <f t="shared" si="9"/>
        <v>2.7279083677664642E-2</v>
      </c>
      <c r="W25" s="2"/>
      <c r="X25" s="6">
        <f t="shared" si="10"/>
        <v>211.58000000000038</v>
      </c>
      <c r="Y25" s="2"/>
      <c r="Z25" s="7">
        <f t="shared" si="11"/>
        <v>5.3324663475957622E-2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6">
        <v>74.84</v>
      </c>
      <c r="E26" s="2"/>
      <c r="F26" s="7">
        <f t="shared" si="4"/>
        <v>1.4162976420271755E-3</v>
      </c>
      <c r="G26" s="2"/>
      <c r="H26" s="6"/>
      <c r="I26" s="2"/>
      <c r="J26" s="7">
        <f t="shared" si="5"/>
        <v>0</v>
      </c>
      <c r="K26" s="2"/>
      <c r="L26" s="6">
        <f t="shared" si="6"/>
        <v>74.84</v>
      </c>
      <c r="M26" s="2"/>
      <c r="N26" s="7">
        <f t="shared" si="7"/>
        <v>0</v>
      </c>
      <c r="O26" s="11"/>
      <c r="P26" s="6">
        <v>452.74</v>
      </c>
      <c r="Q26" s="2"/>
      <c r="R26" s="7">
        <f t="shared" si="8"/>
        <v>1.404075708566059E-3</v>
      </c>
      <c r="S26" s="2"/>
      <c r="T26" s="6"/>
      <c r="U26" s="2"/>
      <c r="V26" s="7">
        <f t="shared" si="9"/>
        <v>0</v>
      </c>
      <c r="W26" s="2"/>
      <c r="X26" s="6">
        <f t="shared" si="10"/>
        <v>452.74</v>
      </c>
      <c r="Y26" s="2"/>
      <c r="Z26" s="7">
        <f t="shared" si="11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520.02</v>
      </c>
      <c r="E27" s="2"/>
      <c r="F27" s="7">
        <f t="shared" si="4"/>
        <v>9.841035539911433E-3</v>
      </c>
      <c r="G27" s="2"/>
      <c r="H27" s="6">
        <v>577.95000000000005</v>
      </c>
      <c r="I27" s="2"/>
      <c r="J27" s="7">
        <f t="shared" si="5"/>
        <v>2.5899619090298007E-2</v>
      </c>
      <c r="K27" s="2"/>
      <c r="L27" s="6">
        <f t="shared" si="6"/>
        <v>-57.930000000000064</v>
      </c>
      <c r="M27" s="2"/>
      <c r="N27" s="7">
        <f t="shared" si="7"/>
        <v>-0.10023358422008835</v>
      </c>
      <c r="O27" s="11"/>
      <c r="P27" s="6">
        <v>2860.11</v>
      </c>
      <c r="Q27" s="2"/>
      <c r="R27" s="7">
        <f t="shared" si="8"/>
        <v>8.8700158475656463E-3</v>
      </c>
      <c r="S27" s="2"/>
      <c r="T27" s="6">
        <v>3914.94</v>
      </c>
      <c r="U27" s="2"/>
      <c r="V27" s="7">
        <f t="shared" si="9"/>
        <v>2.6915868574296498E-2</v>
      </c>
      <c r="W27" s="2"/>
      <c r="X27" s="6">
        <f t="shared" si="10"/>
        <v>-1054.83</v>
      </c>
      <c r="Y27" s="2"/>
      <c r="Z27" s="7">
        <f t="shared" si="11"/>
        <v>-0.26943707949547119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299.26</v>
      </c>
      <c r="E28" s="2"/>
      <c r="F28" s="7">
        <f t="shared" si="4"/>
        <v>5.6632981340600276E-3</v>
      </c>
      <c r="G28" s="2"/>
      <c r="H28" s="6">
        <v>288.57</v>
      </c>
      <c r="I28" s="2"/>
      <c r="J28" s="7">
        <f t="shared" si="5"/>
        <v>1.2931660318171632E-2</v>
      </c>
      <c r="K28" s="2"/>
      <c r="L28" s="6">
        <f t="shared" si="6"/>
        <v>10.689999999999998</v>
      </c>
      <c r="M28" s="2"/>
      <c r="N28" s="7">
        <f t="shared" si="7"/>
        <v>3.7044737845236854E-2</v>
      </c>
      <c r="O28" s="11"/>
      <c r="P28" s="6">
        <v>1645.94</v>
      </c>
      <c r="Q28" s="2"/>
      <c r="R28" s="7">
        <f t="shared" si="8"/>
        <v>5.1045288062844434E-3</v>
      </c>
      <c r="S28" s="2"/>
      <c r="T28" s="6">
        <v>1977.13</v>
      </c>
      <c r="U28" s="2"/>
      <c r="V28" s="7">
        <f t="shared" si="9"/>
        <v>1.3593100081814495E-2</v>
      </c>
      <c r="W28" s="2"/>
      <c r="X28" s="6">
        <f t="shared" si="10"/>
        <v>-331.19000000000005</v>
      </c>
      <c r="Y28" s="2"/>
      <c r="Z28" s="7">
        <f t="shared" si="11"/>
        <v>-0.16751048236585356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/>
      <c r="E29" s="2"/>
      <c r="F29" s="7">
        <f t="shared" si="4"/>
        <v>0</v>
      </c>
      <c r="G29" s="2"/>
      <c r="H29" s="6">
        <v>156.83000000000001</v>
      </c>
      <c r="I29" s="2"/>
      <c r="J29" s="7">
        <f t="shared" si="5"/>
        <v>7.028008066323102E-3</v>
      </c>
      <c r="K29" s="2"/>
      <c r="L29" s="6">
        <f t="shared" si="6"/>
        <v>-156.83000000000001</v>
      </c>
      <c r="M29" s="2"/>
      <c r="N29" s="7">
        <f t="shared" si="7"/>
        <v>-1</v>
      </c>
      <c r="O29" s="11"/>
      <c r="P29" s="6"/>
      <c r="Q29" s="2"/>
      <c r="R29" s="7">
        <f t="shared" si="8"/>
        <v>0</v>
      </c>
      <c r="S29" s="2"/>
      <c r="T29" s="6">
        <v>766.25</v>
      </c>
      <c r="U29" s="2"/>
      <c r="V29" s="7">
        <f t="shared" si="9"/>
        <v>5.2680971598682716E-3</v>
      </c>
      <c r="W29" s="2"/>
      <c r="X29" s="6">
        <f t="shared" si="10"/>
        <v>-766.25</v>
      </c>
      <c r="Y29" s="2"/>
      <c r="Z29" s="7">
        <f t="shared" si="11"/>
        <v>-1</v>
      </c>
    </row>
    <row r="30" spans="1:26" s="26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10918.12</v>
      </c>
      <c r="E30" s="1"/>
      <c r="F30" s="5">
        <f t="shared" ref="F30:F35" si="12">IF(D$12=0,0,D30/D$12)</f>
        <v>0.20661822035502064</v>
      </c>
      <c r="G30" s="1"/>
      <c r="H30" s="1">
        <f>SUM(OSRRefH22_1x_0)</f>
        <v>14847.91</v>
      </c>
      <c r="I30" s="1"/>
      <c r="J30" s="5">
        <f t="shared" ref="J30:J35" si="13">IF(H$12=0,0,H30/H$12)</f>
        <v>0.66537799686309651</v>
      </c>
      <c r="K30" s="1"/>
      <c r="L30" s="1">
        <f t="shared" ref="L30:L35" si="14">+D30-H30</f>
        <v>-3929.7899999999991</v>
      </c>
      <c r="M30" s="1"/>
      <c r="N30" s="5">
        <f t="shared" ref="N30:N35" si="15">IF(H30=0,0,L30/H30)</f>
        <v>-0.26466957302408212</v>
      </c>
      <c r="O30" s="13"/>
      <c r="P30" s="1">
        <f>SUM(OSRRefP22_1x_0)</f>
        <v>72655.399999999994</v>
      </c>
      <c r="Q30" s="1"/>
      <c r="R30" s="5">
        <f t="shared" ref="R30:R35" si="16">IF(P$12=0,0,P30/P$12)</f>
        <v>0.22532509218569252</v>
      </c>
      <c r="S30" s="1"/>
      <c r="T30" s="1">
        <f>SUM(OSRRefT22_1x_0)</f>
        <v>87099.37000000001</v>
      </c>
      <c r="U30" s="1"/>
      <c r="V30" s="5">
        <f t="shared" ref="V30:V35" si="17">IF(T$12=0,0,T30/T$12)</f>
        <v>0.59882276505489829</v>
      </c>
      <c r="W30" s="1"/>
      <c r="X30" s="1">
        <f t="shared" ref="X30:X35" si="18">+P30-T30</f>
        <v>-14443.970000000016</v>
      </c>
      <c r="Y30" s="1"/>
      <c r="Z30" s="5">
        <f t="shared" ref="Z30:Z35" si="19">IF(T30=0,0,X30/T30)</f>
        <v>-0.16583323162957453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>
        <v>3995.44</v>
      </c>
      <c r="E31" s="2"/>
      <c r="F31" s="7">
        <f t="shared" si="12"/>
        <v>7.5611066954316644E-2</v>
      </c>
      <c r="G31" s="2"/>
      <c r="H31" s="6"/>
      <c r="I31" s="2"/>
      <c r="J31" s="7">
        <f t="shared" si="13"/>
        <v>0</v>
      </c>
      <c r="K31" s="2"/>
      <c r="L31" s="6">
        <f t="shared" si="14"/>
        <v>3995.44</v>
      </c>
      <c r="M31" s="2"/>
      <c r="N31" s="7">
        <f t="shared" si="15"/>
        <v>0</v>
      </c>
      <c r="O31" s="11"/>
      <c r="P31" s="6">
        <v>21869.74</v>
      </c>
      <c r="Q31" s="2"/>
      <c r="R31" s="7">
        <f t="shared" si="16"/>
        <v>6.7824293604840491E-2</v>
      </c>
      <c r="S31" s="2"/>
      <c r="T31" s="6"/>
      <c r="U31" s="2"/>
      <c r="V31" s="7">
        <f t="shared" si="17"/>
        <v>0</v>
      </c>
      <c r="W31" s="2"/>
      <c r="X31" s="6">
        <f t="shared" si="18"/>
        <v>21869.74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>
        <v>1939.95</v>
      </c>
      <c r="E32" s="2"/>
      <c r="F32" s="7">
        <f t="shared" si="12"/>
        <v>3.6712274327239697E-2</v>
      </c>
      <c r="G32" s="2"/>
      <c r="H32" s="6">
        <v>5943.64</v>
      </c>
      <c r="I32" s="2"/>
      <c r="J32" s="7">
        <f t="shared" si="13"/>
        <v>0.26635178131301818</v>
      </c>
      <c r="K32" s="2"/>
      <c r="L32" s="6">
        <f t="shared" si="14"/>
        <v>-4003.6900000000005</v>
      </c>
      <c r="M32" s="2"/>
      <c r="N32" s="7">
        <f t="shared" si="15"/>
        <v>-0.67360910149336106</v>
      </c>
      <c r="O32" s="11"/>
      <c r="P32" s="6">
        <v>11753.84</v>
      </c>
      <c r="Q32" s="2"/>
      <c r="R32" s="7">
        <f t="shared" si="16"/>
        <v>3.6452006066113193E-2</v>
      </c>
      <c r="S32" s="2"/>
      <c r="T32" s="6">
        <v>29181.88</v>
      </c>
      <c r="U32" s="2"/>
      <c r="V32" s="7">
        <f t="shared" si="17"/>
        <v>0.200630315363937</v>
      </c>
      <c r="W32" s="2"/>
      <c r="X32" s="6">
        <f t="shared" si="18"/>
        <v>-17428.04</v>
      </c>
      <c r="Y32" s="2"/>
      <c r="Z32" s="7">
        <f t="shared" si="19"/>
        <v>-0.59722128937546182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6">
        <v>3993.44</v>
      </c>
      <c r="E33" s="2"/>
      <c r="F33" s="7">
        <f t="shared" si="12"/>
        <v>7.5573218273343179E-2</v>
      </c>
      <c r="G33" s="2"/>
      <c r="H33" s="6">
        <v>6413.45</v>
      </c>
      <c r="I33" s="2"/>
      <c r="J33" s="7">
        <f t="shared" si="13"/>
        <v>0.28740533273582791</v>
      </c>
      <c r="K33" s="2"/>
      <c r="L33" s="6">
        <f t="shared" si="14"/>
        <v>-2420.0099999999998</v>
      </c>
      <c r="M33" s="2"/>
      <c r="N33" s="7">
        <f t="shared" si="15"/>
        <v>-0.37733357241422322</v>
      </c>
      <c r="O33" s="11"/>
      <c r="P33" s="6">
        <v>33346.76</v>
      </c>
      <c r="Q33" s="2"/>
      <c r="R33" s="7">
        <f t="shared" si="16"/>
        <v>0.10341780199536668</v>
      </c>
      <c r="S33" s="2"/>
      <c r="T33" s="6">
        <v>39096.04</v>
      </c>
      <c r="U33" s="2"/>
      <c r="V33" s="7">
        <f t="shared" si="17"/>
        <v>0.26879182680077829</v>
      </c>
      <c r="W33" s="2"/>
      <c r="X33" s="6">
        <f t="shared" si="18"/>
        <v>-5749.2799999999988</v>
      </c>
      <c r="Y33" s="2"/>
      <c r="Z33" s="7">
        <f t="shared" si="19"/>
        <v>-0.14705530278769918</v>
      </c>
    </row>
    <row r="34" spans="1:26" s="24" customFormat="1" hidden="1" outlineLevel="2" x14ac:dyDescent="0.25">
      <c r="A34" s="25"/>
      <c r="B34" s="11" t="str">
        <f>CONCATENATE("          ", "6007", " - ", "STUDENT HOURLY")</f>
        <v xml:space="preserve">          6007 - STUDENT HOURLY</v>
      </c>
      <c r="C34" s="11"/>
      <c r="D34" s="6">
        <v>504.75</v>
      </c>
      <c r="E34" s="2"/>
      <c r="F34" s="7">
        <f t="shared" si="12"/>
        <v>9.5520608606790049E-3</v>
      </c>
      <c r="G34" s="2"/>
      <c r="H34" s="6">
        <v>1780</v>
      </c>
      <c r="I34" s="2"/>
      <c r="J34" s="7">
        <f t="shared" si="13"/>
        <v>7.9766972888191803E-2</v>
      </c>
      <c r="K34" s="2"/>
      <c r="L34" s="6">
        <f t="shared" si="14"/>
        <v>-1275.25</v>
      </c>
      <c r="M34" s="2"/>
      <c r="N34" s="7">
        <f t="shared" si="15"/>
        <v>-0.71643258426966294</v>
      </c>
      <c r="O34" s="11"/>
      <c r="P34" s="6">
        <v>3315.98</v>
      </c>
      <c r="Q34" s="2"/>
      <c r="R34" s="7">
        <f t="shared" si="16"/>
        <v>1.0283798577750762E-2</v>
      </c>
      <c r="S34" s="2"/>
      <c r="T34" s="6">
        <v>15047.430000000002</v>
      </c>
      <c r="U34" s="2"/>
      <c r="V34" s="7">
        <f t="shared" si="17"/>
        <v>0.10345360293157148</v>
      </c>
      <c r="W34" s="2"/>
      <c r="X34" s="6">
        <f t="shared" si="18"/>
        <v>-11731.450000000003</v>
      </c>
      <c r="Y34" s="2"/>
      <c r="Z34" s="7">
        <f t="shared" si="19"/>
        <v>-0.77963147195235338</v>
      </c>
    </row>
    <row r="35" spans="1:26" s="24" customFormat="1" hidden="1" outlineLevel="2" x14ac:dyDescent="0.25">
      <c r="A35" s="25"/>
      <c r="B35" s="11" t="str">
        <f>CONCATENATE("          ", "6008", " - ", "STUDENT HOURLY-FICA EXEMPT")</f>
        <v xml:space="preserve">          6008 - STUDENT HOURLY-FICA EXEMPT</v>
      </c>
      <c r="C35" s="11"/>
      <c r="D35" s="6">
        <v>484.54</v>
      </c>
      <c r="E35" s="2"/>
      <c r="F35" s="7">
        <f t="shared" si="12"/>
        <v>9.1695999394421114E-3</v>
      </c>
      <c r="G35" s="2"/>
      <c r="H35" s="6">
        <v>710.82</v>
      </c>
      <c r="I35" s="2"/>
      <c r="J35" s="7">
        <f t="shared" si="13"/>
        <v>3.1853909926058709E-2</v>
      </c>
      <c r="K35" s="2"/>
      <c r="L35" s="6">
        <f t="shared" si="14"/>
        <v>-226.28000000000003</v>
      </c>
      <c r="M35" s="2"/>
      <c r="N35" s="7">
        <f t="shared" si="15"/>
        <v>-0.31833656903294788</v>
      </c>
      <c r="O35" s="11"/>
      <c r="P35" s="6">
        <v>2369.08</v>
      </c>
      <c r="Q35" s="2"/>
      <c r="R35" s="7">
        <f t="shared" si="16"/>
        <v>7.3471919416214131E-3</v>
      </c>
      <c r="S35" s="2"/>
      <c r="T35" s="6">
        <v>3774.02</v>
      </c>
      <c r="U35" s="2"/>
      <c r="V35" s="7">
        <f t="shared" si="17"/>
        <v>2.5947019958611491E-2</v>
      </c>
      <c r="W35" s="2"/>
      <c r="X35" s="6">
        <f t="shared" si="18"/>
        <v>-1404.94</v>
      </c>
      <c r="Y35" s="2"/>
      <c r="Z35" s="7">
        <f t="shared" si="19"/>
        <v>-0.3722661777097101</v>
      </c>
    </row>
    <row r="36" spans="1:26" s="26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0</v>
      </c>
      <c r="I36" s="1"/>
      <c r="J36" s="5">
        <f t="shared" ref="J36:J44" si="21">IF(H$12=0,0,H36/H$12)</f>
        <v>0</v>
      </c>
      <c r="K36" s="1"/>
      <c r="L36" s="1">
        <f t="shared" ref="L36:L44" si="22">+D36-H36</f>
        <v>0</v>
      </c>
      <c r="M36" s="1"/>
      <c r="N36" s="5">
        <f t="shared" ref="N36:N44" si="23">IF(H36=0,0,L36/H36)</f>
        <v>0</v>
      </c>
      <c r="O36" s="13"/>
      <c r="P36" s="1">
        <f>SUM(OSRRefP22_2x_0)</f>
        <v>0</v>
      </c>
      <c r="Q36" s="1"/>
      <c r="R36" s="5">
        <f t="shared" ref="R36:R44" si="24">IF(P$12=0,0,P36/P$12)</f>
        <v>0</v>
      </c>
      <c r="S36" s="1"/>
      <c r="T36" s="1">
        <f>SUM(OSRRefT22_2x_0)</f>
        <v>106.77</v>
      </c>
      <c r="U36" s="1"/>
      <c r="V36" s="5">
        <f t="shared" ref="V36:V44" si="25">IF(T$12=0,0,T36/T$12)</f>
        <v>7.340616427525421E-4</v>
      </c>
      <c r="W36" s="1"/>
      <c r="X36" s="1">
        <f t="shared" ref="X36:X44" si="26">+P36-T36</f>
        <v>-106.77</v>
      </c>
      <c r="Y36" s="1"/>
      <c r="Z36" s="5">
        <f t="shared" ref="Z36:Z44" si="27">IF(T36=0,0,X36/T36)</f>
        <v>-1</v>
      </c>
    </row>
    <row r="37" spans="1:26" s="24" customFormat="1" hidden="1" outlineLevel="2" x14ac:dyDescent="0.25">
      <c r="A37" s="25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0"/>
        <v>0</v>
      </c>
      <c r="G37" s="2"/>
      <c r="H37" s="6"/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106.77</v>
      </c>
      <c r="U37" s="2"/>
      <c r="V37" s="7">
        <f t="shared" si="25"/>
        <v>7.340616427525421E-4</v>
      </c>
      <c r="W37" s="2"/>
      <c r="X37" s="6">
        <f t="shared" si="26"/>
        <v>-106.77</v>
      </c>
      <c r="Y37" s="2"/>
      <c r="Z37" s="7">
        <f t="shared" si="27"/>
        <v>-1</v>
      </c>
    </row>
    <row r="38" spans="1:26" s="26" customFormat="1" outlineLevel="1" collapsed="1" x14ac:dyDescent="0.25">
      <c r="A38" s="27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54.7</v>
      </c>
      <c r="E38" s="1"/>
      <c r="F38" s="5">
        <f t="shared" si="20"/>
        <v>1.0351614246243519E-3</v>
      </c>
      <c r="G38" s="1"/>
      <c r="H38" s="1">
        <f>SUM(OSRRefH22_3x_0)</f>
        <v>2341.1</v>
      </c>
      <c r="I38" s="1"/>
      <c r="J38" s="5">
        <f t="shared" si="21"/>
        <v>0.10491149451041899</v>
      </c>
      <c r="K38" s="1"/>
      <c r="L38" s="1">
        <f t="shared" si="22"/>
        <v>-2286.4</v>
      </c>
      <c r="M38" s="1"/>
      <c r="N38" s="5">
        <f t="shared" si="23"/>
        <v>-0.97663491521079837</v>
      </c>
      <c r="O38" s="13"/>
      <c r="P38" s="1">
        <f>SUM(OSRRefP22_3x_0)</f>
        <v>574.16999999999996</v>
      </c>
      <c r="Q38" s="1"/>
      <c r="R38" s="5">
        <f t="shared" si="24"/>
        <v>1.7806647293973892E-3</v>
      </c>
      <c r="S38" s="1"/>
      <c r="T38" s="1">
        <f>SUM(OSRRefT22_3x_0)</f>
        <v>10857.79</v>
      </c>
      <c r="U38" s="1"/>
      <c r="V38" s="5">
        <f t="shared" si="25"/>
        <v>7.4649125822441931E-2</v>
      </c>
      <c r="W38" s="1"/>
      <c r="X38" s="1">
        <f t="shared" si="26"/>
        <v>-10283.620000000001</v>
      </c>
      <c r="Y38" s="1"/>
      <c r="Z38" s="5">
        <f t="shared" si="27"/>
        <v>-0.9471190730341994</v>
      </c>
    </row>
    <row r="39" spans="1:26" s="24" customFormat="1" hidden="1" outlineLevel="2" x14ac:dyDescent="0.25">
      <c r="A39" s="25"/>
      <c r="B39" s="11" t="str">
        <f>CONCATENATE("          ", "6381", " - ", "BANK/CREDIT CARD FEES")</f>
        <v xml:space="preserve">          6381 - BANK/CREDIT CARD FEES</v>
      </c>
      <c r="C39" s="11"/>
      <c r="D39" s="6">
        <v>54.7</v>
      </c>
      <c r="E39" s="2"/>
      <c r="F39" s="7">
        <f t="shared" si="20"/>
        <v>1.0351614246243519E-3</v>
      </c>
      <c r="G39" s="2"/>
      <c r="H39" s="6">
        <v>2341.1</v>
      </c>
      <c r="I39" s="2"/>
      <c r="J39" s="7">
        <f t="shared" si="21"/>
        <v>0.10491149451041899</v>
      </c>
      <c r="K39" s="2"/>
      <c r="L39" s="6">
        <f t="shared" si="22"/>
        <v>-2286.4</v>
      </c>
      <c r="M39" s="2"/>
      <c r="N39" s="7">
        <f t="shared" si="23"/>
        <v>-0.97663491521079837</v>
      </c>
      <c r="O39" s="11"/>
      <c r="P39" s="6">
        <v>574.16999999999996</v>
      </c>
      <c r="Q39" s="2"/>
      <c r="R39" s="7">
        <f t="shared" si="24"/>
        <v>1.7806647293973892E-3</v>
      </c>
      <c r="S39" s="2"/>
      <c r="T39" s="6">
        <v>10857.79</v>
      </c>
      <c r="U39" s="2"/>
      <c r="V39" s="7">
        <f t="shared" si="25"/>
        <v>7.4649125822441931E-2</v>
      </c>
      <c r="W39" s="2"/>
      <c r="X39" s="6">
        <f t="shared" si="26"/>
        <v>-10283.620000000001</v>
      </c>
      <c r="Y39" s="2"/>
      <c r="Z39" s="7">
        <f t="shared" si="27"/>
        <v>-0.9471190730341994</v>
      </c>
    </row>
    <row r="40" spans="1:26" s="26" customFormat="1" outlineLevel="1" collapsed="1" x14ac:dyDescent="0.25">
      <c r="A40" s="27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3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64.239999999999995</v>
      </c>
      <c r="U40" s="1"/>
      <c r="V40" s="5">
        <f t="shared" si="25"/>
        <v>4.4166076548115857E-4</v>
      </c>
      <c r="W40" s="1"/>
      <c r="X40" s="1">
        <f t="shared" si="26"/>
        <v>-64.239999999999995</v>
      </c>
      <c r="Y40" s="1"/>
      <c r="Z40" s="5">
        <f t="shared" si="27"/>
        <v>-1</v>
      </c>
    </row>
    <row r="41" spans="1:26" s="24" customFormat="1" hidden="1" outlineLevel="2" x14ac:dyDescent="0.25">
      <c r="A41" s="25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64.239999999999995</v>
      </c>
      <c r="U41" s="2"/>
      <c r="V41" s="7">
        <f t="shared" si="25"/>
        <v>4.4166076548115857E-4</v>
      </c>
      <c r="W41" s="2"/>
      <c r="X41" s="6">
        <f t="shared" si="26"/>
        <v>-64.239999999999995</v>
      </c>
      <c r="Y41" s="2"/>
      <c r="Z41" s="7">
        <f t="shared" si="27"/>
        <v>-1</v>
      </c>
    </row>
    <row r="42" spans="1:26" s="26" customFormat="1" outlineLevel="1" collapsed="1" x14ac:dyDescent="0.25">
      <c r="A42" s="27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3"/>
      <c r="P42" s="1">
        <f>SUM(OSRRefP22_5x_0)</f>
        <v>2.12</v>
      </c>
      <c r="Q42" s="1"/>
      <c r="R42" s="5">
        <f t="shared" si="24"/>
        <v>6.5747239081151328E-6</v>
      </c>
      <c r="S42" s="1"/>
      <c r="T42" s="1">
        <f>SUM(OSRRefT22_5x_0)</f>
        <v>0</v>
      </c>
      <c r="U42" s="1"/>
      <c r="V42" s="5">
        <f t="shared" si="25"/>
        <v>0</v>
      </c>
      <c r="W42" s="1"/>
      <c r="X42" s="1">
        <f t="shared" si="26"/>
        <v>2.12</v>
      </c>
      <c r="Y42" s="1"/>
      <c r="Z42" s="5">
        <f t="shared" si="27"/>
        <v>0</v>
      </c>
    </row>
    <row r="43" spans="1:26" s="24" customFormat="1" hidden="1" outlineLevel="2" x14ac:dyDescent="0.25">
      <c r="A43" s="25"/>
      <c r="B43" s="11" t="str">
        <f>CONCATENATE("          ", "6305", " - ", "FREIGHT OUT")</f>
        <v xml:space="preserve">          6305 - FREIGHT OUT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1.62</v>
      </c>
      <c r="Q43" s="2"/>
      <c r="R43" s="7">
        <f t="shared" si="24"/>
        <v>5.024081476955903E-6</v>
      </c>
      <c r="S43" s="2"/>
      <c r="T43" s="6"/>
      <c r="U43" s="2"/>
      <c r="V43" s="7">
        <f t="shared" si="25"/>
        <v>0</v>
      </c>
      <c r="W43" s="2"/>
      <c r="X43" s="6">
        <f t="shared" si="26"/>
        <v>1.62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20"/>
        <v>0</v>
      </c>
      <c r="G44" s="2"/>
      <c r="H44" s="6"/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>
        <v>0.5</v>
      </c>
      <c r="Q44" s="2"/>
      <c r="R44" s="7">
        <f t="shared" si="24"/>
        <v>1.5506424311592292E-6</v>
      </c>
      <c r="S44" s="2"/>
      <c r="T44" s="6"/>
      <c r="U44" s="2"/>
      <c r="V44" s="7">
        <f t="shared" si="25"/>
        <v>0</v>
      </c>
      <c r="W44" s="2"/>
      <c r="X44" s="6">
        <f t="shared" si="26"/>
        <v>0.5</v>
      </c>
      <c r="Y44" s="2"/>
      <c r="Z44" s="7">
        <f t="shared" si="27"/>
        <v>0</v>
      </c>
    </row>
    <row r="45" spans="1:26" s="26" customFormat="1" outlineLevel="1" collapsed="1" x14ac:dyDescent="0.25">
      <c r="A45" s="27"/>
      <c r="B45" s="13" t="str">
        <f>CONCATENATE("     ","Insurance                                         ")</f>
        <v xml:space="preserve">     Insurance                                         </v>
      </c>
      <c r="C45" s="13"/>
      <c r="D45" s="1">
        <f>SUM(OSRRefD22_6x_0)</f>
        <v>29.01</v>
      </c>
      <c r="E45" s="1"/>
      <c r="F45" s="5">
        <f t="shared" ref="F45:F52" si="28">IF(D$12=0,0,D45/D$12)</f>
        <v>5.4899511752015445E-4</v>
      </c>
      <c r="G45" s="1"/>
      <c r="H45" s="1">
        <f>SUM(OSRRefH22_6x_0)</f>
        <v>29.01</v>
      </c>
      <c r="I45" s="1"/>
      <c r="J45" s="5">
        <f t="shared" ref="J45:J52" si="29">IF(H$12=0,0,H45/H$12)</f>
        <v>1.3000224064530586E-3</v>
      </c>
      <c r="K45" s="1"/>
      <c r="L45" s="1">
        <f t="shared" ref="L45:L52" si="30">+D45-H45</f>
        <v>0</v>
      </c>
      <c r="M45" s="1"/>
      <c r="N45" s="5">
        <f t="shared" ref="N45:N52" si="31">IF(H45=0,0,L45/H45)</f>
        <v>0</v>
      </c>
      <c r="O45" s="13"/>
      <c r="P45" s="1">
        <f>SUM(OSRRefP22_6x_0)</f>
        <v>145.05000000000001</v>
      </c>
      <c r="Q45" s="1"/>
      <c r="R45" s="5">
        <f t="shared" ref="R45:R52" si="32">IF(P$12=0,0,P45/P$12)</f>
        <v>4.4984136927929245E-4</v>
      </c>
      <c r="S45" s="1"/>
      <c r="T45" s="1">
        <f>SUM(OSRRefT22_6x_0)</f>
        <v>145.05000000000001</v>
      </c>
      <c r="U45" s="1"/>
      <c r="V45" s="5">
        <f t="shared" ref="V45:V52" si="33">IF(T$12=0,0,T45/T$12)</f>
        <v>9.9724305779953391E-4</v>
      </c>
      <c r="W45" s="1"/>
      <c r="X45" s="1">
        <f t="shared" ref="X45:X52" si="34">+P45-T45</f>
        <v>0</v>
      </c>
      <c r="Y45" s="1"/>
      <c r="Z45" s="5">
        <f t="shared" ref="Z45:Z52" si="35">IF(T45=0,0,X45/T45)</f>
        <v>0</v>
      </c>
    </row>
    <row r="46" spans="1:26" s="24" customFormat="1" hidden="1" outlineLevel="2" x14ac:dyDescent="0.25">
      <c r="A46" s="25"/>
      <c r="B46" s="11" t="str">
        <f>CONCATENATE("          ", "6314", " - ", "LIABILITY INSURANCE")</f>
        <v xml:space="preserve">          6314 - LIABILITY INSURANCE</v>
      </c>
      <c r="C46" s="11"/>
      <c r="D46" s="6">
        <v>29.01</v>
      </c>
      <c r="E46" s="2"/>
      <c r="F46" s="7">
        <f t="shared" si="28"/>
        <v>5.4899511752015445E-4</v>
      </c>
      <c r="G46" s="2"/>
      <c r="H46" s="6">
        <v>29.01</v>
      </c>
      <c r="I46" s="2"/>
      <c r="J46" s="7">
        <f t="shared" si="29"/>
        <v>1.3000224064530586E-3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145.05000000000001</v>
      </c>
      <c r="Q46" s="2"/>
      <c r="R46" s="7">
        <f t="shared" si="32"/>
        <v>4.4984136927929245E-4</v>
      </c>
      <c r="S46" s="2"/>
      <c r="T46" s="6">
        <v>145.05000000000001</v>
      </c>
      <c r="U46" s="2"/>
      <c r="V46" s="7">
        <f t="shared" si="33"/>
        <v>9.9724305779953391E-4</v>
      </c>
      <c r="W46" s="2"/>
      <c r="X46" s="6">
        <f t="shared" si="34"/>
        <v>0</v>
      </c>
      <c r="Y46" s="2"/>
      <c r="Z46" s="7">
        <f t="shared" si="35"/>
        <v>0</v>
      </c>
    </row>
    <row r="47" spans="1:26" s="26" customFormat="1" outlineLevel="1" collapsed="1" x14ac:dyDescent="0.25">
      <c r="A47" s="27"/>
      <c r="B47" s="13" t="str">
        <f>CONCATENATE("     ","Rent                                              ")</f>
        <v xml:space="preserve">     Rent                                              </v>
      </c>
      <c r="C47" s="13"/>
      <c r="D47" s="1">
        <f>SUM(OSRRefD22_7x_0)</f>
        <v>800</v>
      </c>
      <c r="E47" s="1"/>
      <c r="F47" s="5">
        <f t="shared" si="28"/>
        <v>1.513947238938723E-2</v>
      </c>
      <c r="G47" s="1"/>
      <c r="H47" s="1">
        <f>SUM(OSRRefH22_7x_0)</f>
        <v>800</v>
      </c>
      <c r="I47" s="1"/>
      <c r="J47" s="5">
        <f t="shared" si="29"/>
        <v>3.5850324893569346E-2</v>
      </c>
      <c r="K47" s="1"/>
      <c r="L47" s="1">
        <f t="shared" si="30"/>
        <v>0</v>
      </c>
      <c r="M47" s="1"/>
      <c r="N47" s="5">
        <f t="shared" si="31"/>
        <v>0</v>
      </c>
      <c r="O47" s="13"/>
      <c r="P47" s="1">
        <f>SUM(OSRRefP22_7x_0)</f>
        <v>4000</v>
      </c>
      <c r="Q47" s="1"/>
      <c r="R47" s="5">
        <f t="shared" si="32"/>
        <v>1.2405139449273834E-2</v>
      </c>
      <c r="S47" s="1"/>
      <c r="T47" s="1">
        <f>SUM(OSRRefT22_7x_0)</f>
        <v>4000</v>
      </c>
      <c r="U47" s="1"/>
      <c r="V47" s="5">
        <f t="shared" si="33"/>
        <v>2.7500670328839266E-2</v>
      </c>
      <c r="W47" s="1"/>
      <c r="X47" s="1">
        <f t="shared" si="34"/>
        <v>0</v>
      </c>
      <c r="Y47" s="1"/>
      <c r="Z47" s="5">
        <f t="shared" si="35"/>
        <v>0</v>
      </c>
    </row>
    <row r="48" spans="1:26" s="24" customFormat="1" hidden="1" outlineLevel="2" x14ac:dyDescent="0.25">
      <c r="A48" s="25"/>
      <c r="B48" s="11" t="str">
        <f>CONCATENATE("          ", "6273", " - ", "RENT")</f>
        <v xml:space="preserve">          6273 - RENT</v>
      </c>
      <c r="C48" s="11"/>
      <c r="D48" s="6">
        <v>800</v>
      </c>
      <c r="E48" s="2"/>
      <c r="F48" s="7">
        <f t="shared" si="28"/>
        <v>1.513947238938723E-2</v>
      </c>
      <c r="G48" s="2"/>
      <c r="H48" s="6">
        <v>800</v>
      </c>
      <c r="I48" s="2"/>
      <c r="J48" s="7">
        <f t="shared" si="29"/>
        <v>3.5850324893569346E-2</v>
      </c>
      <c r="K48" s="2"/>
      <c r="L48" s="6">
        <f t="shared" si="30"/>
        <v>0</v>
      </c>
      <c r="M48" s="2"/>
      <c r="N48" s="7">
        <f t="shared" si="31"/>
        <v>0</v>
      </c>
      <c r="O48" s="11"/>
      <c r="P48" s="6">
        <v>4000</v>
      </c>
      <c r="Q48" s="2"/>
      <c r="R48" s="7">
        <f t="shared" si="32"/>
        <v>1.2405139449273834E-2</v>
      </c>
      <c r="S48" s="2"/>
      <c r="T48" s="6">
        <v>4000</v>
      </c>
      <c r="U48" s="2"/>
      <c r="V48" s="7">
        <f t="shared" si="33"/>
        <v>2.7500670328839266E-2</v>
      </c>
      <c r="W48" s="2"/>
      <c r="X48" s="6">
        <f t="shared" si="34"/>
        <v>0</v>
      </c>
      <c r="Y48" s="2"/>
      <c r="Z48" s="7">
        <f t="shared" si="35"/>
        <v>0</v>
      </c>
    </row>
    <row r="49" spans="1:26" s="26" customFormat="1" outlineLevel="1" collapsed="1" x14ac:dyDescent="0.25">
      <c r="A49" s="27"/>
      <c r="B49" s="13" t="str">
        <f>CONCATENATE("     ","Repair and Maintenance                            ")</f>
        <v xml:space="preserve">     Repair and Maintenance                            </v>
      </c>
      <c r="C49" s="13"/>
      <c r="D49" s="1">
        <f>SUM(OSRRefD22_8x_0)</f>
        <v>0</v>
      </c>
      <c r="E49" s="1"/>
      <c r="F49" s="5">
        <f t="shared" si="28"/>
        <v>0</v>
      </c>
      <c r="G49" s="1"/>
      <c r="H49" s="1">
        <f>SUM(OSRRefH22_8x_0)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SUM(OSRRefP22_8x_0)</f>
        <v>123827.90000000001</v>
      </c>
      <c r="Q49" s="1"/>
      <c r="R49" s="5">
        <f t="shared" si="32"/>
        <v>0.38402559180268386</v>
      </c>
      <c r="S49" s="1"/>
      <c r="T49" s="1">
        <f>SUM(OSRRefT22_8x_0)</f>
        <v>437.31</v>
      </c>
      <c r="U49" s="1"/>
      <c r="V49" s="5">
        <f t="shared" si="33"/>
        <v>3.0065795353761749E-3</v>
      </c>
      <c r="W49" s="1"/>
      <c r="X49" s="1">
        <f t="shared" si="34"/>
        <v>123390.59000000001</v>
      </c>
      <c r="Y49" s="1"/>
      <c r="Z49" s="5">
        <f t="shared" si="35"/>
        <v>282.15817154878692</v>
      </c>
    </row>
    <row r="50" spans="1:26" s="24" customFormat="1" hidden="1" outlineLevel="2" x14ac:dyDescent="0.25">
      <c r="A50" s="25"/>
      <c r="B50" s="11" t="str">
        <f>CONCATENATE("          ", "6371", " - ", "COMPUTER SOFTWARE MAINTENANCE")</f>
        <v xml:space="preserve">          6371 - COMPUTER SOFTWARE MAINTENANCE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/>
      <c r="Q50" s="2"/>
      <c r="R50" s="7">
        <f t="shared" si="32"/>
        <v>0</v>
      </c>
      <c r="S50" s="2"/>
      <c r="T50" s="6">
        <v>437.31</v>
      </c>
      <c r="U50" s="2"/>
      <c r="V50" s="7">
        <f t="shared" si="33"/>
        <v>3.0065795353761749E-3</v>
      </c>
      <c r="W50" s="2"/>
      <c r="X50" s="6">
        <f t="shared" si="34"/>
        <v>-437.31</v>
      </c>
      <c r="Y50" s="2"/>
      <c r="Z50" s="7">
        <f t="shared" si="35"/>
        <v>-1</v>
      </c>
    </row>
    <row r="51" spans="1:26" s="24" customFormat="1" hidden="1" outlineLevel="2" x14ac:dyDescent="0.25">
      <c r="A51" s="25"/>
      <c r="B51" s="11" t="str">
        <f>CONCATENATE("          ", "6373", " - ", "MAINTENANCE CONTRACTS")</f>
        <v xml:space="preserve">          6373 - MAINTENANCE CONTRACTS</v>
      </c>
      <c r="C51" s="11"/>
      <c r="D51" s="6"/>
      <c r="E51" s="2"/>
      <c r="F51" s="7">
        <f t="shared" si="28"/>
        <v>0</v>
      </c>
      <c r="G51" s="2"/>
      <c r="H51" s="6"/>
      <c r="I51" s="2"/>
      <c r="J51" s="7">
        <f t="shared" si="29"/>
        <v>0</v>
      </c>
      <c r="K51" s="2"/>
      <c r="L51" s="6">
        <f t="shared" si="30"/>
        <v>0</v>
      </c>
      <c r="M51" s="2"/>
      <c r="N51" s="7">
        <f t="shared" si="31"/>
        <v>0</v>
      </c>
      <c r="O51" s="11"/>
      <c r="P51" s="6">
        <v>117265.90000000001</v>
      </c>
      <c r="Q51" s="2"/>
      <c r="R51" s="7">
        <f t="shared" si="32"/>
        <v>0.36367496053615017</v>
      </c>
      <c r="S51" s="2"/>
      <c r="T51" s="6"/>
      <c r="U51" s="2"/>
      <c r="V51" s="7">
        <f t="shared" si="33"/>
        <v>0</v>
      </c>
      <c r="W51" s="2"/>
      <c r="X51" s="6">
        <f t="shared" si="34"/>
        <v>117265.90000000001</v>
      </c>
      <c r="Y51" s="2"/>
      <c r="Z51" s="7">
        <f t="shared" si="35"/>
        <v>0</v>
      </c>
    </row>
    <row r="52" spans="1:26" s="24" customFormat="1" hidden="1" outlineLevel="2" x14ac:dyDescent="0.25">
      <c r="A52" s="25"/>
      <c r="B52" s="11" t="str">
        <f>CONCATENATE("          ", "6375", " - ", "OUTSIDE REPAIRS &amp; MAINTENANCE")</f>
        <v xml:space="preserve">          6375 - OUTSIDE REPAIRS &amp; MAINTENANCE</v>
      </c>
      <c r="C52" s="11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>
        <v>6562</v>
      </c>
      <c r="Q52" s="2"/>
      <c r="R52" s="7">
        <f t="shared" si="32"/>
        <v>2.0350631266533727E-2</v>
      </c>
      <c r="S52" s="2"/>
      <c r="T52" s="6"/>
      <c r="U52" s="2"/>
      <c r="V52" s="7">
        <f t="shared" si="33"/>
        <v>0</v>
      </c>
      <c r="W52" s="2"/>
      <c r="X52" s="6">
        <f t="shared" si="34"/>
        <v>6562</v>
      </c>
      <c r="Y52" s="2"/>
      <c r="Z52" s="7">
        <f t="shared" si="35"/>
        <v>0</v>
      </c>
    </row>
    <row r="53" spans="1:26" s="26" customFormat="1" outlineLevel="1" collapsed="1" x14ac:dyDescent="0.25">
      <c r="A53" s="27"/>
      <c r="B53" s="13" t="str">
        <f>CONCATENATE("     ","Supplies                                          ")</f>
        <v xml:space="preserve">     Supplies                                          </v>
      </c>
      <c r="C53" s="13"/>
      <c r="D53" s="1">
        <f>SUM(OSRRefD22_9x_0)</f>
        <v>0</v>
      </c>
      <c r="E53" s="1"/>
      <c r="F53" s="5">
        <f t="shared" ref="F53:F56" si="36">IF(D$12=0,0,D53/D$12)</f>
        <v>0</v>
      </c>
      <c r="G53" s="1"/>
      <c r="H53" s="1">
        <f>SUM(OSRRefH22_9x_0)</f>
        <v>45.18</v>
      </c>
      <c r="I53" s="1"/>
      <c r="J53" s="5">
        <f t="shared" ref="J53:J56" si="37">IF(H$12=0,0,H53/H$12)</f>
        <v>2.0246470983643289E-3</v>
      </c>
      <c r="K53" s="1"/>
      <c r="L53" s="1">
        <f t="shared" ref="L53:L56" si="38">+D53-H53</f>
        <v>-45.18</v>
      </c>
      <c r="M53" s="1"/>
      <c r="N53" s="5">
        <f t="shared" ref="N53:N56" si="39">IF(H53=0,0,L53/H53)</f>
        <v>-1</v>
      </c>
      <c r="O53" s="13"/>
      <c r="P53" s="1">
        <f>SUM(OSRRefP22_9x_0)</f>
        <v>41271.699999999997</v>
      </c>
      <c r="Q53" s="1"/>
      <c r="R53" s="5">
        <f t="shared" ref="R53:R56" si="40">IF(P$12=0,0,P53/P$12)</f>
        <v>0.12799529845214871</v>
      </c>
      <c r="S53" s="1"/>
      <c r="T53" s="1">
        <f>SUM(OSRRefT22_9x_0)</f>
        <v>18397.830000000002</v>
      </c>
      <c r="U53" s="1"/>
      <c r="V53" s="5">
        <f t="shared" ref="V53:V56" si="41">IF(T$12=0,0,T53/T$12)</f>
        <v>0.12648816439900723</v>
      </c>
      <c r="W53" s="1"/>
      <c r="X53" s="1">
        <f t="shared" ref="X53:X56" si="42">+P53-T53</f>
        <v>22873.869999999995</v>
      </c>
      <c r="Y53" s="1"/>
      <c r="Z53" s="5">
        <f t="shared" ref="Z53:Z56" si="43">IF(T53=0,0,X53/T53)</f>
        <v>1.2432917360362605</v>
      </c>
    </row>
    <row r="54" spans="1:26" s="24" customFormat="1" hidden="1" outlineLevel="2" x14ac:dyDescent="0.25">
      <c r="A54" s="25"/>
      <c r="B54" s="11" t="str">
        <f>CONCATENATE("          ", "6234", " - ", "EXPENDABLE SUPPLIES &amp; EQUIPMEN")</f>
        <v xml:space="preserve">          6234 - EXPENDABLE SUPPLIES &amp; EQUIPMEN</v>
      </c>
      <c r="C54" s="11"/>
      <c r="D54" s="6"/>
      <c r="E54" s="2"/>
      <c r="F54" s="7">
        <f t="shared" si="36"/>
        <v>0</v>
      </c>
      <c r="G54" s="2"/>
      <c r="H54" s="6"/>
      <c r="I54" s="2"/>
      <c r="J54" s="7">
        <f t="shared" si="37"/>
        <v>0</v>
      </c>
      <c r="K54" s="2"/>
      <c r="L54" s="6">
        <f t="shared" si="38"/>
        <v>0</v>
      </c>
      <c r="M54" s="2"/>
      <c r="N54" s="7">
        <f t="shared" si="39"/>
        <v>0</v>
      </c>
      <c r="O54" s="11"/>
      <c r="P54" s="6"/>
      <c r="Q54" s="2"/>
      <c r="R54" s="7">
        <f t="shared" si="40"/>
        <v>0</v>
      </c>
      <c r="S54" s="2"/>
      <c r="T54" s="6">
        <v>413.27</v>
      </c>
      <c r="U54" s="2"/>
      <c r="V54" s="7">
        <f t="shared" si="41"/>
        <v>2.8413005066998506E-3</v>
      </c>
      <c r="W54" s="2"/>
      <c r="X54" s="6">
        <f t="shared" si="42"/>
        <v>-413.27</v>
      </c>
      <c r="Y54" s="2"/>
      <c r="Z54" s="7">
        <f t="shared" si="43"/>
        <v>-1</v>
      </c>
    </row>
    <row r="55" spans="1:26" s="24" customFormat="1" hidden="1" outlineLevel="2" x14ac:dyDescent="0.25">
      <c r="A55" s="25"/>
      <c r="B55" s="11" t="str">
        <f>CONCATENATE("          ", "6241", " - ", "OFFICE EXPENSE")</f>
        <v xml:space="preserve">          6241 - OFFICE EXPENSE</v>
      </c>
      <c r="C55" s="11"/>
      <c r="D55" s="6"/>
      <c r="E55" s="2"/>
      <c r="F55" s="7">
        <f t="shared" si="36"/>
        <v>0</v>
      </c>
      <c r="G55" s="2"/>
      <c r="H55" s="6">
        <v>45.18</v>
      </c>
      <c r="I55" s="2"/>
      <c r="J55" s="7">
        <f t="shared" si="37"/>
        <v>2.0246470983643289E-3</v>
      </c>
      <c r="K55" s="2"/>
      <c r="L55" s="6">
        <f t="shared" si="38"/>
        <v>-45.18</v>
      </c>
      <c r="M55" s="2"/>
      <c r="N55" s="7">
        <f t="shared" si="39"/>
        <v>-1</v>
      </c>
      <c r="O55" s="11"/>
      <c r="P55" s="6">
        <v>41271.699999999997</v>
      </c>
      <c r="Q55" s="2"/>
      <c r="R55" s="7">
        <f t="shared" si="40"/>
        <v>0.12799529845214871</v>
      </c>
      <c r="S55" s="2"/>
      <c r="T55" s="6">
        <v>17863.73</v>
      </c>
      <c r="U55" s="2"/>
      <c r="V55" s="7">
        <f t="shared" si="41"/>
        <v>0.12281613739334896</v>
      </c>
      <c r="W55" s="2"/>
      <c r="X55" s="6">
        <f t="shared" si="42"/>
        <v>23407.969999999998</v>
      </c>
      <c r="Y55" s="2"/>
      <c r="Z55" s="7">
        <f t="shared" si="43"/>
        <v>1.3103629533137815</v>
      </c>
    </row>
    <row r="56" spans="1:26" s="24" customFormat="1" hidden="1" outlineLevel="2" x14ac:dyDescent="0.25">
      <c r="A56" s="25"/>
      <c r="B56" s="11" t="str">
        <f>CONCATENATE("          ", "6245", " - ", "PRINTING")</f>
        <v xml:space="preserve">          6245 - PRINTING</v>
      </c>
      <c r="C56" s="11"/>
      <c r="D56" s="6"/>
      <c r="E56" s="2"/>
      <c r="F56" s="7">
        <f t="shared" si="36"/>
        <v>0</v>
      </c>
      <c r="G56" s="2"/>
      <c r="H56" s="6"/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/>
      <c r="Q56" s="2"/>
      <c r="R56" s="7">
        <f t="shared" si="40"/>
        <v>0</v>
      </c>
      <c r="S56" s="2"/>
      <c r="T56" s="6">
        <v>120.83</v>
      </c>
      <c r="U56" s="2"/>
      <c r="V56" s="7">
        <f t="shared" si="41"/>
        <v>8.3072649895841208E-4</v>
      </c>
      <c r="W56" s="2"/>
      <c r="X56" s="6">
        <f t="shared" si="42"/>
        <v>-120.83</v>
      </c>
      <c r="Y56" s="2"/>
      <c r="Z56" s="7">
        <f t="shared" si="43"/>
        <v>-1</v>
      </c>
    </row>
    <row r="57" spans="1:26" s="26" customFormat="1" outlineLevel="1" collapsed="1" x14ac:dyDescent="0.25">
      <c r="A57" s="27"/>
      <c r="B57" s="13" t="str">
        <f>CONCATENATE("     ","Telephone/Data Lines                              ")</f>
        <v xml:space="preserve">     Telephone/Data Lines                              </v>
      </c>
      <c r="C57" s="13"/>
      <c r="D57" s="1">
        <f>SUM(OSRRefD22_10x_0)</f>
        <v>136.94999999999999</v>
      </c>
      <c r="E57" s="1"/>
      <c r="F57" s="5">
        <f t="shared" ref="F57:F58" si="44">IF(D$12=0,0,D57/D$12)</f>
        <v>2.5916884296582261E-3</v>
      </c>
      <c r="G57" s="1"/>
      <c r="H57" s="1">
        <f>SUM(OSRRefH22_10x_0)</f>
        <v>183.9</v>
      </c>
      <c r="I57" s="1"/>
      <c r="J57" s="5">
        <f t="shared" ref="J57:J58" si="45">IF(H$12=0,0,H57/H$12)</f>
        <v>8.2410934349092541E-3</v>
      </c>
      <c r="K57" s="1"/>
      <c r="L57" s="1">
        <f t="shared" ref="L57:L58" si="46">+D57-H57</f>
        <v>-46.950000000000017</v>
      </c>
      <c r="M57" s="1"/>
      <c r="N57" s="5">
        <f t="shared" ref="N57:N58" si="47">IF(H57=0,0,L57/H57)</f>
        <v>-0.25530179445350742</v>
      </c>
      <c r="O57" s="13"/>
      <c r="P57" s="1">
        <f>SUM(OSRRefP22_10x_0)</f>
        <v>1315.68</v>
      </c>
      <c r="Q57" s="1"/>
      <c r="R57" s="5">
        <f t="shared" ref="R57:R58" si="48">IF(P$12=0,0,P57/P$12)</f>
        <v>4.0802984676551494E-3</v>
      </c>
      <c r="S57" s="1"/>
      <c r="T57" s="1">
        <f>SUM(OSRRefT22_10x_0)</f>
        <v>948.5</v>
      </c>
      <c r="U57" s="1"/>
      <c r="V57" s="5">
        <f t="shared" ref="V57:V58" si="49">IF(T$12=0,0,T57/T$12)</f>
        <v>6.5210964517260104E-3</v>
      </c>
      <c r="W57" s="1"/>
      <c r="X57" s="1">
        <f t="shared" ref="X57:X58" si="50">+P57-T57</f>
        <v>367.18000000000006</v>
      </c>
      <c r="Y57" s="1"/>
      <c r="Z57" s="5">
        <f t="shared" ref="Z57:Z58" si="51">IF(T57=0,0,X57/T57)</f>
        <v>0.38711649973642598</v>
      </c>
    </row>
    <row r="58" spans="1:26" s="24" customFormat="1" hidden="1" outlineLevel="2" x14ac:dyDescent="0.25">
      <c r="A58" s="25"/>
      <c r="B58" s="11" t="str">
        <f>CONCATENATE("          ", "6309", " - ", "TELEPHONE")</f>
        <v xml:space="preserve">          6309 - TELEPHONE</v>
      </c>
      <c r="C58" s="11"/>
      <c r="D58" s="6">
        <v>136.94999999999999</v>
      </c>
      <c r="E58" s="2"/>
      <c r="F58" s="7">
        <f t="shared" si="44"/>
        <v>2.5916884296582261E-3</v>
      </c>
      <c r="G58" s="2"/>
      <c r="H58" s="6">
        <v>183.9</v>
      </c>
      <c r="I58" s="2"/>
      <c r="J58" s="7">
        <f t="shared" si="45"/>
        <v>8.2410934349092541E-3</v>
      </c>
      <c r="K58" s="2"/>
      <c r="L58" s="6">
        <f t="shared" si="46"/>
        <v>-46.950000000000017</v>
      </c>
      <c r="M58" s="2"/>
      <c r="N58" s="7">
        <f t="shared" si="47"/>
        <v>-0.25530179445350742</v>
      </c>
      <c r="O58" s="11"/>
      <c r="P58" s="6">
        <v>1315.68</v>
      </c>
      <c r="Q58" s="2"/>
      <c r="R58" s="7">
        <f t="shared" si="48"/>
        <v>4.0802984676551494E-3</v>
      </c>
      <c r="S58" s="2"/>
      <c r="T58" s="6">
        <v>948.5</v>
      </c>
      <c r="U58" s="2"/>
      <c r="V58" s="7">
        <f t="shared" si="49"/>
        <v>6.5210964517260104E-3</v>
      </c>
      <c r="W58" s="2"/>
      <c r="X58" s="6">
        <f t="shared" si="50"/>
        <v>367.18000000000006</v>
      </c>
      <c r="Y58" s="2"/>
      <c r="Z58" s="7">
        <f t="shared" si="51"/>
        <v>0.38711649973642598</v>
      </c>
    </row>
    <row r="59" spans="1:26" s="53" customFormat="1" x14ac:dyDescent="0.2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collapsed="1" x14ac:dyDescent="0.25">
      <c r="A60" s="10"/>
      <c r="B60" s="29" t="s">
        <v>0</v>
      </c>
      <c r="C60" s="10"/>
      <c r="D60" s="4">
        <f>SUM(OSRRefD25x_0)</f>
        <v>145.04</v>
      </c>
      <c r="E60" s="4"/>
      <c r="F60" s="12">
        <f t="shared" ref="F60:F61" si="52">IF(D$12=0,0,D60/D$12)</f>
        <v>2.7447863441959048E-3</v>
      </c>
      <c r="G60" s="4"/>
      <c r="H60" s="4">
        <f>SUM(OSRRefH25x_0)</f>
        <v>1939.25</v>
      </c>
      <c r="I60" s="4"/>
      <c r="J60" s="12">
        <f t="shared" ref="J60:J61" si="53">IF(H$12=0,0,H60/H$12)</f>
        <v>8.6903428187317944E-2</v>
      </c>
      <c r="K60" s="4"/>
      <c r="L60" s="4">
        <f t="shared" ref="L60:L61" si="54">+D60-H60</f>
        <v>-1794.21</v>
      </c>
      <c r="M60" s="4"/>
      <c r="N60" s="12">
        <f t="shared" ref="N60:N61" si="55">IF(H60=0,0,L60/H60)</f>
        <v>-0.92520819904602292</v>
      </c>
      <c r="O60" s="10"/>
      <c r="P60" s="4">
        <f>SUM(OSRRefP25x_0)</f>
        <v>1120.2</v>
      </c>
      <c r="Q60" s="4"/>
      <c r="R60" s="12">
        <f t="shared" ref="R60:R61" si="56">IF(P$12=0,0,P60/P$12)</f>
        <v>3.4740593027691373E-3</v>
      </c>
      <c r="S60" s="4"/>
      <c r="T60" s="4">
        <f>SUM(OSRRefT25x_0)</f>
        <v>12186.74</v>
      </c>
      <c r="U60" s="4"/>
      <c r="V60" s="12">
        <f t="shared" ref="V60:V61" si="57">IF(T$12=0,0,T60/T$12)</f>
        <v>8.3785879780819653E-2</v>
      </c>
      <c r="W60" s="4"/>
      <c r="X60" s="4">
        <f t="shared" ref="X60:X61" si="58">+P60-T60</f>
        <v>-11066.539999999999</v>
      </c>
      <c r="Y60" s="4"/>
      <c r="Z60" s="12">
        <f t="shared" ref="Z60:Z61" si="59">IF(T60=0,0,X60/T60)</f>
        <v>-0.90808042183553594</v>
      </c>
    </row>
    <row r="61" spans="1:26" s="24" customFormat="1" hidden="1" outlineLevel="1" x14ac:dyDescent="0.25">
      <c r="A61" s="44"/>
      <c r="B61" s="11" t="str">
        <f>CONCATENATE("          ", "9150", " - ", "MISC. INCOME")</f>
        <v xml:space="preserve">          9150 - MISC. INCOME</v>
      </c>
      <c r="C61" s="11"/>
      <c r="D61" s="2">
        <f>--145.04</f>
        <v>145.04</v>
      </c>
      <c r="E61" s="2"/>
      <c r="F61" s="19">
        <f t="shared" si="52"/>
        <v>2.7447863441959048E-3</v>
      </c>
      <c r="G61" s="2"/>
      <c r="H61" s="2">
        <f>--1939.25</f>
        <v>1939.25</v>
      </c>
      <c r="I61" s="2"/>
      <c r="J61" s="19">
        <f t="shared" si="53"/>
        <v>8.6903428187317944E-2</v>
      </c>
      <c r="K61" s="2"/>
      <c r="L61" s="2">
        <f t="shared" si="54"/>
        <v>-1794.21</v>
      </c>
      <c r="M61" s="2"/>
      <c r="N61" s="19">
        <f t="shared" si="55"/>
        <v>-0.92520819904602292</v>
      </c>
      <c r="O61" s="11"/>
      <c r="P61" s="2">
        <f>--1120.2</f>
        <v>1120.2</v>
      </c>
      <c r="Q61" s="2"/>
      <c r="R61" s="19">
        <f t="shared" si="56"/>
        <v>3.4740593027691373E-3</v>
      </c>
      <c r="S61" s="2"/>
      <c r="T61" s="2">
        <f>--12186.74</f>
        <v>12186.74</v>
      </c>
      <c r="U61" s="2"/>
      <c r="V61" s="19">
        <f t="shared" si="57"/>
        <v>8.3785879780819653E-2</v>
      </c>
      <c r="W61" s="2"/>
      <c r="X61" s="2">
        <f t="shared" si="58"/>
        <v>-11066.539999999999</v>
      </c>
      <c r="Y61" s="2"/>
      <c r="Z61" s="19">
        <f t="shared" si="59"/>
        <v>-0.90808042183553594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8" t="s">
        <v>3</v>
      </c>
      <c r="C63" s="28"/>
      <c r="D63" s="20">
        <f>+D17-D19+D60</f>
        <v>36534.249999999993</v>
      </c>
      <c r="E63" s="14"/>
      <c r="F63" s="22">
        <f>IF(D$12=0,0,D63/D$12)</f>
        <v>0.69138658642746287</v>
      </c>
      <c r="G63" s="14"/>
      <c r="H63" s="20">
        <f>+H17-H19+H60</f>
        <v>2073.3300000000017</v>
      </c>
      <c r="I63" s="14"/>
      <c r="J63" s="22">
        <f>IF(H$12=0,0,H63/H$12)</f>
        <v>9.2911942639480244E-2</v>
      </c>
      <c r="K63" s="15"/>
      <c r="L63" s="20">
        <f>+D63-H63</f>
        <v>34460.919999999991</v>
      </c>
      <c r="M63" s="15"/>
      <c r="N63" s="22">
        <f>IF(H63=0,0,L63/H63)</f>
        <v>16.621049229982667</v>
      </c>
      <c r="O63" s="29"/>
      <c r="P63" s="20">
        <f>+P17-P19+P60</f>
        <v>58402.429999999978</v>
      </c>
      <c r="Q63" s="14"/>
      <c r="R63" s="22">
        <f>IF(P$12=0,0,P63/P$12)</f>
        <v>0.18112257208161334</v>
      </c>
      <c r="S63" s="14"/>
      <c r="T63" s="20">
        <f>+T17-T19+T60</f>
        <v>12397.099999999986</v>
      </c>
      <c r="U63" s="14"/>
      <c r="V63" s="22">
        <f>IF(T$12=0,0,T63/T$12)</f>
        <v>8.5232140033413215E-2</v>
      </c>
      <c r="W63" s="15"/>
      <c r="X63" s="20">
        <f>+P63-T63</f>
        <v>46005.329999999994</v>
      </c>
      <c r="Y63" s="15"/>
      <c r="Z63" s="22">
        <f>IF(T63=0,0,X63/T63)</f>
        <v>3.710975147413512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1"/>
      <c r="B65" s="10" t="s">
        <v>13</v>
      </c>
      <c r="C65" s="10"/>
      <c r="D65" s="4">
        <v>-7165.41</v>
      </c>
      <c r="E65" s="4"/>
      <c r="F65" s="12">
        <f>IF(D$12=0,0,D65/D$12)</f>
        <v>-0.13560065856704895</v>
      </c>
      <c r="G65" s="4"/>
      <c r="H65" s="4">
        <v>3007.1</v>
      </c>
      <c r="I65" s="4"/>
      <c r="J65" s="12">
        <f>IF(H$12=0,0,H65/H$12)</f>
        <v>0.13475688998431548</v>
      </c>
      <c r="K65" s="4"/>
      <c r="L65" s="4">
        <f>+D65-H65</f>
        <v>-10172.51</v>
      </c>
      <c r="M65" s="4"/>
      <c r="N65" s="12">
        <f>IF(H65=0,0,L65/H65)</f>
        <v>-3.3828306341658076</v>
      </c>
      <c r="O65" s="10"/>
      <c r="P65" s="4">
        <v>51236.84</v>
      </c>
      <c r="Q65" s="4"/>
      <c r="R65" s="12">
        <f>IF(P$12=0,0,P65/P$12)</f>
        <v>0.15890003628503288</v>
      </c>
      <c r="S65" s="4"/>
      <c r="T65" s="4">
        <v>15402.28</v>
      </c>
      <c r="U65" s="4"/>
      <c r="V65" s="12">
        <f>IF(T$12=0,0,T65/T$12)</f>
        <v>0.10589325614811862</v>
      </c>
      <c r="W65" s="4"/>
      <c r="X65" s="4">
        <f>+P65-T65</f>
        <v>35834.559999999998</v>
      </c>
      <c r="Y65" s="4"/>
      <c r="Z65" s="12">
        <f>IF(T65=0,0,X65/T65)</f>
        <v>2.3265750265545098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8" t="s">
        <v>4</v>
      </c>
      <c r="C67" s="28"/>
      <c r="D67" s="31">
        <f>+D63-D65</f>
        <v>43699.659999999989</v>
      </c>
      <c r="E67" s="14"/>
      <c r="F67" s="34">
        <f>IF(D$12=0,0,D67/D$12)</f>
        <v>0.82698724499451171</v>
      </c>
      <c r="G67" s="14"/>
      <c r="H67" s="31">
        <f>+H63-H65</f>
        <v>-933.76999999999816</v>
      </c>
      <c r="I67" s="14"/>
      <c r="J67" s="34">
        <f>IF(H$12=0,0,H67/H$12)</f>
        <v>-4.184494734483523E-2</v>
      </c>
      <c r="K67" s="15"/>
      <c r="L67" s="31">
        <f>D67-H67</f>
        <v>44633.429999999986</v>
      </c>
      <c r="M67" s="15"/>
      <c r="N67" s="34">
        <f>IF(H67=0,0,L67/H67)</f>
        <v>-47.799168960236543</v>
      </c>
      <c r="O67" s="29"/>
      <c r="P67" s="31">
        <f>+P63-P65</f>
        <v>7165.589999999982</v>
      </c>
      <c r="Q67" s="14"/>
      <c r="R67" s="34">
        <f>IF(P$12=0,0,P67/P$12)</f>
        <v>2.2222535796580466E-2</v>
      </c>
      <c r="S67" s="14"/>
      <c r="T67" s="31">
        <f>+T63-T65</f>
        <v>-3005.1800000000148</v>
      </c>
      <c r="U67" s="14"/>
      <c r="V67" s="34">
        <f>IF(T$12=0,0,T67/T$12)</f>
        <v>-2.0661116114705398E-2</v>
      </c>
      <c r="W67" s="15"/>
      <c r="X67" s="31">
        <f>P67-T67</f>
        <v>10170.769999999997</v>
      </c>
      <c r="Y67" s="15"/>
      <c r="Z67" s="34">
        <f>IF(T67=0,0,X67/T67)</f>
        <v>-3.3844129137023229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8" t="s">
        <v>5</v>
      </c>
      <c r="C70" s="28"/>
      <c r="D70" s="32">
        <f>SUM(D67:D69)</f>
        <v>43699.659999999989</v>
      </c>
      <c r="E70" s="14"/>
      <c r="F70" s="30">
        <f>IF(D$12=0,0,D70/D$12)</f>
        <v>0.82698724499451171</v>
      </c>
      <c r="G70" s="14"/>
      <c r="H70" s="32">
        <f>SUM(H67:H69)</f>
        <v>-933.76999999999816</v>
      </c>
      <c r="I70" s="14"/>
      <c r="J70" s="30">
        <f>IF(H$12=0,0,H70/H$12)</f>
        <v>-4.184494734483523E-2</v>
      </c>
      <c r="K70" s="15"/>
      <c r="L70" s="32">
        <f>+D70-H70</f>
        <v>44633.429999999986</v>
      </c>
      <c r="M70" s="15"/>
      <c r="N70" s="30">
        <f>IF(H70=0,0,L70/H70)</f>
        <v>-47.799168960236543</v>
      </c>
      <c r="O70" s="29"/>
      <c r="P70" s="32">
        <f>SUM(P67:P69)</f>
        <v>7165.589999999982</v>
      </c>
      <c r="Q70" s="14"/>
      <c r="R70" s="30">
        <f>IF(P$12=0,0,P70/P$12)</f>
        <v>2.2222535796580466E-2</v>
      </c>
      <c r="S70" s="14"/>
      <c r="T70" s="32">
        <f>SUM(T67:T69)</f>
        <v>-3005.1800000000148</v>
      </c>
      <c r="U70" s="14"/>
      <c r="V70" s="30">
        <f>IF(T$12=0,0,T70/T$12)</f>
        <v>-2.0661116114705398E-2</v>
      </c>
      <c r="W70" s="15"/>
      <c r="X70" s="32">
        <f>+P70-T70</f>
        <v>10170.769999999997</v>
      </c>
      <c r="Y70" s="15"/>
      <c r="Z70" s="30">
        <f>IF(T70=0,0,X70/T70)</f>
        <v>-3.3844129137023229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4">
        <v>44174.685284837964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56" t="s">
        <v>313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61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str">
        <f>CONCATENATE("Period ",RIGHT(202105,2),", ",2021)</f>
        <v>Period 05, 2021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44163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","501", " - ", "ID Card Services")</f>
        <v>Department 501 - ID Card Services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52842</v>
      </c>
      <c r="E12" s="4"/>
      <c r="F12" s="12"/>
      <c r="G12" s="4"/>
      <c r="H12" s="4">
        <f>SUM(OSRRefH13x_0)</f>
        <v>22315</v>
      </c>
      <c r="I12" s="4"/>
      <c r="J12" s="12"/>
      <c r="K12" s="4"/>
      <c r="L12" s="4">
        <f t="shared" ref="L12:L13" si="0">+D12-H12</f>
        <v>30527</v>
      </c>
      <c r="M12" s="4"/>
      <c r="N12" s="12">
        <f t="shared" ref="N12:N13" si="1">IF(H12=0,0,L12/H12)</f>
        <v>1.3680035850324894</v>
      </c>
      <c r="O12" s="10"/>
      <c r="P12" s="4">
        <f>SUM(OSRRefP13x_0)</f>
        <v>322447</v>
      </c>
      <c r="Q12" s="4"/>
      <c r="R12" s="12"/>
      <c r="S12" s="4"/>
      <c r="T12" s="4">
        <f>SUM(OSRRefT13x_0)</f>
        <v>145451</v>
      </c>
      <c r="U12" s="4"/>
      <c r="V12" s="12"/>
      <c r="W12" s="4"/>
      <c r="X12" s="4">
        <f t="shared" ref="X12:X13" si="2">+P12-T12</f>
        <v>176996</v>
      </c>
      <c r="Y12" s="4"/>
      <c r="Z12" s="12">
        <f t="shared" ref="Z12:Z13" si="3">IF(T12=0,0,X12/T12)</f>
        <v>1.2168771613808087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--52842</f>
        <v>52842</v>
      </c>
      <c r="E13" s="2"/>
      <c r="F13" s="19"/>
      <c r="G13" s="2"/>
      <c r="H13" s="2">
        <f>--22315</f>
        <v>22315</v>
      </c>
      <c r="I13" s="2"/>
      <c r="J13" s="19"/>
      <c r="K13" s="2"/>
      <c r="L13" s="2">
        <f t="shared" si="0"/>
        <v>30527</v>
      </c>
      <c r="M13" s="2"/>
      <c r="N13" s="19">
        <f t="shared" si="1"/>
        <v>1.3680035850324894</v>
      </c>
      <c r="O13" s="11"/>
      <c r="P13" s="2">
        <f>--322447</f>
        <v>322447</v>
      </c>
      <c r="Q13" s="2"/>
      <c r="R13" s="19"/>
      <c r="S13" s="2"/>
      <c r="T13" s="2">
        <f>--145451</f>
        <v>145451</v>
      </c>
      <c r="U13" s="2"/>
      <c r="V13" s="19"/>
      <c r="W13" s="2"/>
      <c r="X13" s="2">
        <f t="shared" si="2"/>
        <v>176996</v>
      </c>
      <c r="Y13" s="2"/>
      <c r="Z13" s="19">
        <f t="shared" si="3"/>
        <v>1.2168771613808087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0">
        <f>D12-D15</f>
        <v>52842</v>
      </c>
      <c r="E17" s="14"/>
      <c r="F17" s="22">
        <f>IF(D$12=0,0,D17/D$12)</f>
        <v>1</v>
      </c>
      <c r="G17" s="14"/>
      <c r="H17" s="20">
        <f>H12-H15</f>
        <v>22315</v>
      </c>
      <c r="I17" s="14"/>
      <c r="J17" s="22">
        <f>IF(H$12=0,0,H17/H$12)</f>
        <v>1</v>
      </c>
      <c r="K17" s="15"/>
      <c r="L17" s="20">
        <f>+D17-H17</f>
        <v>30527</v>
      </c>
      <c r="M17" s="15"/>
      <c r="N17" s="22">
        <f>IF(H17=0,0,L17/H17)</f>
        <v>1.3680035850324894</v>
      </c>
      <c r="O17" s="29"/>
      <c r="P17" s="20">
        <f>P12-P15</f>
        <v>322447</v>
      </c>
      <c r="Q17" s="14"/>
      <c r="R17" s="22">
        <f>IF(P$12=0,0,P17/P$12)</f>
        <v>1</v>
      </c>
      <c r="S17" s="14"/>
      <c r="T17" s="20">
        <f>T12-T15</f>
        <v>145451</v>
      </c>
      <c r="U17" s="14"/>
      <c r="V17" s="22">
        <f>IF(T$12=0,0,T17/T$12)</f>
        <v>1</v>
      </c>
      <c r="W17" s="15"/>
      <c r="X17" s="20">
        <f>+P17-T17</f>
        <v>176996</v>
      </c>
      <c r="Y17" s="15"/>
      <c r="Z17" s="22">
        <f>IF(T17=0,0,X17/T17)</f>
        <v>1.2168771613808087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1">
        <f>SUM(OSRRefD22x_0)</f>
        <v>16452.790000000005</v>
      </c>
      <c r="E19" s="21"/>
      <c r="F19" s="35">
        <f t="shared" ref="F19:F29" si="4">IF(D$12=0,0,D19/D$12)</f>
        <v>0.31135819991673297</v>
      </c>
      <c r="G19" s="21"/>
      <c r="H19" s="21">
        <f>SUM(OSRRefH22x_0)</f>
        <v>22180.92</v>
      </c>
      <c r="I19" s="21"/>
      <c r="J19" s="35">
        <f t="shared" ref="J19:J29" si="5">IF(H$12=0,0,H19/H$12)</f>
        <v>0.99399148554783767</v>
      </c>
      <c r="K19" s="4"/>
      <c r="L19" s="21">
        <f t="shared" ref="L19:L29" si="6">+D19-H19</f>
        <v>-5728.1299999999937</v>
      </c>
      <c r="M19" s="4"/>
      <c r="N19" s="35">
        <f t="shared" ref="N19:N29" si="7">IF(H19=0,0,L19/H19)</f>
        <v>-0.25824582569163018</v>
      </c>
      <c r="O19" s="10"/>
      <c r="P19" s="21">
        <f>SUM(OSRRefP22x_0)</f>
        <v>265164.77</v>
      </c>
      <c r="Q19" s="21"/>
      <c r="R19" s="35">
        <f t="shared" ref="R19:R29" si="8">IF(P$12=0,0,P19/P$12)</f>
        <v>0.82235148722115581</v>
      </c>
      <c r="S19" s="21"/>
      <c r="T19" s="21">
        <f>SUM(OSRRefT22x_0)</f>
        <v>145240.64000000001</v>
      </c>
      <c r="U19" s="21"/>
      <c r="V19" s="35">
        <f t="shared" ref="V19:V29" si="9">IF(T$12=0,0,T19/T$12)</f>
        <v>0.99855373974740647</v>
      </c>
      <c r="W19" s="4"/>
      <c r="X19" s="21">
        <f t="shared" ref="X19:X29" si="10">+P19-T19</f>
        <v>119924.13</v>
      </c>
      <c r="Y19" s="4"/>
      <c r="Z19" s="35">
        <f t="shared" ref="Z19:Z29" si="11">IF(T19=0,0,X19/T19)</f>
        <v>0.82569265737193109</v>
      </c>
    </row>
    <row r="20" spans="1:26" s="26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4514.01</v>
      </c>
      <c r="E20" s="1"/>
      <c r="F20" s="5">
        <f t="shared" si="4"/>
        <v>8.5424662200522319E-2</v>
      </c>
      <c r="G20" s="1"/>
      <c r="H20" s="1">
        <f>SUM(OSRRefH22_0x_0)</f>
        <v>3933.82</v>
      </c>
      <c r="I20" s="1"/>
      <c r="J20" s="5">
        <f t="shared" si="5"/>
        <v>0.17628590634102623</v>
      </c>
      <c r="K20" s="1"/>
      <c r="L20" s="1">
        <f t="shared" si="6"/>
        <v>580.19000000000005</v>
      </c>
      <c r="M20" s="1"/>
      <c r="N20" s="5">
        <f t="shared" si="7"/>
        <v>0.14748768372726764</v>
      </c>
      <c r="O20" s="13"/>
      <c r="P20" s="1">
        <f>SUM(OSRRefP22_0x_0)</f>
        <v>21372.75</v>
      </c>
      <c r="Q20" s="1"/>
      <c r="R20" s="5">
        <f t="shared" si="8"/>
        <v>6.6282986041116834E-2</v>
      </c>
      <c r="S20" s="1"/>
      <c r="T20" s="1">
        <f>SUM(OSRRefT22_0x_0)</f>
        <v>23183.78</v>
      </c>
      <c r="U20" s="1"/>
      <c r="V20" s="5">
        <f t="shared" si="9"/>
        <v>0.15939237268908429</v>
      </c>
      <c r="W20" s="1"/>
      <c r="X20" s="1">
        <f t="shared" si="10"/>
        <v>-1811.0299999999988</v>
      </c>
      <c r="Y20" s="1"/>
      <c r="Z20" s="5">
        <f t="shared" si="11"/>
        <v>-7.8116251965813982E-2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6">
        <v>830.29</v>
      </c>
      <c r="E21" s="2"/>
      <c r="F21" s="7">
        <f t="shared" si="4"/>
        <v>1.5712690662730403E-2</v>
      </c>
      <c r="G21" s="2"/>
      <c r="H21" s="6">
        <v>933.75</v>
      </c>
      <c r="I21" s="2"/>
      <c r="J21" s="7">
        <f t="shared" si="5"/>
        <v>4.184405108671297E-2</v>
      </c>
      <c r="K21" s="2"/>
      <c r="L21" s="6">
        <f t="shared" si="6"/>
        <v>-103.46000000000004</v>
      </c>
      <c r="M21" s="2"/>
      <c r="N21" s="7">
        <f t="shared" si="7"/>
        <v>-0.11080053547523432</v>
      </c>
      <c r="O21" s="11"/>
      <c r="P21" s="6">
        <v>5351.93</v>
      </c>
      <c r="Q21" s="2"/>
      <c r="R21" s="7">
        <f t="shared" si="8"/>
        <v>1.6597859493188028E-2</v>
      </c>
      <c r="S21" s="2"/>
      <c r="T21" s="6">
        <v>5889.58</v>
      </c>
      <c r="U21" s="2"/>
      <c r="V21" s="7">
        <f t="shared" si="9"/>
        <v>4.0491849488831291E-2</v>
      </c>
      <c r="W21" s="2"/>
      <c r="X21" s="6">
        <f t="shared" si="10"/>
        <v>-537.64999999999964</v>
      </c>
      <c r="Y21" s="2"/>
      <c r="Z21" s="7">
        <f t="shared" si="11"/>
        <v>-9.1288343141616143E-2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6">
        <v>171.99</v>
      </c>
      <c r="E22" s="2"/>
      <c r="F22" s="7">
        <f t="shared" si="4"/>
        <v>3.2547973203133872E-3</v>
      </c>
      <c r="G22" s="2"/>
      <c r="H22" s="6">
        <v>53.23</v>
      </c>
      <c r="I22" s="2"/>
      <c r="J22" s="7">
        <f t="shared" si="5"/>
        <v>2.3853909926058701E-3</v>
      </c>
      <c r="K22" s="2"/>
      <c r="L22" s="6">
        <f t="shared" si="6"/>
        <v>118.76000000000002</v>
      </c>
      <c r="M22" s="2"/>
      <c r="N22" s="7">
        <f t="shared" si="7"/>
        <v>2.231072703362766</v>
      </c>
      <c r="O22" s="11"/>
      <c r="P22" s="6">
        <v>495.53</v>
      </c>
      <c r="Q22" s="2"/>
      <c r="R22" s="7">
        <f t="shared" si="8"/>
        <v>1.5367796878246658E-3</v>
      </c>
      <c r="S22" s="2"/>
      <c r="T22" s="6">
        <v>216.64</v>
      </c>
      <c r="U22" s="2"/>
      <c r="V22" s="7">
        <f t="shared" si="9"/>
        <v>1.4894363050099344E-3</v>
      </c>
      <c r="W22" s="2"/>
      <c r="X22" s="6">
        <f t="shared" si="10"/>
        <v>278.89</v>
      </c>
      <c r="Y22" s="2"/>
      <c r="Z22" s="7">
        <f t="shared" si="11"/>
        <v>1.2873430576070901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6">
        <v>1230.45</v>
      </c>
      <c r="E23" s="2"/>
      <c r="F23" s="7">
        <f t="shared" si="4"/>
        <v>2.3285454751901895E-2</v>
      </c>
      <c r="G23" s="2"/>
      <c r="H23" s="6">
        <v>1243.31</v>
      </c>
      <c r="I23" s="2"/>
      <c r="J23" s="7">
        <f t="shared" si="5"/>
        <v>5.5716334304279629E-2</v>
      </c>
      <c r="K23" s="2"/>
      <c r="L23" s="6">
        <f t="shared" si="6"/>
        <v>-12.8599999999999</v>
      </c>
      <c r="M23" s="2"/>
      <c r="N23" s="7">
        <f t="shared" si="7"/>
        <v>-1.0343357650143489E-2</v>
      </c>
      <c r="O23" s="11"/>
      <c r="P23" s="6">
        <v>6172.55</v>
      </c>
      <c r="Q23" s="2"/>
      <c r="R23" s="7">
        <f t="shared" si="8"/>
        <v>1.9142835876903803E-2</v>
      </c>
      <c r="S23" s="2"/>
      <c r="T23" s="6">
        <v>6216.55</v>
      </c>
      <c r="U23" s="2"/>
      <c r="V23" s="7">
        <f t="shared" si="9"/>
        <v>4.2739823033186436E-2</v>
      </c>
      <c r="W23" s="2"/>
      <c r="X23" s="6">
        <f t="shared" si="10"/>
        <v>-44</v>
      </c>
      <c r="Y23" s="2"/>
      <c r="Z23" s="7">
        <f t="shared" si="11"/>
        <v>-7.0778808181386783E-3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6">
        <v>68.3</v>
      </c>
      <c r="E24" s="2"/>
      <c r="F24" s="7">
        <f t="shared" si="4"/>
        <v>1.2925324552439347E-3</v>
      </c>
      <c r="G24" s="2"/>
      <c r="H24" s="6">
        <v>40.71</v>
      </c>
      <c r="I24" s="2"/>
      <c r="J24" s="7">
        <f t="shared" si="5"/>
        <v>1.8243334080215103E-3</v>
      </c>
      <c r="K24" s="2"/>
      <c r="L24" s="6">
        <f t="shared" si="6"/>
        <v>27.589999999999996</v>
      </c>
      <c r="M24" s="2"/>
      <c r="N24" s="7">
        <f t="shared" si="7"/>
        <v>0.67772046180299672</v>
      </c>
      <c r="O24" s="11"/>
      <c r="P24" s="6">
        <v>214.6</v>
      </c>
      <c r="Q24" s="2"/>
      <c r="R24" s="7">
        <f t="shared" si="8"/>
        <v>6.6553573145354116E-4</v>
      </c>
      <c r="S24" s="2"/>
      <c r="T24" s="6">
        <v>234.92</v>
      </c>
      <c r="U24" s="2"/>
      <c r="V24" s="7">
        <f t="shared" si="9"/>
        <v>1.61511436841273E-3</v>
      </c>
      <c r="W24" s="2"/>
      <c r="X24" s="6">
        <f t="shared" si="10"/>
        <v>-20.319999999999993</v>
      </c>
      <c r="Y24" s="2"/>
      <c r="Z24" s="7">
        <f t="shared" si="11"/>
        <v>-8.6497531074408288E-2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6">
        <v>1318.86</v>
      </c>
      <c r="E25" s="2"/>
      <c r="F25" s="7">
        <f t="shared" si="4"/>
        <v>2.4958555694334049E-2</v>
      </c>
      <c r="G25" s="2"/>
      <c r="H25" s="6">
        <v>639.47</v>
      </c>
      <c r="I25" s="2"/>
      <c r="J25" s="7">
        <f t="shared" si="5"/>
        <v>2.8656509074613489E-2</v>
      </c>
      <c r="K25" s="2"/>
      <c r="L25" s="6">
        <f t="shared" si="6"/>
        <v>679.38999999999987</v>
      </c>
      <c r="M25" s="2"/>
      <c r="N25" s="7">
        <f t="shared" si="7"/>
        <v>1.0624266971085428</v>
      </c>
      <c r="O25" s="11"/>
      <c r="P25" s="6">
        <v>4179.3500000000004</v>
      </c>
      <c r="Q25" s="2"/>
      <c r="R25" s="7">
        <f t="shared" si="8"/>
        <v>1.296135488933065E-2</v>
      </c>
      <c r="S25" s="2"/>
      <c r="T25" s="6">
        <v>3967.77</v>
      </c>
      <c r="U25" s="2"/>
      <c r="V25" s="7">
        <f t="shared" si="9"/>
        <v>2.7279083677664642E-2</v>
      </c>
      <c r="W25" s="2"/>
      <c r="X25" s="6">
        <f t="shared" si="10"/>
        <v>211.58000000000038</v>
      </c>
      <c r="Y25" s="2"/>
      <c r="Z25" s="7">
        <f t="shared" si="11"/>
        <v>5.3324663475957622E-2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6">
        <v>74.84</v>
      </c>
      <c r="E26" s="2"/>
      <c r="F26" s="7">
        <f t="shared" si="4"/>
        <v>1.4162976420271755E-3</v>
      </c>
      <c r="G26" s="2"/>
      <c r="H26" s="6"/>
      <c r="I26" s="2"/>
      <c r="J26" s="7">
        <f t="shared" si="5"/>
        <v>0</v>
      </c>
      <c r="K26" s="2"/>
      <c r="L26" s="6">
        <f t="shared" si="6"/>
        <v>74.84</v>
      </c>
      <c r="M26" s="2"/>
      <c r="N26" s="7">
        <f t="shared" si="7"/>
        <v>0</v>
      </c>
      <c r="O26" s="11"/>
      <c r="P26" s="6">
        <v>452.74</v>
      </c>
      <c r="Q26" s="2"/>
      <c r="R26" s="7">
        <f t="shared" si="8"/>
        <v>1.404075708566059E-3</v>
      </c>
      <c r="S26" s="2"/>
      <c r="T26" s="6"/>
      <c r="U26" s="2"/>
      <c r="V26" s="7">
        <f t="shared" si="9"/>
        <v>0</v>
      </c>
      <c r="W26" s="2"/>
      <c r="X26" s="6">
        <f t="shared" si="10"/>
        <v>452.74</v>
      </c>
      <c r="Y26" s="2"/>
      <c r="Z26" s="7">
        <f t="shared" si="11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520.02</v>
      </c>
      <c r="E27" s="2"/>
      <c r="F27" s="7">
        <f t="shared" si="4"/>
        <v>9.841035539911433E-3</v>
      </c>
      <c r="G27" s="2"/>
      <c r="H27" s="6">
        <v>577.95000000000005</v>
      </c>
      <c r="I27" s="2"/>
      <c r="J27" s="7">
        <f t="shared" si="5"/>
        <v>2.5899619090298007E-2</v>
      </c>
      <c r="K27" s="2"/>
      <c r="L27" s="6">
        <f t="shared" si="6"/>
        <v>-57.930000000000064</v>
      </c>
      <c r="M27" s="2"/>
      <c r="N27" s="7">
        <f t="shared" si="7"/>
        <v>-0.10023358422008835</v>
      </c>
      <c r="O27" s="11"/>
      <c r="P27" s="6">
        <v>2860.11</v>
      </c>
      <c r="Q27" s="2"/>
      <c r="R27" s="7">
        <f t="shared" si="8"/>
        <v>8.8700158475656463E-3</v>
      </c>
      <c r="S27" s="2"/>
      <c r="T27" s="6">
        <v>3914.94</v>
      </c>
      <c r="U27" s="2"/>
      <c r="V27" s="7">
        <f t="shared" si="9"/>
        <v>2.6915868574296498E-2</v>
      </c>
      <c r="W27" s="2"/>
      <c r="X27" s="6">
        <f t="shared" si="10"/>
        <v>-1054.83</v>
      </c>
      <c r="Y27" s="2"/>
      <c r="Z27" s="7">
        <f t="shared" si="11"/>
        <v>-0.26943707949547119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299.26</v>
      </c>
      <c r="E28" s="2"/>
      <c r="F28" s="7">
        <f t="shared" si="4"/>
        <v>5.6632981340600276E-3</v>
      </c>
      <c r="G28" s="2"/>
      <c r="H28" s="6">
        <v>288.57</v>
      </c>
      <c r="I28" s="2"/>
      <c r="J28" s="7">
        <f t="shared" si="5"/>
        <v>1.2931660318171632E-2</v>
      </c>
      <c r="K28" s="2"/>
      <c r="L28" s="6">
        <f t="shared" si="6"/>
        <v>10.689999999999998</v>
      </c>
      <c r="M28" s="2"/>
      <c r="N28" s="7">
        <f t="shared" si="7"/>
        <v>3.7044737845236854E-2</v>
      </c>
      <c r="O28" s="11"/>
      <c r="P28" s="6">
        <v>1645.94</v>
      </c>
      <c r="Q28" s="2"/>
      <c r="R28" s="7">
        <f t="shared" si="8"/>
        <v>5.1045288062844434E-3</v>
      </c>
      <c r="S28" s="2"/>
      <c r="T28" s="6">
        <v>1977.13</v>
      </c>
      <c r="U28" s="2"/>
      <c r="V28" s="7">
        <f t="shared" si="9"/>
        <v>1.3593100081814495E-2</v>
      </c>
      <c r="W28" s="2"/>
      <c r="X28" s="6">
        <f t="shared" si="10"/>
        <v>-331.19000000000005</v>
      </c>
      <c r="Y28" s="2"/>
      <c r="Z28" s="7">
        <f t="shared" si="11"/>
        <v>-0.16751048236585356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/>
      <c r="E29" s="2"/>
      <c r="F29" s="7">
        <f t="shared" si="4"/>
        <v>0</v>
      </c>
      <c r="G29" s="2"/>
      <c r="H29" s="6">
        <v>156.83000000000001</v>
      </c>
      <c r="I29" s="2"/>
      <c r="J29" s="7">
        <f t="shared" si="5"/>
        <v>7.028008066323102E-3</v>
      </c>
      <c r="K29" s="2"/>
      <c r="L29" s="6">
        <f t="shared" si="6"/>
        <v>-156.83000000000001</v>
      </c>
      <c r="M29" s="2"/>
      <c r="N29" s="7">
        <f t="shared" si="7"/>
        <v>-1</v>
      </c>
      <c r="O29" s="11"/>
      <c r="P29" s="6"/>
      <c r="Q29" s="2"/>
      <c r="R29" s="7">
        <f t="shared" si="8"/>
        <v>0</v>
      </c>
      <c r="S29" s="2"/>
      <c r="T29" s="6">
        <v>766.25</v>
      </c>
      <c r="U29" s="2"/>
      <c r="V29" s="7">
        <f t="shared" si="9"/>
        <v>5.2680971598682716E-3</v>
      </c>
      <c r="W29" s="2"/>
      <c r="X29" s="6">
        <f t="shared" si="10"/>
        <v>-766.25</v>
      </c>
      <c r="Y29" s="2"/>
      <c r="Z29" s="7">
        <f t="shared" si="11"/>
        <v>-1</v>
      </c>
    </row>
    <row r="30" spans="1:26" s="26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10918.12</v>
      </c>
      <c r="E30" s="1"/>
      <c r="F30" s="5">
        <f t="shared" ref="F30:F35" si="12">IF(D$12=0,0,D30/D$12)</f>
        <v>0.20661822035502064</v>
      </c>
      <c r="G30" s="1"/>
      <c r="H30" s="1">
        <f>SUM(OSRRefH22_1x_0)</f>
        <v>14847.91</v>
      </c>
      <c r="I30" s="1"/>
      <c r="J30" s="5">
        <f t="shared" ref="J30:J35" si="13">IF(H$12=0,0,H30/H$12)</f>
        <v>0.66537799686309651</v>
      </c>
      <c r="K30" s="1"/>
      <c r="L30" s="1">
        <f t="shared" ref="L30:L35" si="14">+D30-H30</f>
        <v>-3929.7899999999991</v>
      </c>
      <c r="M30" s="1"/>
      <c r="N30" s="5">
        <f t="shared" ref="N30:N35" si="15">IF(H30=0,0,L30/H30)</f>
        <v>-0.26466957302408212</v>
      </c>
      <c r="O30" s="13"/>
      <c r="P30" s="1">
        <f>SUM(OSRRefP22_1x_0)</f>
        <v>72655.399999999994</v>
      </c>
      <c r="Q30" s="1"/>
      <c r="R30" s="5">
        <f t="shared" ref="R30:R35" si="16">IF(P$12=0,0,P30/P$12)</f>
        <v>0.22532509218569252</v>
      </c>
      <c r="S30" s="1"/>
      <c r="T30" s="1">
        <f>SUM(OSRRefT22_1x_0)</f>
        <v>87099.37000000001</v>
      </c>
      <c r="U30" s="1"/>
      <c r="V30" s="5">
        <f t="shared" ref="V30:V35" si="17">IF(T$12=0,0,T30/T$12)</f>
        <v>0.59882276505489829</v>
      </c>
      <c r="W30" s="1"/>
      <c r="X30" s="1">
        <f t="shared" ref="X30:X35" si="18">+P30-T30</f>
        <v>-14443.970000000016</v>
      </c>
      <c r="Y30" s="1"/>
      <c r="Z30" s="5">
        <f t="shared" ref="Z30:Z35" si="19">IF(T30=0,0,X30/T30)</f>
        <v>-0.16583323162957453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>
        <v>3995.44</v>
      </c>
      <c r="E31" s="2"/>
      <c r="F31" s="7">
        <f t="shared" si="12"/>
        <v>7.5611066954316644E-2</v>
      </c>
      <c r="G31" s="2"/>
      <c r="H31" s="6"/>
      <c r="I31" s="2"/>
      <c r="J31" s="7">
        <f t="shared" si="13"/>
        <v>0</v>
      </c>
      <c r="K31" s="2"/>
      <c r="L31" s="6">
        <f t="shared" si="14"/>
        <v>3995.44</v>
      </c>
      <c r="M31" s="2"/>
      <c r="N31" s="7">
        <f t="shared" si="15"/>
        <v>0</v>
      </c>
      <c r="O31" s="11"/>
      <c r="P31" s="6">
        <v>21869.74</v>
      </c>
      <c r="Q31" s="2"/>
      <c r="R31" s="7">
        <f t="shared" si="16"/>
        <v>6.7824293604840491E-2</v>
      </c>
      <c r="S31" s="2"/>
      <c r="T31" s="6"/>
      <c r="U31" s="2"/>
      <c r="V31" s="7">
        <f t="shared" si="17"/>
        <v>0</v>
      </c>
      <c r="W31" s="2"/>
      <c r="X31" s="6">
        <f t="shared" si="18"/>
        <v>21869.74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>
        <v>1939.95</v>
      </c>
      <c r="E32" s="2"/>
      <c r="F32" s="7">
        <f t="shared" si="12"/>
        <v>3.6712274327239697E-2</v>
      </c>
      <c r="G32" s="2"/>
      <c r="H32" s="6">
        <v>5943.64</v>
      </c>
      <c r="I32" s="2"/>
      <c r="J32" s="7">
        <f t="shared" si="13"/>
        <v>0.26635178131301818</v>
      </c>
      <c r="K32" s="2"/>
      <c r="L32" s="6">
        <f t="shared" si="14"/>
        <v>-4003.6900000000005</v>
      </c>
      <c r="M32" s="2"/>
      <c r="N32" s="7">
        <f t="shared" si="15"/>
        <v>-0.67360910149336106</v>
      </c>
      <c r="O32" s="11"/>
      <c r="P32" s="6">
        <v>11753.84</v>
      </c>
      <c r="Q32" s="2"/>
      <c r="R32" s="7">
        <f t="shared" si="16"/>
        <v>3.6452006066113193E-2</v>
      </c>
      <c r="S32" s="2"/>
      <c r="T32" s="6">
        <v>29181.88</v>
      </c>
      <c r="U32" s="2"/>
      <c r="V32" s="7">
        <f t="shared" si="17"/>
        <v>0.200630315363937</v>
      </c>
      <c r="W32" s="2"/>
      <c r="X32" s="6">
        <f t="shared" si="18"/>
        <v>-17428.04</v>
      </c>
      <c r="Y32" s="2"/>
      <c r="Z32" s="7">
        <f t="shared" si="19"/>
        <v>-0.59722128937546182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6">
        <v>3993.44</v>
      </c>
      <c r="E33" s="2"/>
      <c r="F33" s="7">
        <f t="shared" si="12"/>
        <v>7.5573218273343179E-2</v>
      </c>
      <c r="G33" s="2"/>
      <c r="H33" s="6">
        <v>6413.45</v>
      </c>
      <c r="I33" s="2"/>
      <c r="J33" s="7">
        <f t="shared" si="13"/>
        <v>0.28740533273582791</v>
      </c>
      <c r="K33" s="2"/>
      <c r="L33" s="6">
        <f t="shared" si="14"/>
        <v>-2420.0099999999998</v>
      </c>
      <c r="M33" s="2"/>
      <c r="N33" s="7">
        <f t="shared" si="15"/>
        <v>-0.37733357241422322</v>
      </c>
      <c r="O33" s="11"/>
      <c r="P33" s="6">
        <v>33346.76</v>
      </c>
      <c r="Q33" s="2"/>
      <c r="R33" s="7">
        <f t="shared" si="16"/>
        <v>0.10341780199536668</v>
      </c>
      <c r="S33" s="2"/>
      <c r="T33" s="6">
        <v>39096.04</v>
      </c>
      <c r="U33" s="2"/>
      <c r="V33" s="7">
        <f t="shared" si="17"/>
        <v>0.26879182680077829</v>
      </c>
      <c r="W33" s="2"/>
      <c r="X33" s="6">
        <f t="shared" si="18"/>
        <v>-5749.2799999999988</v>
      </c>
      <c r="Y33" s="2"/>
      <c r="Z33" s="7">
        <f t="shared" si="19"/>
        <v>-0.14705530278769918</v>
      </c>
    </row>
    <row r="34" spans="1:26" s="24" customFormat="1" hidden="1" outlineLevel="2" x14ac:dyDescent="0.25">
      <c r="A34" s="25"/>
      <c r="B34" s="11" t="str">
        <f>CONCATENATE("          ", "6007", " - ", "STUDENT HOURLY")</f>
        <v xml:space="preserve">          6007 - STUDENT HOURLY</v>
      </c>
      <c r="C34" s="11"/>
      <c r="D34" s="6">
        <v>504.75</v>
      </c>
      <c r="E34" s="2"/>
      <c r="F34" s="7">
        <f t="shared" si="12"/>
        <v>9.5520608606790049E-3</v>
      </c>
      <c r="G34" s="2"/>
      <c r="H34" s="6">
        <v>1780</v>
      </c>
      <c r="I34" s="2"/>
      <c r="J34" s="7">
        <f t="shared" si="13"/>
        <v>7.9766972888191803E-2</v>
      </c>
      <c r="K34" s="2"/>
      <c r="L34" s="6">
        <f t="shared" si="14"/>
        <v>-1275.25</v>
      </c>
      <c r="M34" s="2"/>
      <c r="N34" s="7">
        <f t="shared" si="15"/>
        <v>-0.71643258426966294</v>
      </c>
      <c r="O34" s="11"/>
      <c r="P34" s="6">
        <v>3315.98</v>
      </c>
      <c r="Q34" s="2"/>
      <c r="R34" s="7">
        <f t="shared" si="16"/>
        <v>1.0283798577750762E-2</v>
      </c>
      <c r="S34" s="2"/>
      <c r="T34" s="6">
        <v>15047.430000000002</v>
      </c>
      <c r="U34" s="2"/>
      <c r="V34" s="7">
        <f t="shared" si="17"/>
        <v>0.10345360293157148</v>
      </c>
      <c r="W34" s="2"/>
      <c r="X34" s="6">
        <f t="shared" si="18"/>
        <v>-11731.450000000003</v>
      </c>
      <c r="Y34" s="2"/>
      <c r="Z34" s="7">
        <f t="shared" si="19"/>
        <v>-0.77963147195235338</v>
      </c>
    </row>
    <row r="35" spans="1:26" s="24" customFormat="1" hidden="1" outlineLevel="2" x14ac:dyDescent="0.25">
      <c r="A35" s="25"/>
      <c r="B35" s="11" t="str">
        <f>CONCATENATE("          ", "6008", " - ", "STUDENT HOURLY-FICA EXEMPT")</f>
        <v xml:space="preserve">          6008 - STUDENT HOURLY-FICA EXEMPT</v>
      </c>
      <c r="C35" s="11"/>
      <c r="D35" s="6">
        <v>484.54</v>
      </c>
      <c r="E35" s="2"/>
      <c r="F35" s="7">
        <f t="shared" si="12"/>
        <v>9.1695999394421114E-3</v>
      </c>
      <c r="G35" s="2"/>
      <c r="H35" s="6">
        <v>710.82</v>
      </c>
      <c r="I35" s="2"/>
      <c r="J35" s="7">
        <f t="shared" si="13"/>
        <v>3.1853909926058709E-2</v>
      </c>
      <c r="K35" s="2"/>
      <c r="L35" s="6">
        <f t="shared" si="14"/>
        <v>-226.28000000000003</v>
      </c>
      <c r="M35" s="2"/>
      <c r="N35" s="7">
        <f t="shared" si="15"/>
        <v>-0.31833656903294788</v>
      </c>
      <c r="O35" s="11"/>
      <c r="P35" s="6">
        <v>2369.08</v>
      </c>
      <c r="Q35" s="2"/>
      <c r="R35" s="7">
        <f t="shared" si="16"/>
        <v>7.3471919416214131E-3</v>
      </c>
      <c r="S35" s="2"/>
      <c r="T35" s="6">
        <v>3774.02</v>
      </c>
      <c r="U35" s="2"/>
      <c r="V35" s="7">
        <f t="shared" si="17"/>
        <v>2.5947019958611491E-2</v>
      </c>
      <c r="W35" s="2"/>
      <c r="X35" s="6">
        <f t="shared" si="18"/>
        <v>-1404.94</v>
      </c>
      <c r="Y35" s="2"/>
      <c r="Z35" s="7">
        <f t="shared" si="19"/>
        <v>-0.3722661777097101</v>
      </c>
    </row>
    <row r="36" spans="1:26" s="26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0</v>
      </c>
      <c r="I36" s="1"/>
      <c r="J36" s="5">
        <f t="shared" ref="J36:J44" si="21">IF(H$12=0,0,H36/H$12)</f>
        <v>0</v>
      </c>
      <c r="K36" s="1"/>
      <c r="L36" s="1">
        <f t="shared" ref="L36:L44" si="22">+D36-H36</f>
        <v>0</v>
      </c>
      <c r="M36" s="1"/>
      <c r="N36" s="5">
        <f t="shared" ref="N36:N44" si="23">IF(H36=0,0,L36/H36)</f>
        <v>0</v>
      </c>
      <c r="O36" s="13"/>
      <c r="P36" s="1">
        <f>SUM(OSRRefP22_2x_0)</f>
        <v>0</v>
      </c>
      <c r="Q36" s="1"/>
      <c r="R36" s="5">
        <f t="shared" ref="R36:R44" si="24">IF(P$12=0,0,P36/P$12)</f>
        <v>0</v>
      </c>
      <c r="S36" s="1"/>
      <c r="T36" s="1">
        <f>SUM(OSRRefT22_2x_0)</f>
        <v>106.77</v>
      </c>
      <c r="U36" s="1"/>
      <c r="V36" s="5">
        <f t="shared" ref="V36:V44" si="25">IF(T$12=0,0,T36/T$12)</f>
        <v>7.340616427525421E-4</v>
      </c>
      <c r="W36" s="1"/>
      <c r="X36" s="1">
        <f t="shared" ref="X36:X44" si="26">+P36-T36</f>
        <v>-106.77</v>
      </c>
      <c r="Y36" s="1"/>
      <c r="Z36" s="5">
        <f t="shared" ref="Z36:Z44" si="27">IF(T36=0,0,X36/T36)</f>
        <v>-1</v>
      </c>
    </row>
    <row r="37" spans="1:26" s="24" customFormat="1" hidden="1" outlineLevel="2" x14ac:dyDescent="0.25">
      <c r="A37" s="25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0"/>
        <v>0</v>
      </c>
      <c r="G37" s="2"/>
      <c r="H37" s="6"/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106.77</v>
      </c>
      <c r="U37" s="2"/>
      <c r="V37" s="7">
        <f t="shared" si="25"/>
        <v>7.340616427525421E-4</v>
      </c>
      <c r="W37" s="2"/>
      <c r="X37" s="6">
        <f t="shared" si="26"/>
        <v>-106.77</v>
      </c>
      <c r="Y37" s="2"/>
      <c r="Z37" s="7">
        <f t="shared" si="27"/>
        <v>-1</v>
      </c>
    </row>
    <row r="38" spans="1:26" s="26" customFormat="1" outlineLevel="1" collapsed="1" x14ac:dyDescent="0.25">
      <c r="A38" s="27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54.7</v>
      </c>
      <c r="E38" s="1"/>
      <c r="F38" s="5">
        <f t="shared" si="20"/>
        <v>1.0351614246243519E-3</v>
      </c>
      <c r="G38" s="1"/>
      <c r="H38" s="1">
        <f>SUM(OSRRefH22_3x_0)</f>
        <v>2341.1</v>
      </c>
      <c r="I38" s="1"/>
      <c r="J38" s="5">
        <f t="shared" si="21"/>
        <v>0.10491149451041899</v>
      </c>
      <c r="K38" s="1"/>
      <c r="L38" s="1">
        <f t="shared" si="22"/>
        <v>-2286.4</v>
      </c>
      <c r="M38" s="1"/>
      <c r="N38" s="5">
        <f t="shared" si="23"/>
        <v>-0.97663491521079837</v>
      </c>
      <c r="O38" s="13"/>
      <c r="P38" s="1">
        <f>SUM(OSRRefP22_3x_0)</f>
        <v>574.16999999999996</v>
      </c>
      <c r="Q38" s="1"/>
      <c r="R38" s="5">
        <f t="shared" si="24"/>
        <v>1.7806647293973892E-3</v>
      </c>
      <c r="S38" s="1"/>
      <c r="T38" s="1">
        <f>SUM(OSRRefT22_3x_0)</f>
        <v>10857.79</v>
      </c>
      <c r="U38" s="1"/>
      <c r="V38" s="5">
        <f t="shared" si="25"/>
        <v>7.4649125822441931E-2</v>
      </c>
      <c r="W38" s="1"/>
      <c r="X38" s="1">
        <f t="shared" si="26"/>
        <v>-10283.620000000001</v>
      </c>
      <c r="Y38" s="1"/>
      <c r="Z38" s="5">
        <f t="shared" si="27"/>
        <v>-0.9471190730341994</v>
      </c>
    </row>
    <row r="39" spans="1:26" s="24" customFormat="1" hidden="1" outlineLevel="2" x14ac:dyDescent="0.25">
      <c r="A39" s="25"/>
      <c r="B39" s="11" t="str">
        <f>CONCATENATE("          ", "6381", " - ", "BANK/CREDIT CARD FEES")</f>
        <v xml:space="preserve">          6381 - BANK/CREDIT CARD FEES</v>
      </c>
      <c r="C39" s="11"/>
      <c r="D39" s="6">
        <v>54.7</v>
      </c>
      <c r="E39" s="2"/>
      <c r="F39" s="7">
        <f t="shared" si="20"/>
        <v>1.0351614246243519E-3</v>
      </c>
      <c r="G39" s="2"/>
      <c r="H39" s="6">
        <v>2341.1</v>
      </c>
      <c r="I39" s="2"/>
      <c r="J39" s="7">
        <f t="shared" si="21"/>
        <v>0.10491149451041899</v>
      </c>
      <c r="K39" s="2"/>
      <c r="L39" s="6">
        <f t="shared" si="22"/>
        <v>-2286.4</v>
      </c>
      <c r="M39" s="2"/>
      <c r="N39" s="7">
        <f t="shared" si="23"/>
        <v>-0.97663491521079837</v>
      </c>
      <c r="O39" s="11"/>
      <c r="P39" s="6">
        <v>574.16999999999996</v>
      </c>
      <c r="Q39" s="2"/>
      <c r="R39" s="7">
        <f t="shared" si="24"/>
        <v>1.7806647293973892E-3</v>
      </c>
      <c r="S39" s="2"/>
      <c r="T39" s="6">
        <v>10857.79</v>
      </c>
      <c r="U39" s="2"/>
      <c r="V39" s="7">
        <f t="shared" si="25"/>
        <v>7.4649125822441931E-2</v>
      </c>
      <c r="W39" s="2"/>
      <c r="X39" s="6">
        <f t="shared" si="26"/>
        <v>-10283.620000000001</v>
      </c>
      <c r="Y39" s="2"/>
      <c r="Z39" s="7">
        <f t="shared" si="27"/>
        <v>-0.9471190730341994</v>
      </c>
    </row>
    <row r="40" spans="1:26" s="26" customFormat="1" outlineLevel="1" collapsed="1" x14ac:dyDescent="0.25">
      <c r="A40" s="27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3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64.239999999999995</v>
      </c>
      <c r="U40" s="1"/>
      <c r="V40" s="5">
        <f t="shared" si="25"/>
        <v>4.4166076548115857E-4</v>
      </c>
      <c r="W40" s="1"/>
      <c r="X40" s="1">
        <f t="shared" si="26"/>
        <v>-64.239999999999995</v>
      </c>
      <c r="Y40" s="1"/>
      <c r="Z40" s="5">
        <f t="shared" si="27"/>
        <v>-1</v>
      </c>
    </row>
    <row r="41" spans="1:26" s="24" customFormat="1" hidden="1" outlineLevel="2" x14ac:dyDescent="0.25">
      <c r="A41" s="25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64.239999999999995</v>
      </c>
      <c r="U41" s="2"/>
      <c r="V41" s="7">
        <f t="shared" si="25"/>
        <v>4.4166076548115857E-4</v>
      </c>
      <c r="W41" s="2"/>
      <c r="X41" s="6">
        <f t="shared" si="26"/>
        <v>-64.239999999999995</v>
      </c>
      <c r="Y41" s="2"/>
      <c r="Z41" s="7">
        <f t="shared" si="27"/>
        <v>-1</v>
      </c>
    </row>
    <row r="42" spans="1:26" s="26" customFormat="1" outlineLevel="1" collapsed="1" x14ac:dyDescent="0.25">
      <c r="A42" s="27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3"/>
      <c r="P42" s="1">
        <f>SUM(OSRRefP22_5x_0)</f>
        <v>2.12</v>
      </c>
      <c r="Q42" s="1"/>
      <c r="R42" s="5">
        <f t="shared" si="24"/>
        <v>6.5747239081151328E-6</v>
      </c>
      <c r="S42" s="1"/>
      <c r="T42" s="1">
        <f>SUM(OSRRefT22_5x_0)</f>
        <v>0</v>
      </c>
      <c r="U42" s="1"/>
      <c r="V42" s="5">
        <f t="shared" si="25"/>
        <v>0</v>
      </c>
      <c r="W42" s="1"/>
      <c r="X42" s="1">
        <f t="shared" si="26"/>
        <v>2.12</v>
      </c>
      <c r="Y42" s="1"/>
      <c r="Z42" s="5">
        <f t="shared" si="27"/>
        <v>0</v>
      </c>
    </row>
    <row r="43" spans="1:26" s="24" customFormat="1" hidden="1" outlineLevel="2" x14ac:dyDescent="0.25">
      <c r="A43" s="25"/>
      <c r="B43" s="11" t="str">
        <f>CONCATENATE("          ", "6305", " - ", "FREIGHT OUT")</f>
        <v xml:space="preserve">          6305 - FREIGHT OUT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1.62</v>
      </c>
      <c r="Q43" s="2"/>
      <c r="R43" s="7">
        <f t="shared" si="24"/>
        <v>5.024081476955903E-6</v>
      </c>
      <c r="S43" s="2"/>
      <c r="T43" s="6"/>
      <c r="U43" s="2"/>
      <c r="V43" s="7">
        <f t="shared" si="25"/>
        <v>0</v>
      </c>
      <c r="W43" s="2"/>
      <c r="X43" s="6">
        <f t="shared" si="26"/>
        <v>1.62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20"/>
        <v>0</v>
      </c>
      <c r="G44" s="2"/>
      <c r="H44" s="6"/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>
        <v>0.5</v>
      </c>
      <c r="Q44" s="2"/>
      <c r="R44" s="7">
        <f t="shared" si="24"/>
        <v>1.5506424311592292E-6</v>
      </c>
      <c r="S44" s="2"/>
      <c r="T44" s="6"/>
      <c r="U44" s="2"/>
      <c r="V44" s="7">
        <f t="shared" si="25"/>
        <v>0</v>
      </c>
      <c r="W44" s="2"/>
      <c r="X44" s="6">
        <f t="shared" si="26"/>
        <v>0.5</v>
      </c>
      <c r="Y44" s="2"/>
      <c r="Z44" s="7">
        <f t="shared" si="27"/>
        <v>0</v>
      </c>
    </row>
    <row r="45" spans="1:26" s="26" customFormat="1" outlineLevel="1" collapsed="1" x14ac:dyDescent="0.25">
      <c r="A45" s="27"/>
      <c r="B45" s="13" t="str">
        <f>CONCATENATE("     ","Insurance                                         ")</f>
        <v xml:space="preserve">     Insurance                                         </v>
      </c>
      <c r="C45" s="13"/>
      <c r="D45" s="1">
        <f>SUM(OSRRefD22_6x_0)</f>
        <v>29.01</v>
      </c>
      <c r="E45" s="1"/>
      <c r="F45" s="5">
        <f t="shared" ref="F45:F52" si="28">IF(D$12=0,0,D45/D$12)</f>
        <v>5.4899511752015445E-4</v>
      </c>
      <c r="G45" s="1"/>
      <c r="H45" s="1">
        <f>SUM(OSRRefH22_6x_0)</f>
        <v>29.01</v>
      </c>
      <c r="I45" s="1"/>
      <c r="J45" s="5">
        <f t="shared" ref="J45:J52" si="29">IF(H$12=0,0,H45/H$12)</f>
        <v>1.3000224064530586E-3</v>
      </c>
      <c r="K45" s="1"/>
      <c r="L45" s="1">
        <f t="shared" ref="L45:L52" si="30">+D45-H45</f>
        <v>0</v>
      </c>
      <c r="M45" s="1"/>
      <c r="N45" s="5">
        <f t="shared" ref="N45:N52" si="31">IF(H45=0,0,L45/H45)</f>
        <v>0</v>
      </c>
      <c r="O45" s="13"/>
      <c r="P45" s="1">
        <f>SUM(OSRRefP22_6x_0)</f>
        <v>145.05000000000001</v>
      </c>
      <c r="Q45" s="1"/>
      <c r="R45" s="5">
        <f t="shared" ref="R45:R52" si="32">IF(P$12=0,0,P45/P$12)</f>
        <v>4.4984136927929245E-4</v>
      </c>
      <c r="S45" s="1"/>
      <c r="T45" s="1">
        <f>SUM(OSRRefT22_6x_0)</f>
        <v>145.05000000000001</v>
      </c>
      <c r="U45" s="1"/>
      <c r="V45" s="5">
        <f t="shared" ref="V45:V52" si="33">IF(T$12=0,0,T45/T$12)</f>
        <v>9.9724305779953391E-4</v>
      </c>
      <c r="W45" s="1"/>
      <c r="X45" s="1">
        <f t="shared" ref="X45:X52" si="34">+P45-T45</f>
        <v>0</v>
      </c>
      <c r="Y45" s="1"/>
      <c r="Z45" s="5">
        <f t="shared" ref="Z45:Z52" si="35">IF(T45=0,0,X45/T45)</f>
        <v>0</v>
      </c>
    </row>
    <row r="46" spans="1:26" s="24" customFormat="1" hidden="1" outlineLevel="2" x14ac:dyDescent="0.25">
      <c r="A46" s="25"/>
      <c r="B46" s="11" t="str">
        <f>CONCATENATE("          ", "6314", " - ", "LIABILITY INSURANCE")</f>
        <v xml:space="preserve">          6314 - LIABILITY INSURANCE</v>
      </c>
      <c r="C46" s="11"/>
      <c r="D46" s="6">
        <v>29.01</v>
      </c>
      <c r="E46" s="2"/>
      <c r="F46" s="7">
        <f t="shared" si="28"/>
        <v>5.4899511752015445E-4</v>
      </c>
      <c r="G46" s="2"/>
      <c r="H46" s="6">
        <v>29.01</v>
      </c>
      <c r="I46" s="2"/>
      <c r="J46" s="7">
        <f t="shared" si="29"/>
        <v>1.3000224064530586E-3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145.05000000000001</v>
      </c>
      <c r="Q46" s="2"/>
      <c r="R46" s="7">
        <f t="shared" si="32"/>
        <v>4.4984136927929245E-4</v>
      </c>
      <c r="S46" s="2"/>
      <c r="T46" s="6">
        <v>145.05000000000001</v>
      </c>
      <c r="U46" s="2"/>
      <c r="V46" s="7">
        <f t="shared" si="33"/>
        <v>9.9724305779953391E-4</v>
      </c>
      <c r="W46" s="2"/>
      <c r="X46" s="6">
        <f t="shared" si="34"/>
        <v>0</v>
      </c>
      <c r="Y46" s="2"/>
      <c r="Z46" s="7">
        <f t="shared" si="35"/>
        <v>0</v>
      </c>
    </row>
    <row r="47" spans="1:26" s="26" customFormat="1" outlineLevel="1" collapsed="1" x14ac:dyDescent="0.25">
      <c r="A47" s="27"/>
      <c r="B47" s="13" t="str">
        <f>CONCATENATE("     ","Rent                                              ")</f>
        <v xml:space="preserve">     Rent                                              </v>
      </c>
      <c r="C47" s="13"/>
      <c r="D47" s="1">
        <f>SUM(OSRRefD22_7x_0)</f>
        <v>800</v>
      </c>
      <c r="E47" s="1"/>
      <c r="F47" s="5">
        <f t="shared" si="28"/>
        <v>1.513947238938723E-2</v>
      </c>
      <c r="G47" s="1"/>
      <c r="H47" s="1">
        <f>SUM(OSRRefH22_7x_0)</f>
        <v>800</v>
      </c>
      <c r="I47" s="1"/>
      <c r="J47" s="5">
        <f t="shared" si="29"/>
        <v>3.5850324893569346E-2</v>
      </c>
      <c r="K47" s="1"/>
      <c r="L47" s="1">
        <f t="shared" si="30"/>
        <v>0</v>
      </c>
      <c r="M47" s="1"/>
      <c r="N47" s="5">
        <f t="shared" si="31"/>
        <v>0</v>
      </c>
      <c r="O47" s="13"/>
      <c r="P47" s="1">
        <f>SUM(OSRRefP22_7x_0)</f>
        <v>4000</v>
      </c>
      <c r="Q47" s="1"/>
      <c r="R47" s="5">
        <f t="shared" si="32"/>
        <v>1.2405139449273834E-2</v>
      </c>
      <c r="S47" s="1"/>
      <c r="T47" s="1">
        <f>SUM(OSRRefT22_7x_0)</f>
        <v>4000</v>
      </c>
      <c r="U47" s="1"/>
      <c r="V47" s="5">
        <f t="shared" si="33"/>
        <v>2.7500670328839266E-2</v>
      </c>
      <c r="W47" s="1"/>
      <c r="X47" s="1">
        <f t="shared" si="34"/>
        <v>0</v>
      </c>
      <c r="Y47" s="1"/>
      <c r="Z47" s="5">
        <f t="shared" si="35"/>
        <v>0</v>
      </c>
    </row>
    <row r="48" spans="1:26" s="24" customFormat="1" hidden="1" outlineLevel="2" x14ac:dyDescent="0.25">
      <c r="A48" s="25"/>
      <c r="B48" s="11" t="str">
        <f>CONCATENATE("          ", "6273", " - ", "RENT")</f>
        <v xml:space="preserve">          6273 - RENT</v>
      </c>
      <c r="C48" s="11"/>
      <c r="D48" s="6">
        <v>800</v>
      </c>
      <c r="E48" s="2"/>
      <c r="F48" s="7">
        <f t="shared" si="28"/>
        <v>1.513947238938723E-2</v>
      </c>
      <c r="G48" s="2"/>
      <c r="H48" s="6">
        <v>800</v>
      </c>
      <c r="I48" s="2"/>
      <c r="J48" s="7">
        <f t="shared" si="29"/>
        <v>3.5850324893569346E-2</v>
      </c>
      <c r="K48" s="2"/>
      <c r="L48" s="6">
        <f t="shared" si="30"/>
        <v>0</v>
      </c>
      <c r="M48" s="2"/>
      <c r="N48" s="7">
        <f t="shared" si="31"/>
        <v>0</v>
      </c>
      <c r="O48" s="11"/>
      <c r="P48" s="6">
        <v>4000</v>
      </c>
      <c r="Q48" s="2"/>
      <c r="R48" s="7">
        <f t="shared" si="32"/>
        <v>1.2405139449273834E-2</v>
      </c>
      <c r="S48" s="2"/>
      <c r="T48" s="6">
        <v>4000</v>
      </c>
      <c r="U48" s="2"/>
      <c r="V48" s="7">
        <f t="shared" si="33"/>
        <v>2.7500670328839266E-2</v>
      </c>
      <c r="W48" s="2"/>
      <c r="X48" s="6">
        <f t="shared" si="34"/>
        <v>0</v>
      </c>
      <c r="Y48" s="2"/>
      <c r="Z48" s="7">
        <f t="shared" si="35"/>
        <v>0</v>
      </c>
    </row>
    <row r="49" spans="1:26" s="26" customFormat="1" outlineLevel="1" collapsed="1" x14ac:dyDescent="0.25">
      <c r="A49" s="27"/>
      <c r="B49" s="13" t="str">
        <f>CONCATENATE("     ","Repair and Maintenance                            ")</f>
        <v xml:space="preserve">     Repair and Maintenance                            </v>
      </c>
      <c r="C49" s="13"/>
      <c r="D49" s="1">
        <f>SUM(OSRRefD22_8x_0)</f>
        <v>0</v>
      </c>
      <c r="E49" s="1"/>
      <c r="F49" s="5">
        <f t="shared" si="28"/>
        <v>0</v>
      </c>
      <c r="G49" s="1"/>
      <c r="H49" s="1">
        <f>SUM(OSRRefH22_8x_0)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SUM(OSRRefP22_8x_0)</f>
        <v>123827.90000000001</v>
      </c>
      <c r="Q49" s="1"/>
      <c r="R49" s="5">
        <f t="shared" si="32"/>
        <v>0.38402559180268386</v>
      </c>
      <c r="S49" s="1"/>
      <c r="T49" s="1">
        <f>SUM(OSRRefT22_8x_0)</f>
        <v>437.31</v>
      </c>
      <c r="U49" s="1"/>
      <c r="V49" s="5">
        <f t="shared" si="33"/>
        <v>3.0065795353761749E-3</v>
      </c>
      <c r="W49" s="1"/>
      <c r="X49" s="1">
        <f t="shared" si="34"/>
        <v>123390.59000000001</v>
      </c>
      <c r="Y49" s="1"/>
      <c r="Z49" s="5">
        <f t="shared" si="35"/>
        <v>282.15817154878692</v>
      </c>
    </row>
    <row r="50" spans="1:26" s="24" customFormat="1" hidden="1" outlineLevel="2" x14ac:dyDescent="0.25">
      <c r="A50" s="25"/>
      <c r="B50" s="11" t="str">
        <f>CONCATENATE("          ", "6371", " - ", "COMPUTER SOFTWARE MAINTENANCE")</f>
        <v xml:space="preserve">          6371 - COMPUTER SOFTWARE MAINTENANCE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/>
      <c r="Q50" s="2"/>
      <c r="R50" s="7">
        <f t="shared" si="32"/>
        <v>0</v>
      </c>
      <c r="S50" s="2"/>
      <c r="T50" s="6">
        <v>437.31</v>
      </c>
      <c r="U50" s="2"/>
      <c r="V50" s="7">
        <f t="shared" si="33"/>
        <v>3.0065795353761749E-3</v>
      </c>
      <c r="W50" s="2"/>
      <c r="X50" s="6">
        <f t="shared" si="34"/>
        <v>-437.31</v>
      </c>
      <c r="Y50" s="2"/>
      <c r="Z50" s="7">
        <f t="shared" si="35"/>
        <v>-1</v>
      </c>
    </row>
    <row r="51" spans="1:26" s="24" customFormat="1" hidden="1" outlineLevel="2" x14ac:dyDescent="0.25">
      <c r="A51" s="25"/>
      <c r="B51" s="11" t="str">
        <f>CONCATENATE("          ", "6373", " - ", "MAINTENANCE CONTRACTS")</f>
        <v xml:space="preserve">          6373 - MAINTENANCE CONTRACTS</v>
      </c>
      <c r="C51" s="11"/>
      <c r="D51" s="6"/>
      <c r="E51" s="2"/>
      <c r="F51" s="7">
        <f t="shared" si="28"/>
        <v>0</v>
      </c>
      <c r="G51" s="2"/>
      <c r="H51" s="6"/>
      <c r="I51" s="2"/>
      <c r="J51" s="7">
        <f t="shared" si="29"/>
        <v>0</v>
      </c>
      <c r="K51" s="2"/>
      <c r="L51" s="6">
        <f t="shared" si="30"/>
        <v>0</v>
      </c>
      <c r="M51" s="2"/>
      <c r="N51" s="7">
        <f t="shared" si="31"/>
        <v>0</v>
      </c>
      <c r="O51" s="11"/>
      <c r="P51" s="6">
        <v>117265.90000000001</v>
      </c>
      <c r="Q51" s="2"/>
      <c r="R51" s="7">
        <f t="shared" si="32"/>
        <v>0.36367496053615017</v>
      </c>
      <c r="S51" s="2"/>
      <c r="T51" s="6"/>
      <c r="U51" s="2"/>
      <c r="V51" s="7">
        <f t="shared" si="33"/>
        <v>0</v>
      </c>
      <c r="W51" s="2"/>
      <c r="X51" s="6">
        <f t="shared" si="34"/>
        <v>117265.90000000001</v>
      </c>
      <c r="Y51" s="2"/>
      <c r="Z51" s="7">
        <f t="shared" si="35"/>
        <v>0</v>
      </c>
    </row>
    <row r="52" spans="1:26" s="24" customFormat="1" hidden="1" outlineLevel="2" x14ac:dyDescent="0.25">
      <c r="A52" s="25"/>
      <c r="B52" s="11" t="str">
        <f>CONCATENATE("          ", "6375", " - ", "OUTSIDE REPAIRS &amp; MAINTENANCE")</f>
        <v xml:space="preserve">          6375 - OUTSIDE REPAIRS &amp; MAINTENANCE</v>
      </c>
      <c r="C52" s="11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>
        <v>6562</v>
      </c>
      <c r="Q52" s="2"/>
      <c r="R52" s="7">
        <f t="shared" si="32"/>
        <v>2.0350631266533727E-2</v>
      </c>
      <c r="S52" s="2"/>
      <c r="T52" s="6"/>
      <c r="U52" s="2"/>
      <c r="V52" s="7">
        <f t="shared" si="33"/>
        <v>0</v>
      </c>
      <c r="W52" s="2"/>
      <c r="X52" s="6">
        <f t="shared" si="34"/>
        <v>6562</v>
      </c>
      <c r="Y52" s="2"/>
      <c r="Z52" s="7">
        <f t="shared" si="35"/>
        <v>0</v>
      </c>
    </row>
    <row r="53" spans="1:26" s="26" customFormat="1" outlineLevel="1" collapsed="1" x14ac:dyDescent="0.25">
      <c r="A53" s="27"/>
      <c r="B53" s="13" t="str">
        <f>CONCATENATE("     ","Supplies                                          ")</f>
        <v xml:space="preserve">     Supplies                                          </v>
      </c>
      <c r="C53" s="13"/>
      <c r="D53" s="1">
        <f>SUM(OSRRefD22_9x_0)</f>
        <v>0</v>
      </c>
      <c r="E53" s="1"/>
      <c r="F53" s="5">
        <f t="shared" ref="F53:F56" si="36">IF(D$12=0,0,D53/D$12)</f>
        <v>0</v>
      </c>
      <c r="G53" s="1"/>
      <c r="H53" s="1">
        <f>SUM(OSRRefH22_9x_0)</f>
        <v>45.18</v>
      </c>
      <c r="I53" s="1"/>
      <c r="J53" s="5">
        <f t="shared" ref="J53:J56" si="37">IF(H$12=0,0,H53/H$12)</f>
        <v>2.0246470983643289E-3</v>
      </c>
      <c r="K53" s="1"/>
      <c r="L53" s="1">
        <f t="shared" ref="L53:L56" si="38">+D53-H53</f>
        <v>-45.18</v>
      </c>
      <c r="M53" s="1"/>
      <c r="N53" s="5">
        <f t="shared" ref="N53:N56" si="39">IF(H53=0,0,L53/H53)</f>
        <v>-1</v>
      </c>
      <c r="O53" s="13"/>
      <c r="P53" s="1">
        <f>SUM(OSRRefP22_9x_0)</f>
        <v>41271.699999999997</v>
      </c>
      <c r="Q53" s="1"/>
      <c r="R53" s="5">
        <f t="shared" ref="R53:R56" si="40">IF(P$12=0,0,P53/P$12)</f>
        <v>0.12799529845214871</v>
      </c>
      <c r="S53" s="1"/>
      <c r="T53" s="1">
        <f>SUM(OSRRefT22_9x_0)</f>
        <v>18397.830000000002</v>
      </c>
      <c r="U53" s="1"/>
      <c r="V53" s="5">
        <f t="shared" ref="V53:V56" si="41">IF(T$12=0,0,T53/T$12)</f>
        <v>0.12648816439900723</v>
      </c>
      <c r="W53" s="1"/>
      <c r="X53" s="1">
        <f t="shared" ref="X53:X56" si="42">+P53-T53</f>
        <v>22873.869999999995</v>
      </c>
      <c r="Y53" s="1"/>
      <c r="Z53" s="5">
        <f t="shared" ref="Z53:Z56" si="43">IF(T53=0,0,X53/T53)</f>
        <v>1.2432917360362605</v>
      </c>
    </row>
    <row r="54" spans="1:26" s="24" customFormat="1" hidden="1" outlineLevel="2" x14ac:dyDescent="0.25">
      <c r="A54" s="25"/>
      <c r="B54" s="11" t="str">
        <f>CONCATENATE("          ", "6234", " - ", "EXPENDABLE SUPPLIES &amp; EQUIPMEN")</f>
        <v xml:space="preserve">          6234 - EXPENDABLE SUPPLIES &amp; EQUIPMEN</v>
      </c>
      <c r="C54" s="11"/>
      <c r="D54" s="6"/>
      <c r="E54" s="2"/>
      <c r="F54" s="7">
        <f t="shared" si="36"/>
        <v>0</v>
      </c>
      <c r="G54" s="2"/>
      <c r="H54" s="6"/>
      <c r="I54" s="2"/>
      <c r="J54" s="7">
        <f t="shared" si="37"/>
        <v>0</v>
      </c>
      <c r="K54" s="2"/>
      <c r="L54" s="6">
        <f t="shared" si="38"/>
        <v>0</v>
      </c>
      <c r="M54" s="2"/>
      <c r="N54" s="7">
        <f t="shared" si="39"/>
        <v>0</v>
      </c>
      <c r="O54" s="11"/>
      <c r="P54" s="6"/>
      <c r="Q54" s="2"/>
      <c r="R54" s="7">
        <f t="shared" si="40"/>
        <v>0</v>
      </c>
      <c r="S54" s="2"/>
      <c r="T54" s="6">
        <v>413.27</v>
      </c>
      <c r="U54" s="2"/>
      <c r="V54" s="7">
        <f t="shared" si="41"/>
        <v>2.8413005066998506E-3</v>
      </c>
      <c r="W54" s="2"/>
      <c r="X54" s="6">
        <f t="shared" si="42"/>
        <v>-413.27</v>
      </c>
      <c r="Y54" s="2"/>
      <c r="Z54" s="7">
        <f t="shared" si="43"/>
        <v>-1</v>
      </c>
    </row>
    <row r="55" spans="1:26" s="24" customFormat="1" hidden="1" outlineLevel="2" x14ac:dyDescent="0.25">
      <c r="A55" s="25"/>
      <c r="B55" s="11" t="str">
        <f>CONCATENATE("          ", "6241", " - ", "OFFICE EXPENSE")</f>
        <v xml:space="preserve">          6241 - OFFICE EXPENSE</v>
      </c>
      <c r="C55" s="11"/>
      <c r="D55" s="6"/>
      <c r="E55" s="2"/>
      <c r="F55" s="7">
        <f t="shared" si="36"/>
        <v>0</v>
      </c>
      <c r="G55" s="2"/>
      <c r="H55" s="6">
        <v>45.18</v>
      </c>
      <c r="I55" s="2"/>
      <c r="J55" s="7">
        <f t="shared" si="37"/>
        <v>2.0246470983643289E-3</v>
      </c>
      <c r="K55" s="2"/>
      <c r="L55" s="6">
        <f t="shared" si="38"/>
        <v>-45.18</v>
      </c>
      <c r="M55" s="2"/>
      <c r="N55" s="7">
        <f t="shared" si="39"/>
        <v>-1</v>
      </c>
      <c r="O55" s="11"/>
      <c r="P55" s="6">
        <v>41271.699999999997</v>
      </c>
      <c r="Q55" s="2"/>
      <c r="R55" s="7">
        <f t="shared" si="40"/>
        <v>0.12799529845214871</v>
      </c>
      <c r="S55" s="2"/>
      <c r="T55" s="6">
        <v>17863.73</v>
      </c>
      <c r="U55" s="2"/>
      <c r="V55" s="7">
        <f t="shared" si="41"/>
        <v>0.12281613739334896</v>
      </c>
      <c r="W55" s="2"/>
      <c r="X55" s="6">
        <f t="shared" si="42"/>
        <v>23407.969999999998</v>
      </c>
      <c r="Y55" s="2"/>
      <c r="Z55" s="7">
        <f t="shared" si="43"/>
        <v>1.3103629533137815</v>
      </c>
    </row>
    <row r="56" spans="1:26" s="24" customFormat="1" hidden="1" outlineLevel="2" x14ac:dyDescent="0.25">
      <c r="A56" s="25"/>
      <c r="B56" s="11" t="str">
        <f>CONCATENATE("          ", "6245", " - ", "PRINTING")</f>
        <v xml:space="preserve">          6245 - PRINTING</v>
      </c>
      <c r="C56" s="11"/>
      <c r="D56" s="6"/>
      <c r="E56" s="2"/>
      <c r="F56" s="7">
        <f t="shared" si="36"/>
        <v>0</v>
      </c>
      <c r="G56" s="2"/>
      <c r="H56" s="6"/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/>
      <c r="Q56" s="2"/>
      <c r="R56" s="7">
        <f t="shared" si="40"/>
        <v>0</v>
      </c>
      <c r="S56" s="2"/>
      <c r="T56" s="6">
        <v>120.83</v>
      </c>
      <c r="U56" s="2"/>
      <c r="V56" s="7">
        <f t="shared" si="41"/>
        <v>8.3072649895841208E-4</v>
      </c>
      <c r="W56" s="2"/>
      <c r="X56" s="6">
        <f t="shared" si="42"/>
        <v>-120.83</v>
      </c>
      <c r="Y56" s="2"/>
      <c r="Z56" s="7">
        <f t="shared" si="43"/>
        <v>-1</v>
      </c>
    </row>
    <row r="57" spans="1:26" s="26" customFormat="1" outlineLevel="1" collapsed="1" x14ac:dyDescent="0.25">
      <c r="A57" s="27"/>
      <c r="B57" s="13" t="str">
        <f>CONCATENATE("     ","Telephone/Data Lines                              ")</f>
        <v xml:space="preserve">     Telephone/Data Lines                              </v>
      </c>
      <c r="C57" s="13"/>
      <c r="D57" s="1">
        <f>SUM(OSRRefD22_10x_0)</f>
        <v>136.94999999999999</v>
      </c>
      <c r="E57" s="1"/>
      <c r="F57" s="5">
        <f t="shared" ref="F57:F58" si="44">IF(D$12=0,0,D57/D$12)</f>
        <v>2.5916884296582261E-3</v>
      </c>
      <c r="G57" s="1"/>
      <c r="H57" s="1">
        <f>SUM(OSRRefH22_10x_0)</f>
        <v>183.9</v>
      </c>
      <c r="I57" s="1"/>
      <c r="J57" s="5">
        <f t="shared" ref="J57:J58" si="45">IF(H$12=0,0,H57/H$12)</f>
        <v>8.2410934349092541E-3</v>
      </c>
      <c r="K57" s="1"/>
      <c r="L57" s="1">
        <f t="shared" ref="L57:L58" si="46">+D57-H57</f>
        <v>-46.950000000000017</v>
      </c>
      <c r="M57" s="1"/>
      <c r="N57" s="5">
        <f t="shared" ref="N57:N58" si="47">IF(H57=0,0,L57/H57)</f>
        <v>-0.25530179445350742</v>
      </c>
      <c r="O57" s="13"/>
      <c r="P57" s="1">
        <f>SUM(OSRRefP22_10x_0)</f>
        <v>1315.68</v>
      </c>
      <c r="Q57" s="1"/>
      <c r="R57" s="5">
        <f t="shared" ref="R57:R58" si="48">IF(P$12=0,0,P57/P$12)</f>
        <v>4.0802984676551494E-3</v>
      </c>
      <c r="S57" s="1"/>
      <c r="T57" s="1">
        <f>SUM(OSRRefT22_10x_0)</f>
        <v>948.5</v>
      </c>
      <c r="U57" s="1"/>
      <c r="V57" s="5">
        <f t="shared" ref="V57:V58" si="49">IF(T$12=0,0,T57/T$12)</f>
        <v>6.5210964517260104E-3</v>
      </c>
      <c r="W57" s="1"/>
      <c r="X57" s="1">
        <f t="shared" ref="X57:X58" si="50">+P57-T57</f>
        <v>367.18000000000006</v>
      </c>
      <c r="Y57" s="1"/>
      <c r="Z57" s="5">
        <f t="shared" ref="Z57:Z58" si="51">IF(T57=0,0,X57/T57)</f>
        <v>0.38711649973642598</v>
      </c>
    </row>
    <row r="58" spans="1:26" s="24" customFormat="1" hidden="1" outlineLevel="2" x14ac:dyDescent="0.25">
      <c r="A58" s="25"/>
      <c r="B58" s="11" t="str">
        <f>CONCATENATE("          ", "6309", " - ", "TELEPHONE")</f>
        <v xml:space="preserve">          6309 - TELEPHONE</v>
      </c>
      <c r="C58" s="11"/>
      <c r="D58" s="6">
        <v>136.94999999999999</v>
      </c>
      <c r="E58" s="2"/>
      <c r="F58" s="7">
        <f t="shared" si="44"/>
        <v>2.5916884296582261E-3</v>
      </c>
      <c r="G58" s="2"/>
      <c r="H58" s="6">
        <v>183.9</v>
      </c>
      <c r="I58" s="2"/>
      <c r="J58" s="7">
        <f t="shared" si="45"/>
        <v>8.2410934349092541E-3</v>
      </c>
      <c r="K58" s="2"/>
      <c r="L58" s="6">
        <f t="shared" si="46"/>
        <v>-46.950000000000017</v>
      </c>
      <c r="M58" s="2"/>
      <c r="N58" s="7">
        <f t="shared" si="47"/>
        <v>-0.25530179445350742</v>
      </c>
      <c r="O58" s="11"/>
      <c r="P58" s="6">
        <v>1315.68</v>
      </c>
      <c r="Q58" s="2"/>
      <c r="R58" s="7">
        <f t="shared" si="48"/>
        <v>4.0802984676551494E-3</v>
      </c>
      <c r="S58" s="2"/>
      <c r="T58" s="6">
        <v>948.5</v>
      </c>
      <c r="U58" s="2"/>
      <c r="V58" s="7">
        <f t="shared" si="49"/>
        <v>6.5210964517260104E-3</v>
      </c>
      <c r="W58" s="2"/>
      <c r="X58" s="6">
        <f t="shared" si="50"/>
        <v>367.18000000000006</v>
      </c>
      <c r="Y58" s="2"/>
      <c r="Z58" s="7">
        <f t="shared" si="51"/>
        <v>0.38711649973642598</v>
      </c>
    </row>
    <row r="59" spans="1:26" s="53" customFormat="1" x14ac:dyDescent="0.2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collapsed="1" x14ac:dyDescent="0.25">
      <c r="A60" s="10"/>
      <c r="B60" s="29" t="s">
        <v>0</v>
      </c>
      <c r="C60" s="10"/>
      <c r="D60" s="4">
        <f>SUM(OSRRefD25x_0)</f>
        <v>145.04</v>
      </c>
      <c r="E60" s="4"/>
      <c r="F60" s="12">
        <f t="shared" ref="F60:F61" si="52">IF(D$12=0,0,D60/D$12)</f>
        <v>2.7447863441959048E-3</v>
      </c>
      <c r="G60" s="4"/>
      <c r="H60" s="4">
        <f>SUM(OSRRefH25x_0)</f>
        <v>1939.25</v>
      </c>
      <c r="I60" s="4"/>
      <c r="J60" s="12">
        <f t="shared" ref="J60:J61" si="53">IF(H$12=0,0,H60/H$12)</f>
        <v>8.6903428187317944E-2</v>
      </c>
      <c r="K60" s="4"/>
      <c r="L60" s="4">
        <f t="shared" ref="L60:L61" si="54">+D60-H60</f>
        <v>-1794.21</v>
      </c>
      <c r="M60" s="4"/>
      <c r="N60" s="12">
        <f t="shared" ref="N60:N61" si="55">IF(H60=0,0,L60/H60)</f>
        <v>-0.92520819904602292</v>
      </c>
      <c r="O60" s="10"/>
      <c r="P60" s="4">
        <f>SUM(OSRRefP25x_0)</f>
        <v>1120.2</v>
      </c>
      <c r="Q60" s="4"/>
      <c r="R60" s="12">
        <f t="shared" ref="R60:R61" si="56">IF(P$12=0,0,P60/P$12)</f>
        <v>3.4740593027691373E-3</v>
      </c>
      <c r="S60" s="4"/>
      <c r="T60" s="4">
        <f>SUM(OSRRefT25x_0)</f>
        <v>12186.74</v>
      </c>
      <c r="U60" s="4"/>
      <c r="V60" s="12">
        <f t="shared" ref="V60:V61" si="57">IF(T$12=0,0,T60/T$12)</f>
        <v>8.3785879780819653E-2</v>
      </c>
      <c r="W60" s="4"/>
      <c r="X60" s="4">
        <f t="shared" ref="X60:X61" si="58">+P60-T60</f>
        <v>-11066.539999999999</v>
      </c>
      <c r="Y60" s="4"/>
      <c r="Z60" s="12">
        <f t="shared" ref="Z60:Z61" si="59">IF(T60=0,0,X60/T60)</f>
        <v>-0.90808042183553594</v>
      </c>
    </row>
    <row r="61" spans="1:26" s="24" customFormat="1" hidden="1" outlineLevel="1" x14ac:dyDescent="0.25">
      <c r="A61" s="44"/>
      <c r="B61" s="11" t="str">
        <f>CONCATENATE("          ", "9150", " - ", "MISC. INCOME")</f>
        <v xml:space="preserve">          9150 - MISC. INCOME</v>
      </c>
      <c r="C61" s="11"/>
      <c r="D61" s="2">
        <f>--145.04</f>
        <v>145.04</v>
      </c>
      <c r="E61" s="2"/>
      <c r="F61" s="19">
        <f t="shared" si="52"/>
        <v>2.7447863441959048E-3</v>
      </c>
      <c r="G61" s="2"/>
      <c r="H61" s="2">
        <f>--1939.25</f>
        <v>1939.25</v>
      </c>
      <c r="I61" s="2"/>
      <c r="J61" s="19">
        <f t="shared" si="53"/>
        <v>8.6903428187317944E-2</v>
      </c>
      <c r="K61" s="2"/>
      <c r="L61" s="2">
        <f t="shared" si="54"/>
        <v>-1794.21</v>
      </c>
      <c r="M61" s="2"/>
      <c r="N61" s="19">
        <f t="shared" si="55"/>
        <v>-0.92520819904602292</v>
      </c>
      <c r="O61" s="11"/>
      <c r="P61" s="2">
        <f>--1120.2</f>
        <v>1120.2</v>
      </c>
      <c r="Q61" s="2"/>
      <c r="R61" s="19">
        <f t="shared" si="56"/>
        <v>3.4740593027691373E-3</v>
      </c>
      <c r="S61" s="2"/>
      <c r="T61" s="2">
        <f>--12186.74</f>
        <v>12186.74</v>
      </c>
      <c r="U61" s="2"/>
      <c r="V61" s="19">
        <f t="shared" si="57"/>
        <v>8.3785879780819653E-2</v>
      </c>
      <c r="W61" s="2"/>
      <c r="X61" s="2">
        <f t="shared" si="58"/>
        <v>-11066.539999999999</v>
      </c>
      <c r="Y61" s="2"/>
      <c r="Z61" s="19">
        <f t="shared" si="59"/>
        <v>-0.90808042183553594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8" t="s">
        <v>3</v>
      </c>
      <c r="C63" s="28"/>
      <c r="D63" s="20">
        <f>+D17-D19+D60</f>
        <v>36534.249999999993</v>
      </c>
      <c r="E63" s="14"/>
      <c r="F63" s="22">
        <f>IF(D$12=0,0,D63/D$12)</f>
        <v>0.69138658642746287</v>
      </c>
      <c r="G63" s="14"/>
      <c r="H63" s="20">
        <f>+H17-H19+H60</f>
        <v>2073.3300000000017</v>
      </c>
      <c r="I63" s="14"/>
      <c r="J63" s="22">
        <f>IF(H$12=0,0,H63/H$12)</f>
        <v>9.2911942639480244E-2</v>
      </c>
      <c r="K63" s="15"/>
      <c r="L63" s="20">
        <f>+D63-H63</f>
        <v>34460.919999999991</v>
      </c>
      <c r="M63" s="15"/>
      <c r="N63" s="22">
        <f>IF(H63=0,0,L63/H63)</f>
        <v>16.621049229982667</v>
      </c>
      <c r="O63" s="29"/>
      <c r="P63" s="20">
        <f>+P17-P19+P60</f>
        <v>58402.429999999978</v>
      </c>
      <c r="Q63" s="14"/>
      <c r="R63" s="22">
        <f>IF(P$12=0,0,P63/P$12)</f>
        <v>0.18112257208161334</v>
      </c>
      <c r="S63" s="14"/>
      <c r="T63" s="20">
        <f>+T17-T19+T60</f>
        <v>12397.099999999986</v>
      </c>
      <c r="U63" s="14"/>
      <c r="V63" s="22">
        <f>IF(T$12=0,0,T63/T$12)</f>
        <v>8.5232140033413215E-2</v>
      </c>
      <c r="W63" s="15"/>
      <c r="X63" s="20">
        <f>+P63-T63</f>
        <v>46005.329999999994</v>
      </c>
      <c r="Y63" s="15"/>
      <c r="Z63" s="22">
        <f>IF(T63=0,0,X63/T63)</f>
        <v>3.710975147413512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1"/>
      <c r="B65" s="10" t="s">
        <v>13</v>
      </c>
      <c r="C65" s="10"/>
      <c r="D65" s="4">
        <v>-7165.41</v>
      </c>
      <c r="E65" s="4"/>
      <c r="F65" s="12">
        <f>IF(D$12=0,0,D65/D$12)</f>
        <v>-0.13560065856704895</v>
      </c>
      <c r="G65" s="4"/>
      <c r="H65" s="4">
        <v>3007.1</v>
      </c>
      <c r="I65" s="4"/>
      <c r="J65" s="12">
        <f>IF(H$12=0,0,H65/H$12)</f>
        <v>0.13475688998431548</v>
      </c>
      <c r="K65" s="4"/>
      <c r="L65" s="4">
        <f>+D65-H65</f>
        <v>-10172.51</v>
      </c>
      <c r="M65" s="4"/>
      <c r="N65" s="12">
        <f>IF(H65=0,0,L65/H65)</f>
        <v>-3.3828306341658076</v>
      </c>
      <c r="O65" s="10"/>
      <c r="P65" s="4">
        <v>51236.84</v>
      </c>
      <c r="Q65" s="4"/>
      <c r="R65" s="12">
        <f>IF(P$12=0,0,P65/P$12)</f>
        <v>0.15890003628503288</v>
      </c>
      <c r="S65" s="4"/>
      <c r="T65" s="4">
        <v>15402.28</v>
      </c>
      <c r="U65" s="4"/>
      <c r="V65" s="12">
        <f>IF(T$12=0,0,T65/T$12)</f>
        <v>0.10589325614811862</v>
      </c>
      <c r="W65" s="4"/>
      <c r="X65" s="4">
        <f>+P65-T65</f>
        <v>35834.559999999998</v>
      </c>
      <c r="Y65" s="4"/>
      <c r="Z65" s="12">
        <f>IF(T65=0,0,X65/T65)</f>
        <v>2.3265750265545098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8" t="s">
        <v>4</v>
      </c>
      <c r="C67" s="28"/>
      <c r="D67" s="31">
        <f>+D63-D65</f>
        <v>43699.659999999989</v>
      </c>
      <c r="E67" s="14"/>
      <c r="F67" s="34">
        <f>IF(D$12=0,0,D67/D$12)</f>
        <v>0.82698724499451171</v>
      </c>
      <c r="G67" s="14"/>
      <c r="H67" s="31">
        <f>+H63-H65</f>
        <v>-933.76999999999816</v>
      </c>
      <c r="I67" s="14"/>
      <c r="J67" s="34">
        <f>IF(H$12=0,0,H67/H$12)</f>
        <v>-4.184494734483523E-2</v>
      </c>
      <c r="K67" s="15"/>
      <c r="L67" s="31">
        <f>D67-H67</f>
        <v>44633.429999999986</v>
      </c>
      <c r="M67" s="15"/>
      <c r="N67" s="34">
        <f>IF(H67=0,0,L67/H67)</f>
        <v>-47.799168960236543</v>
      </c>
      <c r="O67" s="29"/>
      <c r="P67" s="31">
        <f>+P63-P65</f>
        <v>7165.589999999982</v>
      </c>
      <c r="Q67" s="14"/>
      <c r="R67" s="34">
        <f>IF(P$12=0,0,P67/P$12)</f>
        <v>2.2222535796580466E-2</v>
      </c>
      <c r="S67" s="14"/>
      <c r="T67" s="31">
        <f>+T63-T65</f>
        <v>-3005.1800000000148</v>
      </c>
      <c r="U67" s="14"/>
      <c r="V67" s="34">
        <f>IF(T$12=0,0,T67/T$12)</f>
        <v>-2.0661116114705398E-2</v>
      </c>
      <c r="W67" s="15"/>
      <c r="X67" s="31">
        <f>P67-T67</f>
        <v>10170.769999999997</v>
      </c>
      <c r="Y67" s="15"/>
      <c r="Z67" s="34">
        <f>IF(T67=0,0,X67/T67)</f>
        <v>-3.3844129137023229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8" t="s">
        <v>5</v>
      </c>
      <c r="C70" s="28"/>
      <c r="D70" s="32">
        <f>SUM(D67:D69)</f>
        <v>43699.659999999989</v>
      </c>
      <c r="E70" s="14"/>
      <c r="F70" s="30">
        <f>IF(D$12=0,0,D70/D$12)</f>
        <v>0.82698724499451171</v>
      </c>
      <c r="G70" s="14"/>
      <c r="H70" s="32">
        <f>SUM(H67:H69)</f>
        <v>-933.76999999999816</v>
      </c>
      <c r="I70" s="14"/>
      <c r="J70" s="30">
        <f>IF(H$12=0,0,H70/H$12)</f>
        <v>-4.184494734483523E-2</v>
      </c>
      <c r="K70" s="15"/>
      <c r="L70" s="32">
        <f>+D70-H70</f>
        <v>44633.429999999986</v>
      </c>
      <c r="M70" s="15"/>
      <c r="N70" s="30">
        <f>IF(H70=0,0,L70/H70)</f>
        <v>-47.799168960236543</v>
      </c>
      <c r="O70" s="29"/>
      <c r="P70" s="32">
        <f>SUM(P67:P69)</f>
        <v>7165.589999999982</v>
      </c>
      <c r="Q70" s="14"/>
      <c r="R70" s="30">
        <f>IF(P$12=0,0,P70/P$12)</f>
        <v>2.2222535796580466E-2</v>
      </c>
      <c r="S70" s="14"/>
      <c r="T70" s="32">
        <f>SUM(T67:T69)</f>
        <v>-3005.1800000000148</v>
      </c>
      <c r="U70" s="14"/>
      <c r="V70" s="30">
        <f>IF(T$12=0,0,T70/T$12)</f>
        <v>-2.0661116114705398E-2</v>
      </c>
      <c r="W70" s="15"/>
      <c r="X70" s="32">
        <f>+P70-T70</f>
        <v>10170.769999999997</v>
      </c>
      <c r="Y70" s="15"/>
      <c r="Z70" s="30">
        <f>IF(T70=0,0,X70/T70)</f>
        <v>-3.3844129137023229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4">
        <v>44174.68632291667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56" t="s">
        <v>313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61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8"/>
      <c r="F3" s="50"/>
      <c r="G3" s="18"/>
      <c r="H3" s="18"/>
      <c r="I3" s="18"/>
      <c r="J3" s="38"/>
      <c r="K3" s="18"/>
      <c r="L3" s="18"/>
      <c r="M3" s="18"/>
      <c r="N3" s="50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8"/>
      <c r="K4" s="18"/>
      <c r="L4" s="18"/>
      <c r="M4" s="18"/>
      <c r="N4" s="50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38"/>
      <c r="K5" s="18"/>
      <c r="L5" s="18"/>
      <c r="M5" s="18"/>
      <c r="N5" s="50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50"/>
      <c r="G6" s="18"/>
      <c r="H6" s="18"/>
      <c r="I6" s="18"/>
      <c r="J6" s="38"/>
      <c r="K6" s="18"/>
      <c r="L6" s="18"/>
      <c r="M6" s="18"/>
      <c r="N6" s="50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5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5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6"/>
      <c r="F10" s="33" t="s">
        <v>14</v>
      </c>
      <c r="G10" s="36"/>
      <c r="H10" s="46" t="s">
        <v>306</v>
      </c>
      <c r="I10" s="36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60" t="s">
        <v>10</v>
      </c>
      <c r="Q10" s="36"/>
      <c r="R10" s="33" t="s">
        <v>14</v>
      </c>
      <c r="S10" s="36"/>
      <c r="T10" s="46" t="s">
        <v>306</v>
      </c>
      <c r="U10" s="36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5"/>
      <c r="L31" s="31" t="e">
        <f ca="1">D31-H31</f>
        <v>#NAME?</v>
      </c>
      <c r="M31" s="15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5"/>
      <c r="X31" s="31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0" t="e">
        <f ca="1">IF(D$12=0,0,D36/D$12)</f>
        <v>#NAME?</v>
      </c>
      <c r="G36" s="14"/>
      <c r="H36" s="32" t="e">
        <f ca="1">SUM(H31:H35)</f>
        <v>#NAME?</v>
      </c>
      <c r="I36" s="14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9"/>
      <c r="P36" s="32" t="e">
        <f ca="1">SUM(P31:P35)</f>
        <v>#NAME?</v>
      </c>
      <c r="Q36" s="14"/>
      <c r="R36" s="30" t="e">
        <f ca="1">IF(P$12=0,0,P36/P$12)</f>
        <v>#NAME?</v>
      </c>
      <c r="S36" s="14"/>
      <c r="T36" s="32" t="e">
        <f ca="1">SUM(T31:T35)</f>
        <v>#NAME?</v>
      </c>
      <c r="U36" s="14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9" ma:contentTypeDescription="Create a new document." ma:contentTypeScope="" ma:versionID="d40e98030b3dc663e0d4553b7dcd1867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c520295a271e8254a7ac83f751e3a076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E94F6EC-126C-4481-93B5-5592D1CA3D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66DB7CE-0D54-4B6F-8BB5-3E4DA11065E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1734237-12CF-4490-BD88-560366EE3425}">
  <ds:schemaRefs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purl.org/dc/terms/"/>
    <ds:schemaRef ds:uri="http://schemas.openxmlformats.org/package/2006/metadata/core-properties"/>
    <ds:schemaRef ds:uri="762caf36-b0c2-49b4-ab14-ff4bceb8c0ae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100</vt:i4>
      </vt:variant>
      <vt:variant>
        <vt:lpstr>Named Ranges</vt:lpstr>
      </vt:variant>
      <vt:variant>
        <vt:i4>4292</vt:i4>
      </vt:variant>
    </vt:vector>
  </HeadingPairs>
  <TitlesOfParts>
    <vt:vector size="4392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'Div 2'!OSRRefD22_11x_0</vt:lpstr>
      <vt:lpstr>'Div 3'!OSRRefD22_11x_0</vt:lpstr>
      <vt:lpstr>'Div 4'!OSRRefD22_11x_0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'308'!OSRRefD22_12x_0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'317'!OSRRefD22_12x_0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'424'!OSRRefD22_12x_0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'411'!OSRRefD22_13x_0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'325'!OSRRefD22_14x_0</vt:lpstr>
      <vt:lpstr>'326'!OSRRefD22_14x_0</vt:lpstr>
      <vt:lpstr>'331'!OSRRefD22_14x_0</vt:lpstr>
      <vt:lpstr>'332'!OSRRefD22_14x_0</vt:lpstr>
      <vt:lpstr>'405'!OSRRefD22_14x_0</vt:lpstr>
      <vt:lpstr>'411'!OSRRefD22_14x_0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'325'!OSRRefD22_15x_0</vt:lpstr>
      <vt:lpstr>'326'!OSRRefD22_15x_0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'331'!OSRRefD22_16x_0</vt:lpstr>
      <vt:lpstr>'405'!OSRRefD22_16x_0</vt:lpstr>
      <vt:lpstr>'411'!OSRRefD22_16x_0</vt:lpstr>
      <vt:lpstr>'415'!OSRRefD22_16x_0</vt:lpstr>
      <vt:lpstr>'433'!OSRRefD22_16x_0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'326'!OSRRefD22_17x_0</vt:lpstr>
      <vt:lpstr>'331'!OSRRefD22_17x_0</vt:lpstr>
      <vt:lpstr>'405'!OSRRefD22_17x_0</vt:lpstr>
      <vt:lpstr>'411'!OSRRefD22_17x_0</vt:lpstr>
      <vt:lpstr>'415'!OSRRefD22_17x_0</vt:lpstr>
      <vt:lpstr>'444'!OSRRefD22_17x_0</vt:lpstr>
      <vt:lpstr>'450'!OSRRefD22_17x_0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'411'!OSRRefD22_18x_0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 &amp; 491'!OSRRefD22_22x_0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'Div 3'!OSRRefD22_24x_0</vt:lpstr>
      <vt:lpstr>'Div 4'!OSRRefD22_24x_0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'331'!OSRRefD25x_0</vt:lpstr>
      <vt:lpstr>'332'!OSRRefD25x_0</vt:lpstr>
      <vt:lpstr>'411'!OSRRefD25x_0</vt:lpstr>
      <vt:lpstr>'413'!OSRRefD25x_0</vt:lpstr>
      <vt:lpstr>'418'!OSRRefD25x_0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'Div 2'!OSRRefH22_11x_0</vt:lpstr>
      <vt:lpstr>'Div 3'!OSRRefH22_11x_0</vt:lpstr>
      <vt:lpstr>'Div 4'!OSRRefH22_11x_0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'308'!OSRRefH22_12x_0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'317'!OSRRefH22_12x_0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'424'!OSRRefH22_12x_0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'411'!OSRRefH22_13x_0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'325'!OSRRefH22_14x_0</vt:lpstr>
      <vt:lpstr>'326'!OSRRefH22_14x_0</vt:lpstr>
      <vt:lpstr>'331'!OSRRefH22_14x_0</vt:lpstr>
      <vt:lpstr>'332'!OSRRefH22_14x_0</vt:lpstr>
      <vt:lpstr>'405'!OSRRefH22_14x_0</vt:lpstr>
      <vt:lpstr>'411'!OSRRefH22_14x_0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'325'!OSRRefH22_15x_0</vt:lpstr>
      <vt:lpstr>'326'!OSRRefH22_15x_0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'331'!OSRRefH22_16x_0</vt:lpstr>
      <vt:lpstr>'405'!OSRRefH22_16x_0</vt:lpstr>
      <vt:lpstr>'411'!OSRRefH22_16x_0</vt:lpstr>
      <vt:lpstr>'415'!OSRRefH22_16x_0</vt:lpstr>
      <vt:lpstr>'433'!OSRRefH22_16x_0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'326'!OSRRefH22_17x_0</vt:lpstr>
      <vt:lpstr>'331'!OSRRefH22_17x_0</vt:lpstr>
      <vt:lpstr>'405'!OSRRefH22_17x_0</vt:lpstr>
      <vt:lpstr>'411'!OSRRefH22_17x_0</vt:lpstr>
      <vt:lpstr>'415'!OSRRefH22_17x_0</vt:lpstr>
      <vt:lpstr>'444'!OSRRefH22_17x_0</vt:lpstr>
      <vt:lpstr>'450'!OSRRefH22_17x_0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'411'!OSRRefH22_18x_0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 &amp; 491'!OSRRefH22_22x_0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'Div 3'!OSRRefH22_24x_0</vt:lpstr>
      <vt:lpstr>'Div 4'!OSRRefH22_24x_0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'331'!OSRRefH25x_0</vt:lpstr>
      <vt:lpstr>'332'!OSRRefH25x_0</vt:lpstr>
      <vt:lpstr>'411'!OSRRefH25x_0</vt:lpstr>
      <vt:lpstr>'413'!OSRRefH25x_0</vt:lpstr>
      <vt:lpstr>'418'!OSRRefH25x_0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'Div 2'!OSRRefP22_11x_0</vt:lpstr>
      <vt:lpstr>'Div 3'!OSRRefP22_11x_0</vt:lpstr>
      <vt:lpstr>'Div 4'!OSRRefP22_11x_0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'308'!OSRRefP22_12x_0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'317'!OSRRefP22_12x_0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'424'!OSRRefP22_12x_0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'411'!OSRRefP22_13x_0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'325'!OSRRefP22_14x_0</vt:lpstr>
      <vt:lpstr>'326'!OSRRefP22_14x_0</vt:lpstr>
      <vt:lpstr>'331'!OSRRefP22_14x_0</vt:lpstr>
      <vt:lpstr>'332'!OSRRefP22_14x_0</vt:lpstr>
      <vt:lpstr>'405'!OSRRefP22_14x_0</vt:lpstr>
      <vt:lpstr>'411'!OSRRefP22_14x_0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'325'!OSRRefP22_15x_0</vt:lpstr>
      <vt:lpstr>'326'!OSRRefP22_15x_0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'331'!OSRRefP22_16x_0</vt:lpstr>
      <vt:lpstr>'405'!OSRRefP22_16x_0</vt:lpstr>
      <vt:lpstr>'411'!OSRRefP22_16x_0</vt:lpstr>
      <vt:lpstr>'415'!OSRRefP22_16x_0</vt:lpstr>
      <vt:lpstr>'433'!OSRRefP22_16x_0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'326'!OSRRefP22_17x_0</vt:lpstr>
      <vt:lpstr>'331'!OSRRefP22_17x_0</vt:lpstr>
      <vt:lpstr>'405'!OSRRefP22_17x_0</vt:lpstr>
      <vt:lpstr>'411'!OSRRefP22_17x_0</vt:lpstr>
      <vt:lpstr>'415'!OSRRefP22_17x_0</vt:lpstr>
      <vt:lpstr>'444'!OSRRefP22_17x_0</vt:lpstr>
      <vt:lpstr>'450'!OSRRefP22_17x_0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'411'!OSRRefP22_18x_0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 &amp; 491'!OSRRefP22_22x_0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'Div 3'!OSRRefP22_24x_0</vt:lpstr>
      <vt:lpstr>'Div 4'!OSRRefP22_24x_0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'331'!OSRRefP25x_0</vt:lpstr>
      <vt:lpstr>'332'!OSRRefP25x_0</vt:lpstr>
      <vt:lpstr>'411'!OSRRefP25x_0</vt:lpstr>
      <vt:lpstr>'413'!OSRRefP25x_0</vt:lpstr>
      <vt:lpstr>'418'!OSRRefP25x_0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'Div 2'!OSRRefT22_11x_0</vt:lpstr>
      <vt:lpstr>'Div 3'!OSRRefT22_11x_0</vt:lpstr>
      <vt:lpstr>'Div 4'!OSRRefT22_11x_0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'308'!OSRRefT22_12x_0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'317'!OSRRefT22_12x_0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'424'!OSRRefT22_12x_0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'411'!OSRRefT22_13x_0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'325'!OSRRefT22_14x_0</vt:lpstr>
      <vt:lpstr>'326'!OSRRefT22_14x_0</vt:lpstr>
      <vt:lpstr>'331'!OSRRefT22_14x_0</vt:lpstr>
      <vt:lpstr>'332'!OSRRefT22_14x_0</vt:lpstr>
      <vt:lpstr>'405'!OSRRefT22_14x_0</vt:lpstr>
      <vt:lpstr>'411'!OSRRefT22_14x_0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'325'!OSRRefT22_15x_0</vt:lpstr>
      <vt:lpstr>'326'!OSRRefT22_15x_0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'331'!OSRRefT22_16x_0</vt:lpstr>
      <vt:lpstr>'405'!OSRRefT22_16x_0</vt:lpstr>
      <vt:lpstr>'411'!OSRRefT22_16x_0</vt:lpstr>
      <vt:lpstr>'415'!OSRRefT22_16x_0</vt:lpstr>
      <vt:lpstr>'433'!OSRRefT22_16x_0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'326'!OSRRefT22_17x_0</vt:lpstr>
      <vt:lpstr>'331'!OSRRefT22_17x_0</vt:lpstr>
      <vt:lpstr>'405'!OSRRefT22_17x_0</vt:lpstr>
      <vt:lpstr>'411'!OSRRefT22_17x_0</vt:lpstr>
      <vt:lpstr>'415'!OSRRefT22_17x_0</vt:lpstr>
      <vt:lpstr>'444'!OSRRefT22_17x_0</vt:lpstr>
      <vt:lpstr>'450'!OSRRefT22_17x_0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'411'!OSRRefT22_18x_0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 &amp; 491'!OSRRefT22_22x_0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'Div 3'!OSRRefT22_24x_0</vt:lpstr>
      <vt:lpstr>'Div 4'!OSRRefT22_24x_0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'331'!OSRRefT25x_0</vt:lpstr>
      <vt:lpstr>'332'!OSRRefT25x_0</vt:lpstr>
      <vt:lpstr>'411'!OSRRefT25x_0</vt:lpstr>
      <vt:lpstr>'413'!OSRRefT25x_0</vt:lpstr>
      <vt:lpstr>'418'!OSRRefT25x_0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2020-12-11T21:10:03Z</dcterms:created>
  <dcterms:modified xsi:type="dcterms:W3CDTF">2020-12-11T21:10:03Z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